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codeName="ThisWorkbook"/>
  <mc:AlternateContent xmlns:mc="http://schemas.openxmlformats.org/markup-compatibility/2006">
    <mc:Choice Requires="x15">
      <x15ac:absPath xmlns:x15ac="http://schemas.microsoft.com/office/spreadsheetml/2010/11/ac" url="C:\Users\cchien\Documents\EE\Application2022\"/>
    </mc:Choice>
  </mc:AlternateContent>
  <xr:revisionPtr revIDLastSave="0" documentId="8_{014F8081-551D-4BDA-BF8A-3E41DFF14C2F}" xr6:coauthVersionLast="47" xr6:coauthVersionMax="47" xr10:uidLastSave="{00000000-0000-0000-0000-000000000000}"/>
  <bookViews>
    <workbookView xWindow="38280" yWindow="-120" windowWidth="29040" windowHeight="15840" tabRatio="870" firstSheet="2" activeTab="4" xr2:uid="{00000000-000D-0000-FFFF-FFFF00000000}"/>
  </bookViews>
  <sheets>
    <sheet name="README" sheetId="56" state="hidden" r:id="rId1"/>
    <sheet name="0 Validations" sheetId="59" state="hidden" r:id="rId2"/>
    <sheet name="1 Bill Payer Impacts-IOU Only " sheetId="14" r:id="rId3"/>
    <sheet name="2 Rates Rev- IOU Only" sheetId="41" r:id="rId4"/>
    <sheet name="3.1 Funding Source Summary" sheetId="61" r:id="rId5"/>
    <sheet name="3.2 Funding Source" sheetId="43" r:id="rId6"/>
    <sheet name="4.1 Program Budget - 2024-2027" sheetId="44" r:id="rId7"/>
    <sheet name="4.2 Program Budget 2028-2031" sheetId="63" r:id="rId8"/>
    <sheet name="4.3 Program Changes" sheetId="74" r:id="rId9"/>
    <sheet name="5 Commitments" sheetId="21" r:id="rId10"/>
    <sheet name="6 StatewidePgms" sheetId="66" r:id="rId11"/>
    <sheet name="7.1 PA Budget 8 Yr Summary-Seg" sheetId="62" r:id="rId12"/>
    <sheet name="7.2 PA Budget 8 Yr Summary-Sect" sheetId="64" r:id="rId13"/>
    <sheet name="7.3 PA PY budget_savings" sheetId="55" r:id="rId14"/>
    <sheet name="8 Cap &amp; Target" sheetId="53" r:id="rId15"/>
    <sheet name="Functions Definitions" sheetId="24" r:id="rId16"/>
    <sheet name="9 Portfolio Summary" sheetId="23" r:id="rId17"/>
    <sheet name="10 Portfolio FTE" sheetId="25" r:id="rId18"/>
    <sheet name="11 Residential" sheetId="47" r:id="rId19"/>
    <sheet name="12 Commercial" sheetId="48" r:id="rId20"/>
    <sheet name="13 Industrial" sheetId="49" r:id="rId21"/>
    <sheet name="14 Agricultural" sheetId="50" r:id="rId22"/>
    <sheet name="15 Public Sector" sheetId="51" r:id="rId23"/>
    <sheet name="16 Cross Cutting" sheetId="52" r:id="rId24"/>
    <sheet name="17 BP Metrics" sheetId="57" r:id="rId25"/>
    <sheet name="18.1 Equity Segment Metrics" sheetId="71" r:id="rId26"/>
    <sheet name="18.2 Market Support Metrics" sheetId="73" r:id="rId27"/>
    <sheet name="Comments and Suggestions" sheetId="75" r:id="rId28"/>
    <sheet name="Sheet3" sheetId="72" r:id="rId29"/>
  </sheets>
  <externalReferences>
    <externalReference r:id="rId30"/>
    <externalReference r:id="rId31"/>
    <externalReference r:id="rId32"/>
    <externalReference r:id="rId33"/>
  </externalReferences>
  <definedNames>
    <definedName name="_AMO_UniqueIdentifier" hidden="1">"'7f26e32b-2cc9-4f43-881e-47427f0e1ea5'"</definedName>
    <definedName name="_xlnm._FilterDatabase" localSheetId="24" hidden="1">'17 BP Metrics'!$A$6:$AH$336</definedName>
    <definedName name="_xlnm._FilterDatabase" localSheetId="25" hidden="1">'18.1 Equity Segment Metrics'!$A$5:$U$55</definedName>
    <definedName name="_xlnm._FilterDatabase" localSheetId="26" hidden="1">'18.2 Market Support Metrics'!$A$5:$T$55</definedName>
    <definedName name="_xlnm._FilterDatabase" localSheetId="6" hidden="1">'4.1 Program Budget - 2024-2027'!$B$6:$CH$182</definedName>
    <definedName name="_xlnm._FilterDatabase" localSheetId="7" hidden="1">'4.2 Program Budget 2028-2031'!$D$6:$I$37</definedName>
    <definedName name="_xlnm._FilterDatabase" localSheetId="10" hidden="1">'6 StatewidePgms'!$6:$7</definedName>
    <definedName name="Electric" localSheetId="10">#REF!</definedName>
    <definedName name="Electric">#REF!</definedName>
    <definedName name="Electric_only" localSheetId="10">#REF!</definedName>
    <definedName name="Electric_only">#REF!</definedName>
    <definedName name="MDATable1">'[1]MDA Table'!$C$2:$I$31</definedName>
    <definedName name="MDATable2">'[1]MDA Table'!$A$33:$J$157</definedName>
    <definedName name="NResSavTable">'[1]EE Report - 2017'!$B$3:$AS$16</definedName>
    <definedName name="P5_">[2]Sheet1!$E$27</definedName>
    <definedName name="PA_NAME" localSheetId="8">[3]README!$A$2</definedName>
    <definedName name="PA_NAME" localSheetId="10">[4]README!$A$2</definedName>
    <definedName name="PA_NAME">README!$A$2</definedName>
    <definedName name="_xlnm.Print_Area" localSheetId="2">'1 Bill Payer Impacts-IOU Only '!$A$1:$F$22</definedName>
    <definedName name="_xlnm.Print_Area" localSheetId="17">'10 Portfolio FTE'!$A$1:$H$22</definedName>
    <definedName name="_xlnm.Print_Area" localSheetId="18">'11 Residential'!$A$1:$J$42</definedName>
    <definedName name="_xlnm.Print_Area" localSheetId="19">'12 Commercial'!$A$1:$J$41</definedName>
    <definedName name="_xlnm.Print_Area" localSheetId="20">'13 Industrial'!$A$1:$J$41</definedName>
    <definedName name="_xlnm.Print_Area" localSheetId="21">'14 Agricultural'!$A$1:$J$41</definedName>
    <definedName name="_xlnm.Print_Area" localSheetId="22">'15 Public Sector'!$A$1:$J$41</definedName>
    <definedName name="_xlnm.Print_Area" localSheetId="23">'16 Cross Cutting'!$A$1:$J$41</definedName>
    <definedName name="_xlnm.Print_Area" localSheetId="24">'17 BP Metrics'!$A$1:$AH$336</definedName>
    <definedName name="_xlnm.Print_Area" localSheetId="25">'18.1 Equity Segment Metrics'!$A$1:$S$55</definedName>
    <definedName name="_xlnm.Print_Area" localSheetId="26">'18.2 Market Support Metrics'!$A$1:$S$55</definedName>
    <definedName name="_xlnm.Print_Area" localSheetId="3">'2 Rates Rev- IOU Only'!$A$1:$AP$42</definedName>
    <definedName name="_xlnm.Print_Area" localSheetId="4">'3.1 Funding Source Summary'!$A$1:$U$33</definedName>
    <definedName name="_xlnm.Print_Area" localSheetId="5">'3.2 Funding Source'!$A$1:$AI$75</definedName>
    <definedName name="_xlnm.Print_Area" localSheetId="6">'4.1 Program Budget - 2024-2027'!$A$1:$CH$218</definedName>
    <definedName name="_xlnm.Print_Area" localSheetId="7">'4.2 Program Budget 2028-2031'!$A$1:$AZ$76</definedName>
    <definedName name="_xlnm.Print_Area" localSheetId="8">'4.3 Program Changes'!$A$1:$Q$52</definedName>
    <definedName name="_xlnm.Print_Area" localSheetId="9">'5 Commitments'!$A$1:$E$30</definedName>
    <definedName name="_xlnm.Print_Area" localSheetId="10">'6 StatewidePgms'!$A$1:$AY$37</definedName>
    <definedName name="_xlnm.Print_Area" localSheetId="11">'7.1 PA Budget 8 Yr Summary-Seg'!$A$1:$Q$64</definedName>
    <definedName name="_xlnm.Print_Area" localSheetId="12">'7.2 PA Budget 8 Yr Summary-Sect'!$A$1:$Q$118</definedName>
    <definedName name="_xlnm.Print_Area" localSheetId="13">'7.3 PA PY budget_savings'!$A$1:$AX$95</definedName>
    <definedName name="_xlnm.Print_Area" localSheetId="14">'8 Cap &amp; Target'!$A$1:$AB$58</definedName>
    <definedName name="_xlnm.Print_Area" localSheetId="16">'9 Portfolio Summary'!$A$1:$AJ$20</definedName>
    <definedName name="_xlnm.Print_Area" localSheetId="27">'Comments and Suggestions'!$A$1:$M$28</definedName>
    <definedName name="_xlnm.Print_Area" localSheetId="15">'Functions Definitions'!$A$1:$D$29</definedName>
    <definedName name="_xlnm.Print_Titles" localSheetId="24">'17 BP Metrics'!$6:$6</definedName>
    <definedName name="_xlnm.Print_Titles" localSheetId="3">'2 Rates Rev- IOU Only'!$B:$B</definedName>
    <definedName name="_xlnm.Print_Titles" localSheetId="5">'3.2 Funding Source'!$C:$C</definedName>
    <definedName name="_xlnm.Print_Titles" localSheetId="6">'4.1 Program Budget - 2024-2027'!$B:$D,'4.1 Program Budget - 2024-2027'!$6:$6</definedName>
    <definedName name="_xlnm.Print_Titles" localSheetId="7">'4.2 Program Budget 2028-2031'!$A:$G,'4.2 Program Budget 2028-2031'!$1:$6</definedName>
    <definedName name="_xlnm.Print_Titles" localSheetId="12">'7.2 PA Budget 8 Yr Summary-Sect'!$8:$8</definedName>
    <definedName name="_xlnm.Print_Titles" localSheetId="13">'7.3 PA PY budget_savings'!$B:$B,'7.3 PA PY budget_savings'!$4:$5</definedName>
    <definedName name="_xlnm.Print_Titles" localSheetId="16">'9 Portfolio Summary'!$A:$A</definedName>
    <definedName name="ResSavTable1">'[1]EE Report - 2017'!$B$25:$AS$34</definedName>
    <definedName name="ResSavTable2">'[1]EE Report - 2017'!$A$25:$AS$34</definedName>
    <definedName name="RPT_YEAR" localSheetId="8">[3]README!$A$3</definedName>
    <definedName name="RPT_YEAR" localSheetId="10">[4]README!$A$3</definedName>
    <definedName name="RPT_YEAR">README!$A$3</definedName>
    <definedName name="SCGAggEnd" localSheetId="10">#REF!</definedName>
    <definedName name="SCGAggEnd">#REF!</definedName>
    <definedName name="SCGMktSector" localSheetId="10">#REF!</definedName>
    <definedName name="SCGMktSector">#REF!</definedName>
    <definedName name="SCGPgmSum" localSheetId="10">#REF!</definedName>
    <definedName name="SCGPgmSum">#REF!</definedName>
    <definedName name="sdgeAggEnd" localSheetId="10">#REF!</definedName>
    <definedName name="sdgeAggEnd">#REF!</definedName>
    <definedName name="sdgeMktSector" localSheetId="10">#REF!</definedName>
    <definedName name="sdgeMktSector">#REF!</definedName>
    <definedName name="SDGEPgmSum" localSheetId="10">#REF!</definedName>
    <definedName name="SDGEPgmSum">#REF!</definedName>
    <definedName name="SectorTab">[1]List!$D$3:$E$12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7" i="61" l="1"/>
  <c r="T16" i="61"/>
  <c r="T15" i="61"/>
  <c r="T14" i="61"/>
  <c r="T13" i="61"/>
  <c r="T12" i="61"/>
  <c r="T11" i="61"/>
  <c r="T10" i="61"/>
  <c r="M16" i="61"/>
  <c r="M15" i="61"/>
  <c r="M14" i="61"/>
  <c r="M13" i="61"/>
  <c r="M12" i="61"/>
  <c r="M11" i="61"/>
  <c r="M10" i="61"/>
  <c r="M9" i="61"/>
  <c r="T9" i="61"/>
  <c r="U38" i="63"/>
  <c r="V38" i="63"/>
  <c r="W38" i="63"/>
  <c r="X38" i="63"/>
  <c r="Y38" i="63"/>
  <c r="Z38" i="63"/>
  <c r="AA38" i="63"/>
  <c r="AB38" i="63"/>
  <c r="AC38" i="63"/>
  <c r="AD38" i="63"/>
  <c r="AF38" i="63"/>
  <c r="AG38" i="63"/>
  <c r="AH38" i="63"/>
  <c r="AI38" i="63"/>
  <c r="AJ38" i="63"/>
  <c r="AK38" i="63"/>
  <c r="AL38" i="63"/>
  <c r="AM38" i="63"/>
  <c r="AN38" i="63"/>
  <c r="AO38" i="63"/>
  <c r="AQ38" i="63"/>
  <c r="AR38" i="63"/>
  <c r="AS38" i="63"/>
  <c r="AT38" i="63"/>
  <c r="AU38" i="63"/>
  <c r="AV38" i="63"/>
  <c r="AW38" i="63"/>
  <c r="AX38" i="63"/>
  <c r="AY38" i="63"/>
  <c r="AZ38" i="63"/>
  <c r="N102" i="64"/>
  <c r="O102" i="64"/>
  <c r="P102" i="64"/>
  <c r="M102" i="64"/>
  <c r="N90" i="64"/>
  <c r="O90" i="64"/>
  <c r="P90" i="64"/>
  <c r="M90" i="64"/>
  <c r="N78" i="64"/>
  <c r="O78" i="64"/>
  <c r="P78" i="64"/>
  <c r="M78" i="64"/>
  <c r="N66" i="64"/>
  <c r="O66" i="64"/>
  <c r="P66" i="64"/>
  <c r="M66" i="64"/>
  <c r="N54" i="64"/>
  <c r="O54" i="64"/>
  <c r="P54" i="64"/>
  <c r="M54" i="64"/>
  <c r="N42" i="64"/>
  <c r="O42" i="64"/>
  <c r="P42" i="64"/>
  <c r="M42" i="64"/>
  <c r="N30" i="64"/>
  <c r="O30" i="64"/>
  <c r="P30" i="64"/>
  <c r="M30" i="64"/>
  <c r="N18" i="64"/>
  <c r="O18" i="64"/>
  <c r="P18" i="64"/>
  <c r="M18" i="64"/>
  <c r="N20" i="64"/>
  <c r="H66" i="64"/>
  <c r="I66" i="64"/>
  <c r="P65" i="64"/>
  <c r="N46" i="64"/>
  <c r="N47" i="64"/>
  <c r="N48" i="64"/>
  <c r="N49" i="64"/>
  <c r="N50" i="64"/>
  <c r="N51" i="64"/>
  <c r="N52" i="64"/>
  <c r="N53" i="64"/>
  <c r="M10" i="64"/>
  <c r="M11" i="64"/>
  <c r="M12" i="64"/>
  <c r="M13" i="64"/>
  <c r="M14" i="64"/>
  <c r="M15" i="64"/>
  <c r="M16" i="64"/>
  <c r="M17" i="64"/>
  <c r="AO45" i="63"/>
  <c r="J38" i="63"/>
  <c r="K38" i="63"/>
  <c r="L38" i="63"/>
  <c r="M38" i="63"/>
  <c r="N38" i="63"/>
  <c r="O38" i="63"/>
  <c r="P38" i="63"/>
  <c r="Q38" i="63"/>
  <c r="R38" i="63"/>
  <c r="S38" i="63"/>
  <c r="J45" i="63"/>
  <c r="K45" i="63"/>
  <c r="L45" i="63"/>
  <c r="M45" i="63"/>
  <c r="N45" i="63"/>
  <c r="O45" i="63"/>
  <c r="P45" i="63"/>
  <c r="Q45" i="63"/>
  <c r="R45" i="63"/>
  <c r="S45" i="63"/>
  <c r="J53" i="63"/>
  <c r="K53" i="63"/>
  <c r="L53" i="63"/>
  <c r="M53" i="63"/>
  <c r="N53" i="63"/>
  <c r="O53" i="63"/>
  <c r="P53" i="63"/>
  <c r="Q53" i="63"/>
  <c r="R53" i="63"/>
  <c r="S53" i="63"/>
  <c r="J63" i="63"/>
  <c r="K63" i="63"/>
  <c r="L63" i="63"/>
  <c r="M63" i="63"/>
  <c r="N63" i="63"/>
  <c r="O63" i="63"/>
  <c r="P63" i="63"/>
  <c r="Q63" i="63"/>
  <c r="R63" i="63"/>
  <c r="S63" i="63"/>
  <c r="E32" i="64"/>
  <c r="Q103" i="64"/>
  <c r="P103" i="64"/>
  <c r="O103" i="64"/>
  <c r="N103" i="64"/>
  <c r="M103" i="64"/>
  <c r="L103" i="64"/>
  <c r="K103" i="64"/>
  <c r="J103" i="64"/>
  <c r="I103" i="64"/>
  <c r="H103" i="64"/>
  <c r="Q91" i="64"/>
  <c r="P91" i="64"/>
  <c r="O91" i="64"/>
  <c r="N91" i="64"/>
  <c r="M91" i="64"/>
  <c r="L91" i="64"/>
  <c r="K91" i="64"/>
  <c r="J91" i="64"/>
  <c r="I91" i="64"/>
  <c r="H91" i="64"/>
  <c r="Q79" i="64"/>
  <c r="P79" i="64"/>
  <c r="O79" i="64"/>
  <c r="N79" i="64"/>
  <c r="M79" i="64"/>
  <c r="L79" i="64"/>
  <c r="K79" i="64"/>
  <c r="J79" i="64"/>
  <c r="I79" i="64"/>
  <c r="H79" i="64"/>
  <c r="Q67" i="64"/>
  <c r="P67" i="64"/>
  <c r="O67" i="64"/>
  <c r="N67" i="64"/>
  <c r="M67" i="64"/>
  <c r="L67" i="64"/>
  <c r="K67" i="64"/>
  <c r="J67" i="64"/>
  <c r="I67" i="64"/>
  <c r="H67" i="64"/>
  <c r="Q55" i="64"/>
  <c r="P55" i="64"/>
  <c r="O55" i="64"/>
  <c r="N55" i="64"/>
  <c r="M55" i="64"/>
  <c r="L55" i="64"/>
  <c r="K55" i="64"/>
  <c r="J55" i="64"/>
  <c r="I55" i="64"/>
  <c r="H55" i="64"/>
  <c r="Q43" i="64"/>
  <c r="P43" i="64"/>
  <c r="O43" i="64"/>
  <c r="N43" i="64"/>
  <c r="M43" i="64"/>
  <c r="L43" i="64"/>
  <c r="K43" i="64"/>
  <c r="J43" i="64"/>
  <c r="I43" i="64"/>
  <c r="H43" i="64"/>
  <c r="Q31" i="64"/>
  <c r="P31" i="64"/>
  <c r="O31" i="64"/>
  <c r="N31" i="64"/>
  <c r="M31" i="64"/>
  <c r="L31" i="64"/>
  <c r="K31" i="64"/>
  <c r="J31" i="64"/>
  <c r="I31" i="64"/>
  <c r="H31" i="64"/>
  <c r="G33" i="62"/>
  <c r="AS78" i="55"/>
  <c r="AM78" i="55"/>
  <c r="AG78" i="55"/>
  <c r="AA78" i="55"/>
  <c r="U78" i="55"/>
  <c r="O78" i="55"/>
  <c r="I78" i="55"/>
  <c r="C79" i="55"/>
  <c r="AS79" i="55"/>
  <c r="AM79" i="55"/>
  <c r="AG79" i="55"/>
  <c r="AA79" i="55"/>
  <c r="U80" i="55"/>
  <c r="U79" i="55"/>
  <c r="O80" i="55"/>
  <c r="O79" i="55"/>
  <c r="I80" i="55"/>
  <c r="I79" i="55"/>
  <c r="C80" i="55"/>
  <c r="S13" i="23"/>
  <c r="O13" i="23"/>
  <c r="K13" i="23"/>
  <c r="G13" i="23"/>
  <c r="S12" i="23"/>
  <c r="O12" i="23"/>
  <c r="K12" i="23"/>
  <c r="G12" i="23"/>
  <c r="S11" i="23"/>
  <c r="O11" i="23"/>
  <c r="K11" i="23"/>
  <c r="G11" i="23"/>
  <c r="S10" i="23"/>
  <c r="O10" i="23"/>
  <c r="K10" i="23"/>
  <c r="G10" i="23"/>
  <c r="S9" i="23"/>
  <c r="O9" i="23"/>
  <c r="K9" i="23"/>
  <c r="G9" i="23"/>
  <c r="S8" i="23"/>
  <c r="O8" i="23"/>
  <c r="K8" i="23"/>
  <c r="G8" i="23"/>
  <c r="A108" i="44" l="1"/>
  <c r="A107" i="44"/>
  <c r="AK8" i="44"/>
  <c r="AK9" i="44"/>
  <c r="AK10" i="44"/>
  <c r="BC8" i="44"/>
  <c r="BC9" i="44"/>
  <c r="BC10" i="44"/>
  <c r="S8" i="44"/>
  <c r="AL8" i="44" s="1"/>
  <c r="S9" i="44"/>
  <c r="S10" i="44"/>
  <c r="BU107" i="44"/>
  <c r="BX107" i="44" s="1"/>
  <c r="BU108" i="44"/>
  <c r="BX108" i="44" s="1"/>
  <c r="BC107" i="44"/>
  <c r="BC108" i="44"/>
  <c r="AK107" i="44"/>
  <c r="AK108" i="44"/>
  <c r="S107" i="44"/>
  <c r="T107" i="44" s="1"/>
  <c r="S108" i="44"/>
  <c r="T108" i="44" s="1"/>
  <c r="Y43" i="53"/>
  <c r="Z43" i="53" s="1"/>
  <c r="S43" i="53"/>
  <c r="T43" i="53" s="1"/>
  <c r="M43" i="53"/>
  <c r="N43" i="53" s="1"/>
  <c r="G43" i="53"/>
  <c r="H43" i="53" s="1"/>
  <c r="BV108" i="44" l="1"/>
  <c r="BV107" i="44"/>
  <c r="BF108" i="44"/>
  <c r="BF107" i="44"/>
  <c r="BD108" i="44"/>
  <c r="AN108" i="44"/>
  <c r="BD107" i="44"/>
  <c r="AN107" i="44"/>
  <c r="AL108" i="44"/>
  <c r="V108" i="44"/>
  <c r="AL107" i="44"/>
  <c r="V107" i="44"/>
  <c r="A37" i="63"/>
  <c r="A36" i="63"/>
  <c r="A35" i="63"/>
  <c r="A34" i="63"/>
  <c r="A33" i="63"/>
  <c r="A32" i="63"/>
  <c r="A31" i="63"/>
  <c r="A30" i="63"/>
  <c r="A29" i="63"/>
  <c r="A28" i="63"/>
  <c r="A27" i="63"/>
  <c r="A26" i="63"/>
  <c r="A25" i="63"/>
  <c r="A24" i="63"/>
  <c r="A23" i="63"/>
  <c r="A22" i="63"/>
  <c r="A21" i="63"/>
  <c r="A20" i="63"/>
  <c r="A19" i="63"/>
  <c r="A18" i="63"/>
  <c r="A17" i="63"/>
  <c r="A16" i="63"/>
  <c r="A15" i="63"/>
  <c r="A14" i="63"/>
  <c r="A13" i="63"/>
  <c r="A12" i="63"/>
  <c r="A11" i="63"/>
  <c r="A10" i="63"/>
  <c r="A9" i="63"/>
  <c r="A8" i="63"/>
  <c r="A7" i="63" l="1"/>
  <c r="A8" i="44"/>
  <c r="A9" i="44"/>
  <c r="A10" i="44"/>
  <c r="A11" i="44"/>
  <c r="A12" i="44"/>
  <c r="A13" i="44"/>
  <c r="A14" i="44"/>
  <c r="A15" i="44"/>
  <c r="A16" i="44"/>
  <c r="A17" i="44"/>
  <c r="A18" i="44"/>
  <c r="A19" i="44"/>
  <c r="A20" i="44"/>
  <c r="A21" i="44"/>
  <c r="A22" i="44"/>
  <c r="A23" i="44"/>
  <c r="A24" i="44"/>
  <c r="A25" i="44"/>
  <c r="A26" i="44"/>
  <c r="A27" i="44"/>
  <c r="A28" i="44"/>
  <c r="A29" i="44"/>
  <c r="A30" i="44"/>
  <c r="A31" i="44"/>
  <c r="A32" i="44"/>
  <c r="A33" i="44"/>
  <c r="A34" i="44"/>
  <c r="A35" i="44"/>
  <c r="A36" i="44"/>
  <c r="A37" i="44"/>
  <c r="A38" i="44"/>
  <c r="A39" i="44"/>
  <c r="A40" i="44"/>
  <c r="A41" i="44"/>
  <c r="A42" i="44"/>
  <c r="A43" i="44"/>
  <c r="A44" i="44"/>
  <c r="A45" i="44"/>
  <c r="A46" i="44"/>
  <c r="A47" i="44"/>
  <c r="A48" i="44"/>
  <c r="A49" i="44"/>
  <c r="A50" i="44"/>
  <c r="A51" i="44"/>
  <c r="A52" i="44"/>
  <c r="A53" i="44"/>
  <c r="A54" i="44"/>
  <c r="A55" i="44"/>
  <c r="A56" i="44"/>
  <c r="A57" i="44"/>
  <c r="A58" i="44"/>
  <c r="A59" i="44"/>
  <c r="A60" i="44"/>
  <c r="A61" i="44"/>
  <c r="A62" i="44"/>
  <c r="A63" i="44"/>
  <c r="A64" i="44"/>
  <c r="A65" i="44"/>
  <c r="A66" i="44"/>
  <c r="A67" i="44"/>
  <c r="A68" i="44"/>
  <c r="A69" i="44"/>
  <c r="A70" i="44"/>
  <c r="A71" i="44"/>
  <c r="A72" i="44"/>
  <c r="A73" i="44"/>
  <c r="A74" i="44"/>
  <c r="A75" i="44"/>
  <c r="A76" i="44"/>
  <c r="A77" i="44"/>
  <c r="A78" i="44"/>
  <c r="A79" i="44"/>
  <c r="A80" i="44"/>
  <c r="A81" i="44"/>
  <c r="A82" i="44"/>
  <c r="A83" i="44"/>
  <c r="A84" i="44"/>
  <c r="A85" i="44"/>
  <c r="A86" i="44"/>
  <c r="A87" i="44"/>
  <c r="A88" i="44"/>
  <c r="A89" i="44"/>
  <c r="A90" i="44"/>
  <c r="A91" i="44"/>
  <c r="A92" i="44"/>
  <c r="A93" i="44"/>
  <c r="A94" i="44"/>
  <c r="A95" i="44"/>
  <c r="A96" i="44"/>
  <c r="A97" i="44"/>
  <c r="A98" i="44"/>
  <c r="A99" i="44"/>
  <c r="A100" i="44"/>
  <c r="A101" i="44"/>
  <c r="A102" i="44"/>
  <c r="A103" i="44"/>
  <c r="A104" i="44"/>
  <c r="A105" i="44"/>
  <c r="A106" i="44"/>
  <c r="A7" i="44"/>
  <c r="BC7" i="44"/>
  <c r="BC11" i="44"/>
  <c r="BC12" i="44"/>
  <c r="BC13" i="44"/>
  <c r="BC14" i="44"/>
  <c r="BC15" i="44"/>
  <c r="BC16" i="44"/>
  <c r="BC17" i="44"/>
  <c r="BC18" i="44"/>
  <c r="BC19" i="44"/>
  <c r="BC20" i="44"/>
  <c r="BC21" i="44"/>
  <c r="BC22" i="44"/>
  <c r="BC23" i="44"/>
  <c r="BC24" i="44"/>
  <c r="BC25" i="44"/>
  <c r="BC26" i="44"/>
  <c r="BC27" i="44"/>
  <c r="BC28" i="44"/>
  <c r="BC29" i="44"/>
  <c r="BC30" i="44"/>
  <c r="BC31" i="44"/>
  <c r="BC32" i="44"/>
  <c r="BC33" i="44"/>
  <c r="BC34" i="44"/>
  <c r="BC35" i="44"/>
  <c r="BC36" i="44"/>
  <c r="BC37" i="44"/>
  <c r="BC38" i="44"/>
  <c r="BC39" i="44"/>
  <c r="BC40" i="44"/>
  <c r="BC41" i="44"/>
  <c r="BC42" i="44"/>
  <c r="BC43" i="44"/>
  <c r="BC44" i="44"/>
  <c r="BC45" i="44"/>
  <c r="BC46" i="44"/>
  <c r="BC47" i="44"/>
  <c r="BC48" i="44"/>
  <c r="BC49" i="44"/>
  <c r="BC50" i="44"/>
  <c r="BC51" i="44"/>
  <c r="BC52" i="44"/>
  <c r="BC53" i="44"/>
  <c r="BC54" i="44"/>
  <c r="BC55" i="44"/>
  <c r="BC56" i="44"/>
  <c r="BC57" i="44"/>
  <c r="BC58" i="44"/>
  <c r="BC59" i="44"/>
  <c r="BC60" i="44"/>
  <c r="BC61" i="44"/>
  <c r="BC62" i="44"/>
  <c r="BC63" i="44"/>
  <c r="BC64" i="44"/>
  <c r="BC65" i="44"/>
  <c r="BC66" i="44"/>
  <c r="BC67" i="44"/>
  <c r="BC68" i="44"/>
  <c r="BC69" i="44"/>
  <c r="BC70" i="44"/>
  <c r="BC71" i="44"/>
  <c r="BC72" i="44"/>
  <c r="BC73" i="44"/>
  <c r="BC74" i="44"/>
  <c r="BC75" i="44"/>
  <c r="BC76" i="44"/>
  <c r="BC77" i="44"/>
  <c r="BC78" i="44"/>
  <c r="BC79" i="44"/>
  <c r="BC80" i="44"/>
  <c r="BC81" i="44"/>
  <c r="BC82" i="44"/>
  <c r="BC83" i="44"/>
  <c r="BC84" i="44"/>
  <c r="BC85" i="44"/>
  <c r="BC86" i="44"/>
  <c r="BC87" i="44"/>
  <c r="BC88" i="44"/>
  <c r="BC89" i="44"/>
  <c r="BC90" i="44"/>
  <c r="BC91" i="44"/>
  <c r="BC92" i="44"/>
  <c r="BC93" i="44"/>
  <c r="BC94" i="44"/>
  <c r="BC95" i="44"/>
  <c r="BC96" i="44"/>
  <c r="BC97" i="44"/>
  <c r="BC98" i="44"/>
  <c r="BC99" i="44"/>
  <c r="BC100" i="44"/>
  <c r="BC101" i="44"/>
  <c r="BC102" i="44"/>
  <c r="BC103" i="44"/>
  <c r="BC104" i="44"/>
  <c r="BC105" i="44"/>
  <c r="BC106" i="44"/>
  <c r="E18" i="53"/>
  <c r="Y173" i="57"/>
  <c r="G35" i="63" l="1"/>
  <c r="I35" i="63" s="1"/>
  <c r="T35" i="63" s="1"/>
  <c r="AE35" i="63" s="1"/>
  <c r="AP35" i="63" s="1"/>
  <c r="G34" i="63"/>
  <c r="I34" i="63" s="1"/>
  <c r="T34" i="63" s="1"/>
  <c r="AE34" i="63" s="1"/>
  <c r="AP34" i="63" s="1"/>
  <c r="G15" i="63"/>
  <c r="I15" i="63" s="1"/>
  <c r="G32" i="63"/>
  <c r="I32" i="63" s="1"/>
  <c r="T32" i="63" s="1"/>
  <c r="AE32" i="63" s="1"/>
  <c r="AP32" i="63" s="1"/>
  <c r="G14" i="63"/>
  <c r="I14" i="63" s="1"/>
  <c r="G31" i="63"/>
  <c r="I31" i="63" s="1"/>
  <c r="T31" i="63" s="1"/>
  <c r="AE31" i="63" s="1"/>
  <c r="AP31" i="63" s="1"/>
  <c r="G30" i="63"/>
  <c r="I30" i="63" s="1"/>
  <c r="T30" i="63" s="1"/>
  <c r="AE30" i="63" s="1"/>
  <c r="AP30" i="63" s="1"/>
  <c r="G29" i="63"/>
  <c r="I29" i="63" s="1"/>
  <c r="T29" i="63" s="1"/>
  <c r="AE29" i="63" s="1"/>
  <c r="AP29" i="63" s="1"/>
  <c r="G11" i="63"/>
  <c r="I11" i="63" s="1"/>
  <c r="G25" i="63"/>
  <c r="I25" i="63" s="1"/>
  <c r="T25" i="63" s="1"/>
  <c r="AE25" i="63" s="1"/>
  <c r="AP25" i="63" s="1"/>
  <c r="B1" i="75"/>
  <c r="E62" i="62"/>
  <c r="H62" i="62"/>
  <c r="I62" i="62"/>
  <c r="J62" i="62"/>
  <c r="K62" i="62"/>
  <c r="L62" i="62"/>
  <c r="M62" i="62"/>
  <c r="N62" i="62"/>
  <c r="O62" i="62"/>
  <c r="P62" i="62"/>
  <c r="Q62" i="62"/>
  <c r="E63" i="62"/>
  <c r="H63" i="62"/>
  <c r="I63" i="62"/>
  <c r="J63" i="62"/>
  <c r="K63" i="62"/>
  <c r="L63" i="62"/>
  <c r="M63" i="62"/>
  <c r="N63" i="62"/>
  <c r="O63" i="62"/>
  <c r="P63" i="62"/>
  <c r="Q63" i="62"/>
  <c r="AM182" i="44"/>
  <c r="AM187" i="44"/>
  <c r="AM203" i="44"/>
  <c r="B1" i="73"/>
  <c r="B7" i="73" s="1"/>
  <c r="E15" i="23"/>
  <c r="B1" i="71"/>
  <c r="F45" i="62"/>
  <c r="F46" i="62"/>
  <c r="B1" i="21"/>
  <c r="T11" i="63" l="1"/>
  <c r="AE11" i="63" s="1"/>
  <c r="AP11" i="63" s="1"/>
  <c r="T14" i="63"/>
  <c r="AE14" i="63" s="1"/>
  <c r="AP14" i="63" s="1"/>
  <c r="T15" i="63"/>
  <c r="AE15" i="63" s="1"/>
  <c r="AP15" i="63" s="1"/>
  <c r="B21" i="73"/>
  <c r="B53" i="73"/>
  <c r="B37" i="73"/>
  <c r="B45" i="73"/>
  <c r="B29" i="73"/>
  <c r="AM189" i="44"/>
  <c r="AM193" i="44" s="1"/>
  <c r="B54" i="73"/>
  <c r="B46" i="73"/>
  <c r="B38" i="73"/>
  <c r="B30" i="73"/>
  <c r="B22" i="73"/>
  <c r="B14" i="73"/>
  <c r="B13" i="73"/>
  <c r="B52" i="73"/>
  <c r="B44" i="73"/>
  <c r="B36" i="73"/>
  <c r="B28" i="73"/>
  <c r="B20" i="73"/>
  <c r="B12" i="73"/>
  <c r="B51" i="73"/>
  <c r="B43" i="73"/>
  <c r="B35" i="73"/>
  <c r="B27" i="73"/>
  <c r="B19" i="73"/>
  <c r="B11" i="73"/>
  <c r="B50" i="73"/>
  <c r="B42" i="73"/>
  <c r="B34" i="73"/>
  <c r="B26" i="73"/>
  <c r="B18" i="73"/>
  <c r="B10" i="73"/>
  <c r="B49" i="73"/>
  <c r="B41" i="73"/>
  <c r="B33" i="73"/>
  <c r="B25" i="73"/>
  <c r="B17" i="73"/>
  <c r="B9" i="73"/>
  <c r="B6" i="73"/>
  <c r="B48" i="73"/>
  <c r="B40" i="73"/>
  <c r="B32" i="73"/>
  <c r="B24" i="73"/>
  <c r="B16" i="73"/>
  <c r="B8" i="73"/>
  <c r="B55" i="73"/>
  <c r="B47" i="73"/>
  <c r="B39" i="73"/>
  <c r="B31" i="73"/>
  <c r="B23" i="73"/>
  <c r="B15" i="73"/>
  <c r="B1" i="57" l="1"/>
  <c r="AF66" i="43"/>
  <c r="AB66" i="43"/>
  <c r="X66" i="43"/>
  <c r="T66" i="43"/>
  <c r="P66" i="43"/>
  <c r="L66" i="43"/>
  <c r="Q57" i="64"/>
  <c r="Q58" i="64"/>
  <c r="Q59" i="64"/>
  <c r="Q60" i="64"/>
  <c r="Q61" i="64"/>
  <c r="Q62" i="64"/>
  <c r="Q63" i="64"/>
  <c r="Q64" i="64"/>
  <c r="Q65" i="64"/>
  <c r="Q66" i="64"/>
  <c r="Q69" i="64"/>
  <c r="Q70" i="64"/>
  <c r="Q71" i="64"/>
  <c r="Q72" i="64"/>
  <c r="Q73" i="64"/>
  <c r="Q74" i="64"/>
  <c r="Q75" i="64"/>
  <c r="Q76" i="64"/>
  <c r="Q77" i="64"/>
  <c r="Q78" i="64"/>
  <c r="Q81" i="64"/>
  <c r="Q82" i="64"/>
  <c r="Q83" i="64"/>
  <c r="Q84" i="64"/>
  <c r="Q85" i="64"/>
  <c r="Q86" i="64"/>
  <c r="Q87" i="64"/>
  <c r="Q88" i="64"/>
  <c r="Q89" i="64"/>
  <c r="Q90" i="64"/>
  <c r="Q93" i="64"/>
  <c r="Q94" i="64"/>
  <c r="Q95" i="64"/>
  <c r="Q96" i="64"/>
  <c r="Q97" i="64"/>
  <c r="Q98" i="64"/>
  <c r="Q99" i="64"/>
  <c r="Q100" i="64"/>
  <c r="Q101" i="64"/>
  <c r="Q102" i="64"/>
  <c r="Q9" i="64"/>
  <c r="Q10" i="64"/>
  <c r="Q11" i="64"/>
  <c r="Q12" i="64"/>
  <c r="Q13" i="64"/>
  <c r="Q14" i="64"/>
  <c r="Q15" i="64"/>
  <c r="Q16" i="64"/>
  <c r="Q17" i="64"/>
  <c r="Q18" i="64"/>
  <c r="Q19" i="64"/>
  <c r="Q21" i="64"/>
  <c r="Q22" i="64"/>
  <c r="Q23" i="64"/>
  <c r="Q24" i="64"/>
  <c r="Q25" i="64"/>
  <c r="Q26" i="64"/>
  <c r="Q27" i="64"/>
  <c r="Q28" i="64"/>
  <c r="Q29" i="64"/>
  <c r="Q30" i="64"/>
  <c r="Q33" i="64"/>
  <c r="Q34" i="64"/>
  <c r="Q35" i="64"/>
  <c r="Q36" i="64"/>
  <c r="Q37" i="64"/>
  <c r="Q38" i="64"/>
  <c r="Q39" i="64"/>
  <c r="Q40" i="64"/>
  <c r="Q41" i="64"/>
  <c r="Q42" i="64"/>
  <c r="Q45" i="64"/>
  <c r="Q46" i="64"/>
  <c r="Q47" i="64"/>
  <c r="Q48" i="64"/>
  <c r="Q49" i="64"/>
  <c r="Q50" i="64"/>
  <c r="Q51" i="64"/>
  <c r="Q52" i="64"/>
  <c r="Q53" i="64"/>
  <c r="Q54" i="64"/>
  <c r="Q33" i="62"/>
  <c r="Q34" i="62"/>
  <c r="Q35" i="62"/>
  <c r="Q39" i="62"/>
  <c r="Q40" i="62"/>
  <c r="Q41" i="62"/>
  <c r="Q45" i="62"/>
  <c r="Q46" i="62"/>
  <c r="Q47" i="62"/>
  <c r="Q51" i="62"/>
  <c r="Q52" i="62"/>
  <c r="Q53" i="62"/>
  <c r="Q9" i="62"/>
  <c r="Q10" i="62"/>
  <c r="Q11" i="62"/>
  <c r="Q15" i="62"/>
  <c r="Q16" i="62"/>
  <c r="Q17" i="62"/>
  <c r="Q21" i="62"/>
  <c r="Q22" i="62"/>
  <c r="Q23" i="62"/>
  <c r="Q27" i="62"/>
  <c r="Q28" i="62"/>
  <c r="Q29" i="62"/>
  <c r="AZ63" i="63"/>
  <c r="AZ53" i="63"/>
  <c r="AO63" i="63"/>
  <c r="AO53" i="63"/>
  <c r="AD63" i="63"/>
  <c r="AD53" i="63"/>
  <c r="CH203" i="44"/>
  <c r="CH182" i="44"/>
  <c r="BP203" i="44"/>
  <c r="BP182" i="44"/>
  <c r="AX203" i="44"/>
  <c r="AX182" i="44"/>
  <c r="AF203" i="44"/>
  <c r="AF182" i="44"/>
  <c r="AF189" i="44" s="1"/>
  <c r="AF193" i="44" s="1"/>
  <c r="Q61" i="62" l="1"/>
  <c r="Q60" i="62"/>
  <c r="Q59" i="62"/>
  <c r="Q117" i="64"/>
  <c r="Q116" i="64"/>
  <c r="Q115" i="64"/>
  <c r="Q114" i="64"/>
  <c r="Q113" i="64"/>
  <c r="Q112" i="64"/>
  <c r="Q111" i="64"/>
  <c r="Q110" i="64"/>
  <c r="Q109" i="64"/>
  <c r="Q108" i="64"/>
  <c r="Q107" i="64"/>
  <c r="Q68" i="64"/>
  <c r="Q80" i="64"/>
  <c r="Q104" i="64"/>
  <c r="Q92" i="64"/>
  <c r="Q20" i="62"/>
  <c r="Q32" i="62"/>
  <c r="Q26" i="62"/>
  <c r="Q56" i="62"/>
  <c r="Q38" i="62"/>
  <c r="Q50" i="62"/>
  <c r="Q14" i="62"/>
  <c r="Q44" i="62"/>
  <c r="Q56" i="64"/>
  <c r="Q20" i="64"/>
  <c r="Q32" i="64"/>
  <c r="Q44" i="64"/>
  <c r="AZ45" i="63"/>
  <c r="AD45" i="63"/>
  <c r="CH189" i="44"/>
  <c r="CH193" i="44" s="1"/>
  <c r="BP189" i="44"/>
  <c r="BP193" i="44" s="1"/>
  <c r="AX189" i="44"/>
  <c r="AX193" i="44" s="1"/>
  <c r="Q105" i="64" l="1"/>
  <c r="Q64" i="62"/>
  <c r="Q118" i="64"/>
  <c r="Q57" i="62"/>
  <c r="T8" i="23"/>
  <c r="P8" i="23"/>
  <c r="L8" i="23"/>
  <c r="H8" i="23"/>
  <c r="AP38" i="55"/>
  <c r="AX43" i="55"/>
  <c r="AW43" i="55"/>
  <c r="AV43" i="55"/>
  <c r="AU43" i="55"/>
  <c r="AT43" i="55"/>
  <c r="AS43" i="55"/>
  <c r="AR43" i="55"/>
  <c r="AQ43" i="55"/>
  <c r="AP43" i="55"/>
  <c r="AO43" i="55"/>
  <c r="AN43" i="55"/>
  <c r="AM43" i="55"/>
  <c r="AL43" i="55"/>
  <c r="AK43" i="55"/>
  <c r="AJ43" i="55"/>
  <c r="AI43" i="55"/>
  <c r="AH43" i="55"/>
  <c r="AG43" i="55"/>
  <c r="AF43" i="55"/>
  <c r="AE43" i="55"/>
  <c r="AD43" i="55"/>
  <c r="AC43" i="55"/>
  <c r="AB43" i="55"/>
  <c r="AA43" i="55"/>
  <c r="AX42" i="55"/>
  <c r="AW42" i="55"/>
  <c r="AV42" i="55"/>
  <c r="AU42" i="55"/>
  <c r="AT42" i="55"/>
  <c r="AS42" i="55"/>
  <c r="AR42" i="55"/>
  <c r="AQ42" i="55"/>
  <c r="AP42" i="55"/>
  <c r="AO42" i="55"/>
  <c r="AN42" i="55"/>
  <c r="AM42" i="55"/>
  <c r="AL42" i="55"/>
  <c r="AK42" i="55"/>
  <c r="AJ42" i="55"/>
  <c r="AI42" i="55"/>
  <c r="AH42" i="55"/>
  <c r="AG42" i="55"/>
  <c r="AF42" i="55"/>
  <c r="AE42" i="55"/>
  <c r="AD42" i="55"/>
  <c r="AC42" i="55"/>
  <c r="AB42" i="55"/>
  <c r="AA42" i="55"/>
  <c r="AX41" i="55"/>
  <c r="AW41" i="55"/>
  <c r="AV41" i="55"/>
  <c r="AU41" i="55"/>
  <c r="AT41" i="55"/>
  <c r="AR41" i="55"/>
  <c r="AQ41" i="55"/>
  <c r="AP41" i="55"/>
  <c r="AO41" i="55"/>
  <c r="AN41" i="55"/>
  <c r="AL41" i="55"/>
  <c r="AK41" i="55"/>
  <c r="AJ41" i="55"/>
  <c r="AI41" i="55"/>
  <c r="AH41" i="55"/>
  <c r="AF41" i="55"/>
  <c r="AE41" i="55"/>
  <c r="AD41" i="55"/>
  <c r="AC41" i="55"/>
  <c r="AB41" i="55"/>
  <c r="AX40" i="55"/>
  <c r="AW40" i="55"/>
  <c r="AV40" i="55"/>
  <c r="AU40" i="55"/>
  <c r="AT40" i="55"/>
  <c r="AS40" i="55"/>
  <c r="AR40" i="55"/>
  <c r="AQ40" i="55"/>
  <c r="AP40" i="55"/>
  <c r="AO40" i="55"/>
  <c r="AN40" i="55"/>
  <c r="AM40" i="55"/>
  <c r="AL40" i="55"/>
  <c r="AK40" i="55"/>
  <c r="AJ40" i="55"/>
  <c r="AI40" i="55"/>
  <c r="AH40" i="55"/>
  <c r="AG40" i="55"/>
  <c r="AF40" i="55"/>
  <c r="AE40" i="55"/>
  <c r="AD40" i="55"/>
  <c r="AC40" i="55"/>
  <c r="AB40" i="55"/>
  <c r="AA40" i="55"/>
  <c r="AX39" i="55"/>
  <c r="AW39" i="55"/>
  <c r="AV39" i="55"/>
  <c r="AU39" i="55"/>
  <c r="AT39" i="55"/>
  <c r="AS39" i="55"/>
  <c r="AR39" i="55"/>
  <c r="AQ39" i="55"/>
  <c r="AP39" i="55"/>
  <c r="AO39" i="55"/>
  <c r="AN39" i="55"/>
  <c r="AM39" i="55"/>
  <c r="AL39" i="55"/>
  <c r="AK39" i="55"/>
  <c r="AJ39" i="55"/>
  <c r="AI39" i="55"/>
  <c r="AH39" i="55"/>
  <c r="AG39" i="55"/>
  <c r="AF39" i="55"/>
  <c r="AE39" i="55"/>
  <c r="AD39" i="55"/>
  <c r="AC39" i="55"/>
  <c r="AB39" i="55"/>
  <c r="AA39" i="55"/>
  <c r="AX38" i="55"/>
  <c r="AW38" i="55"/>
  <c r="AV38" i="55"/>
  <c r="AU38" i="55"/>
  <c r="AT38" i="55"/>
  <c r="AS38" i="55"/>
  <c r="AR38" i="55"/>
  <c r="AQ38" i="55"/>
  <c r="AO38" i="55"/>
  <c r="AN38" i="55"/>
  <c r="AM38" i="55"/>
  <c r="AL38" i="55"/>
  <c r="AK38" i="55"/>
  <c r="AJ38" i="55"/>
  <c r="AI38" i="55"/>
  <c r="AH38" i="55"/>
  <c r="AG38" i="55"/>
  <c r="AF38" i="55"/>
  <c r="AE38" i="55"/>
  <c r="AD38" i="55"/>
  <c r="AC38" i="55"/>
  <c r="AB38" i="55"/>
  <c r="AA38" i="55"/>
  <c r="AX37" i="55"/>
  <c r="AW37" i="55"/>
  <c r="AV37" i="55"/>
  <c r="AU37" i="55"/>
  <c r="AT37" i="55"/>
  <c r="AS37" i="55"/>
  <c r="AR37" i="55"/>
  <c r="AQ37" i="55"/>
  <c r="AP37" i="55"/>
  <c r="AO37" i="55"/>
  <c r="AN37" i="55"/>
  <c r="AM37" i="55"/>
  <c r="AL37" i="55"/>
  <c r="AK37" i="55"/>
  <c r="AJ37" i="55"/>
  <c r="AI37" i="55"/>
  <c r="AH37" i="55"/>
  <c r="AG37" i="55"/>
  <c r="AF37" i="55"/>
  <c r="AE37" i="55"/>
  <c r="AD37" i="55"/>
  <c r="AC37" i="55"/>
  <c r="AB37" i="55"/>
  <c r="AA37" i="55"/>
  <c r="AX36" i="55"/>
  <c r="AW36" i="55"/>
  <c r="AV36" i="55"/>
  <c r="AU36" i="55"/>
  <c r="AT36" i="55"/>
  <c r="AR36" i="55"/>
  <c r="AQ36" i="55"/>
  <c r="AP36" i="55"/>
  <c r="AO36" i="55"/>
  <c r="AN36" i="55"/>
  <c r="AL36" i="55"/>
  <c r="AK36" i="55"/>
  <c r="AJ36" i="55"/>
  <c r="AI36" i="55"/>
  <c r="AH36" i="55"/>
  <c r="AF36" i="55"/>
  <c r="AE36" i="55"/>
  <c r="AD36" i="55"/>
  <c r="AC36" i="55"/>
  <c r="AB36" i="55"/>
  <c r="AX35" i="55"/>
  <c r="AW35" i="55"/>
  <c r="AV35" i="55"/>
  <c r="AU35" i="55"/>
  <c r="AT35" i="55"/>
  <c r="AR35" i="55"/>
  <c r="AQ35" i="55"/>
  <c r="AP35" i="55"/>
  <c r="AO35" i="55"/>
  <c r="AN35" i="55"/>
  <c r="AL35" i="55"/>
  <c r="AK35" i="55"/>
  <c r="AJ35" i="55"/>
  <c r="AI35" i="55"/>
  <c r="AH35" i="55"/>
  <c r="AF35" i="55"/>
  <c r="AE35" i="55"/>
  <c r="AD35" i="55"/>
  <c r="AC35" i="55"/>
  <c r="AB35" i="55"/>
  <c r="AX29" i="55"/>
  <c r="AW29" i="55"/>
  <c r="AV29" i="55"/>
  <c r="AU29" i="55"/>
  <c r="AT29" i="55"/>
  <c r="AS29" i="55"/>
  <c r="AR29" i="55"/>
  <c r="AQ29" i="55"/>
  <c r="AP29" i="55"/>
  <c r="AO29" i="55"/>
  <c r="AN29" i="55"/>
  <c r="AM29" i="55"/>
  <c r="AL29" i="55"/>
  <c r="AK29" i="55"/>
  <c r="AJ29" i="55"/>
  <c r="AI29" i="55"/>
  <c r="AH29" i="55"/>
  <c r="AG29" i="55"/>
  <c r="AF29" i="55"/>
  <c r="AE29" i="55"/>
  <c r="AD29" i="55"/>
  <c r="AC29" i="55"/>
  <c r="AB29" i="55"/>
  <c r="AA29" i="55"/>
  <c r="Z29" i="55"/>
  <c r="Y29" i="55"/>
  <c r="X29" i="55"/>
  <c r="W29" i="55"/>
  <c r="V29" i="55"/>
  <c r="AX28" i="55"/>
  <c r="AW28" i="55"/>
  <c r="AV28" i="55"/>
  <c r="AU28" i="55"/>
  <c r="AT28" i="55"/>
  <c r="AR28" i="55"/>
  <c r="AQ28" i="55"/>
  <c r="AP28" i="55"/>
  <c r="AO28" i="55"/>
  <c r="AN28" i="55"/>
  <c r="AL28" i="55"/>
  <c r="AK28" i="55"/>
  <c r="AJ28" i="55"/>
  <c r="AI28" i="55"/>
  <c r="AH28" i="55"/>
  <c r="AF28" i="55"/>
  <c r="AE28" i="55"/>
  <c r="AD28" i="55"/>
  <c r="AC28" i="55"/>
  <c r="AB28" i="55"/>
  <c r="Z28" i="55"/>
  <c r="Y28" i="55"/>
  <c r="X28" i="55"/>
  <c r="W28" i="55"/>
  <c r="V28" i="55"/>
  <c r="AX27" i="55"/>
  <c r="AW27" i="55"/>
  <c r="AV27" i="55"/>
  <c r="AU27" i="55"/>
  <c r="AT27" i="55"/>
  <c r="AR27" i="55"/>
  <c r="AQ27" i="55"/>
  <c r="AP27" i="55"/>
  <c r="AO27" i="55"/>
  <c r="AN27" i="55"/>
  <c r="AL27" i="55"/>
  <c r="AK27" i="55"/>
  <c r="AJ27" i="55"/>
  <c r="AI27" i="55"/>
  <c r="AH27" i="55"/>
  <c r="AF27" i="55"/>
  <c r="AE27" i="55"/>
  <c r="AD27" i="55"/>
  <c r="AC27" i="55"/>
  <c r="AB27" i="55"/>
  <c r="Z27" i="55"/>
  <c r="Y27" i="55"/>
  <c r="X27" i="55"/>
  <c r="W27" i="55"/>
  <c r="V27" i="55"/>
  <c r="AX26" i="55"/>
  <c r="AW26" i="55"/>
  <c r="AV26" i="55"/>
  <c r="AU26" i="55"/>
  <c r="AT26" i="55"/>
  <c r="AR26" i="55"/>
  <c r="AQ26" i="55"/>
  <c r="AP26" i="55"/>
  <c r="AO26" i="55"/>
  <c r="AN26" i="55"/>
  <c r="AL26" i="55"/>
  <c r="AK26" i="55"/>
  <c r="AJ26" i="55"/>
  <c r="AI26" i="55"/>
  <c r="AH26" i="55"/>
  <c r="AF26" i="55"/>
  <c r="AE26" i="55"/>
  <c r="AD26" i="55"/>
  <c r="AC26" i="55"/>
  <c r="AB26" i="55"/>
  <c r="Z26" i="55"/>
  <c r="Y26" i="55"/>
  <c r="X26" i="55"/>
  <c r="W26" i="55"/>
  <c r="V26" i="55"/>
  <c r="AX25" i="55"/>
  <c r="AW25" i="55"/>
  <c r="AV25" i="55"/>
  <c r="AU25" i="55"/>
  <c r="AT25" i="55"/>
  <c r="AR25" i="55"/>
  <c r="AQ25" i="55"/>
  <c r="AP25" i="55"/>
  <c r="AO25" i="55"/>
  <c r="AN25" i="55"/>
  <c r="AL25" i="55"/>
  <c r="AK25" i="55"/>
  <c r="AJ25" i="55"/>
  <c r="AI25" i="55"/>
  <c r="AH25" i="55"/>
  <c r="AF25" i="55"/>
  <c r="AE25" i="55"/>
  <c r="AD25" i="55"/>
  <c r="AC25" i="55"/>
  <c r="AB25" i="55"/>
  <c r="Z25" i="55"/>
  <c r="Y25" i="55"/>
  <c r="X25" i="55"/>
  <c r="W25" i="55"/>
  <c r="V25" i="55"/>
  <c r="AX24" i="55"/>
  <c r="AW24" i="55"/>
  <c r="AV24" i="55"/>
  <c r="AU24" i="55"/>
  <c r="AT24" i="55"/>
  <c r="AR24" i="55"/>
  <c r="AQ24" i="55"/>
  <c r="AP24" i="55"/>
  <c r="AO24" i="55"/>
  <c r="AN24" i="55"/>
  <c r="AL24" i="55"/>
  <c r="AK24" i="55"/>
  <c r="AJ24" i="55"/>
  <c r="AI24" i="55"/>
  <c r="AH24" i="55"/>
  <c r="AF24" i="55"/>
  <c r="AE24" i="55"/>
  <c r="AD24" i="55"/>
  <c r="AC24" i="55"/>
  <c r="AB24" i="55"/>
  <c r="Z24" i="55"/>
  <c r="Y24" i="55"/>
  <c r="X24" i="55"/>
  <c r="W24" i="55"/>
  <c r="V24" i="55"/>
  <c r="AX23" i="55"/>
  <c r="AW23" i="55"/>
  <c r="AV23" i="55"/>
  <c r="AU23" i="55"/>
  <c r="AT23" i="55"/>
  <c r="AR23" i="55"/>
  <c r="AQ23" i="55"/>
  <c r="AP23" i="55"/>
  <c r="AO23" i="55"/>
  <c r="AN23" i="55"/>
  <c r="AL23" i="55"/>
  <c r="AK23" i="55"/>
  <c r="AJ23" i="55"/>
  <c r="AI23" i="55"/>
  <c r="AH23" i="55"/>
  <c r="AF23" i="55"/>
  <c r="AE23" i="55"/>
  <c r="AD23" i="55"/>
  <c r="AC23" i="55"/>
  <c r="AB23" i="55"/>
  <c r="Z23" i="55"/>
  <c r="Y23" i="55"/>
  <c r="X23" i="55"/>
  <c r="W23" i="55"/>
  <c r="V23" i="55"/>
  <c r="AX22" i="55"/>
  <c r="AW22" i="55"/>
  <c r="AV22" i="55"/>
  <c r="AU22" i="55"/>
  <c r="AT22" i="55"/>
  <c r="AR22" i="55"/>
  <c r="AQ22" i="55"/>
  <c r="AP22" i="55"/>
  <c r="AO22" i="55"/>
  <c r="AN22" i="55"/>
  <c r="AL22" i="55"/>
  <c r="AK22" i="55"/>
  <c r="AJ22" i="55"/>
  <c r="AI22" i="55"/>
  <c r="AH22" i="55"/>
  <c r="AF22" i="55"/>
  <c r="AE22" i="55"/>
  <c r="AD22" i="55"/>
  <c r="AC22" i="55"/>
  <c r="AB22" i="55"/>
  <c r="Z22" i="55"/>
  <c r="Y22" i="55"/>
  <c r="X22" i="55"/>
  <c r="W22" i="55"/>
  <c r="V22" i="55"/>
  <c r="AX21" i="55"/>
  <c r="AW21" i="55"/>
  <c r="AV21" i="55"/>
  <c r="AU21" i="55"/>
  <c r="AT21" i="55"/>
  <c r="AR21" i="55"/>
  <c r="AQ21" i="55"/>
  <c r="AP21" i="55"/>
  <c r="AO21" i="55"/>
  <c r="AN21" i="55"/>
  <c r="AL21" i="55"/>
  <c r="AK21" i="55"/>
  <c r="AJ21" i="55"/>
  <c r="AI21" i="55"/>
  <c r="AH21" i="55"/>
  <c r="AF21" i="55"/>
  <c r="AE21" i="55"/>
  <c r="AD21" i="55"/>
  <c r="AC21" i="55"/>
  <c r="AB21" i="55"/>
  <c r="Z21" i="55"/>
  <c r="Y21" i="55"/>
  <c r="X21" i="55"/>
  <c r="W21" i="55"/>
  <c r="V21" i="55"/>
  <c r="AX15" i="55"/>
  <c r="AW15" i="55"/>
  <c r="AV15" i="55"/>
  <c r="AU15" i="55"/>
  <c r="AT15" i="55"/>
  <c r="AS15" i="55"/>
  <c r="AR15" i="55"/>
  <c r="AQ15" i="55"/>
  <c r="AP15" i="55"/>
  <c r="AO15" i="55"/>
  <c r="AN15" i="55"/>
  <c r="AM15" i="55"/>
  <c r="AL15" i="55"/>
  <c r="AK15" i="55"/>
  <c r="AJ15" i="55"/>
  <c r="AI15" i="55"/>
  <c r="AH15" i="55"/>
  <c r="AG15" i="55"/>
  <c r="AX14" i="55"/>
  <c r="AW14" i="55"/>
  <c r="AV14" i="55"/>
  <c r="AU14" i="55"/>
  <c r="AT14" i="55"/>
  <c r="AS14" i="55"/>
  <c r="AR14" i="55"/>
  <c r="AQ14" i="55"/>
  <c r="AP14" i="55"/>
  <c r="AO14" i="55"/>
  <c r="AN14" i="55"/>
  <c r="AM14" i="55"/>
  <c r="AL14" i="55"/>
  <c r="AK14" i="55"/>
  <c r="AJ14" i="55"/>
  <c r="AI14" i="55"/>
  <c r="AH14" i="55"/>
  <c r="AG14" i="55"/>
  <c r="AX13" i="55"/>
  <c r="AW13" i="55"/>
  <c r="AV13" i="55"/>
  <c r="AU13" i="55"/>
  <c r="AT13" i="55"/>
  <c r="AR13" i="55"/>
  <c r="AQ13" i="55"/>
  <c r="AP13" i="55"/>
  <c r="AO13" i="55"/>
  <c r="AN13" i="55"/>
  <c r="AL13" i="55"/>
  <c r="AK13" i="55"/>
  <c r="AJ13" i="55"/>
  <c r="AI13" i="55"/>
  <c r="AH13" i="55"/>
  <c r="AX12" i="55"/>
  <c r="AW12" i="55"/>
  <c r="AV12" i="55"/>
  <c r="AU12" i="55"/>
  <c r="AT12" i="55"/>
  <c r="AR12" i="55"/>
  <c r="AQ12" i="55"/>
  <c r="AP12" i="55"/>
  <c r="AO12" i="55"/>
  <c r="AN12" i="55"/>
  <c r="AL12" i="55"/>
  <c r="AK12" i="55"/>
  <c r="AJ12" i="55"/>
  <c r="AI12" i="55"/>
  <c r="AH12" i="55"/>
  <c r="AX11" i="55"/>
  <c r="AW11" i="55"/>
  <c r="AV11" i="55"/>
  <c r="AU11" i="55"/>
  <c r="AT11" i="55"/>
  <c r="AS11" i="55"/>
  <c r="AR11" i="55"/>
  <c r="AQ11" i="55"/>
  <c r="AP11" i="55"/>
  <c r="AO11" i="55"/>
  <c r="AN11" i="55"/>
  <c r="AM11" i="55"/>
  <c r="AL11" i="55"/>
  <c r="AK11" i="55"/>
  <c r="AJ11" i="55"/>
  <c r="AI11" i="55"/>
  <c r="AH11" i="55"/>
  <c r="AG11" i="55"/>
  <c r="AX10" i="55"/>
  <c r="AW10" i="55"/>
  <c r="AV10" i="55"/>
  <c r="AU10" i="55"/>
  <c r="AT10" i="55"/>
  <c r="AR10" i="55"/>
  <c r="AQ10" i="55"/>
  <c r="AP10" i="55"/>
  <c r="AO10" i="55"/>
  <c r="AN10" i="55"/>
  <c r="AL10" i="55"/>
  <c r="AK10" i="55"/>
  <c r="AJ10" i="55"/>
  <c r="AI10" i="55"/>
  <c r="AH10" i="55"/>
  <c r="AX9" i="55"/>
  <c r="AW9" i="55"/>
  <c r="AV9" i="55"/>
  <c r="AU9" i="55"/>
  <c r="AT9" i="55"/>
  <c r="AR9" i="55"/>
  <c r="AQ9" i="55"/>
  <c r="AP9" i="55"/>
  <c r="AO9" i="55"/>
  <c r="AN9" i="55"/>
  <c r="AL9" i="55"/>
  <c r="AK9" i="55"/>
  <c r="AJ9" i="55"/>
  <c r="AI9" i="55"/>
  <c r="AH9" i="55"/>
  <c r="AX8" i="55"/>
  <c r="AW8" i="55"/>
  <c r="AV8" i="55"/>
  <c r="AU8" i="55"/>
  <c r="AT8" i="55"/>
  <c r="AR8" i="55"/>
  <c r="AQ8" i="55"/>
  <c r="AP8" i="55"/>
  <c r="AO8" i="55"/>
  <c r="AN8" i="55"/>
  <c r="AL8" i="55"/>
  <c r="AK8" i="55"/>
  <c r="AJ8" i="55"/>
  <c r="AI8" i="55"/>
  <c r="AH8" i="55"/>
  <c r="AX7" i="55"/>
  <c r="AW7" i="55"/>
  <c r="AV7" i="55"/>
  <c r="AU7" i="55"/>
  <c r="AT7" i="55"/>
  <c r="AR7" i="55"/>
  <c r="AQ7" i="55"/>
  <c r="AP7" i="55"/>
  <c r="AO7" i="55"/>
  <c r="AN7" i="55"/>
  <c r="AL7" i="55"/>
  <c r="AK7" i="55"/>
  <c r="AJ7" i="55"/>
  <c r="AI7" i="55"/>
  <c r="AH7" i="55"/>
  <c r="AF15" i="55"/>
  <c r="AE15" i="55"/>
  <c r="AD15" i="55"/>
  <c r="AC15" i="55"/>
  <c r="AB15" i="55"/>
  <c r="AA15" i="55"/>
  <c r="AF14" i="55"/>
  <c r="AE14" i="55"/>
  <c r="AD14" i="55"/>
  <c r="AC14" i="55"/>
  <c r="AB14" i="55"/>
  <c r="AA14" i="55"/>
  <c r="AF13" i="55"/>
  <c r="AE13" i="55"/>
  <c r="AD13" i="55"/>
  <c r="AC13" i="55"/>
  <c r="AB13" i="55"/>
  <c r="AF12" i="55"/>
  <c r="AE12" i="55"/>
  <c r="AD12" i="55"/>
  <c r="AC12" i="55"/>
  <c r="AB12" i="55"/>
  <c r="AF11" i="55"/>
  <c r="AE11" i="55"/>
  <c r="AD11" i="55"/>
  <c r="AC11" i="55"/>
  <c r="AB11" i="55"/>
  <c r="AA11" i="55"/>
  <c r="AF10" i="55"/>
  <c r="AE10" i="55"/>
  <c r="AD10" i="55"/>
  <c r="AC10" i="55"/>
  <c r="AB10" i="55"/>
  <c r="AF9" i="55"/>
  <c r="AE9" i="55"/>
  <c r="AD9" i="55"/>
  <c r="AC9" i="55"/>
  <c r="AB9" i="55"/>
  <c r="AF8" i="55"/>
  <c r="AE8" i="55"/>
  <c r="AD8" i="55"/>
  <c r="AC8" i="55"/>
  <c r="AB8" i="55"/>
  <c r="AF7" i="55"/>
  <c r="AE7" i="55"/>
  <c r="AD7" i="55"/>
  <c r="AC7" i="55"/>
  <c r="AB7" i="55"/>
  <c r="Z43" i="55"/>
  <c r="Y43" i="55"/>
  <c r="X43" i="55"/>
  <c r="W43" i="55"/>
  <c r="V43" i="55"/>
  <c r="U43" i="55"/>
  <c r="T43" i="55"/>
  <c r="S43" i="55"/>
  <c r="R43" i="55"/>
  <c r="Q43" i="55"/>
  <c r="P43" i="55"/>
  <c r="O43" i="55"/>
  <c r="N43" i="55"/>
  <c r="M43" i="55"/>
  <c r="L43" i="55"/>
  <c r="K43" i="55"/>
  <c r="J43" i="55"/>
  <c r="I43" i="55"/>
  <c r="H43" i="55"/>
  <c r="G43" i="55"/>
  <c r="F43" i="55"/>
  <c r="E43" i="55"/>
  <c r="D43" i="55"/>
  <c r="C43" i="55"/>
  <c r="Z42" i="55"/>
  <c r="Y42" i="55"/>
  <c r="X42" i="55"/>
  <c r="W42" i="55"/>
  <c r="V42" i="55"/>
  <c r="U42" i="55"/>
  <c r="T42" i="55"/>
  <c r="S42" i="55"/>
  <c r="R42" i="55"/>
  <c r="Q42" i="55"/>
  <c r="P42" i="55"/>
  <c r="O42" i="55"/>
  <c r="N42" i="55"/>
  <c r="M42" i="55"/>
  <c r="L42" i="55"/>
  <c r="K42" i="55"/>
  <c r="J42" i="55"/>
  <c r="I42" i="55"/>
  <c r="H42" i="55"/>
  <c r="G42" i="55"/>
  <c r="F42" i="55"/>
  <c r="E42" i="55"/>
  <c r="D42" i="55"/>
  <c r="C42" i="55"/>
  <c r="Z41" i="55"/>
  <c r="Y41" i="55"/>
  <c r="X41" i="55"/>
  <c r="W41" i="55"/>
  <c r="V41" i="55"/>
  <c r="T41" i="55"/>
  <c r="S41" i="55"/>
  <c r="R41" i="55"/>
  <c r="Q41" i="55"/>
  <c r="P41" i="55"/>
  <c r="O41" i="55"/>
  <c r="N41" i="55"/>
  <c r="M41" i="55"/>
  <c r="L41" i="55"/>
  <c r="K41" i="55"/>
  <c r="J41" i="55"/>
  <c r="H41" i="55"/>
  <c r="G41" i="55"/>
  <c r="F41" i="55"/>
  <c r="E41" i="55"/>
  <c r="D41" i="55"/>
  <c r="Z40" i="55"/>
  <c r="Y40" i="55"/>
  <c r="X40" i="55"/>
  <c r="W40" i="55"/>
  <c r="V40" i="55"/>
  <c r="U40" i="55"/>
  <c r="T40" i="55"/>
  <c r="S40" i="55"/>
  <c r="R40" i="55"/>
  <c r="Q40" i="55"/>
  <c r="P40" i="55"/>
  <c r="O40" i="55"/>
  <c r="N40" i="55"/>
  <c r="M40" i="55"/>
  <c r="L40" i="55"/>
  <c r="K40" i="55"/>
  <c r="J40" i="55"/>
  <c r="I40" i="55"/>
  <c r="H40" i="55"/>
  <c r="G40" i="55"/>
  <c r="F40" i="55"/>
  <c r="E40" i="55"/>
  <c r="D40" i="55"/>
  <c r="C40" i="55"/>
  <c r="Z39" i="55"/>
  <c r="Y39" i="55"/>
  <c r="X39" i="55"/>
  <c r="W39" i="55"/>
  <c r="V39" i="55"/>
  <c r="U39" i="55"/>
  <c r="T39" i="55"/>
  <c r="S39" i="55"/>
  <c r="R39" i="55"/>
  <c r="Q39" i="55"/>
  <c r="P39" i="55"/>
  <c r="O39" i="55"/>
  <c r="N39" i="55"/>
  <c r="M39" i="55"/>
  <c r="L39" i="55"/>
  <c r="K39" i="55"/>
  <c r="J39" i="55"/>
  <c r="I39" i="55"/>
  <c r="H39" i="55"/>
  <c r="G39" i="55"/>
  <c r="F39" i="55"/>
  <c r="E39" i="55"/>
  <c r="D39" i="55"/>
  <c r="C39" i="55"/>
  <c r="Z38" i="55"/>
  <c r="Y38" i="55"/>
  <c r="X38" i="55"/>
  <c r="W38" i="55"/>
  <c r="V38" i="55"/>
  <c r="U38" i="55"/>
  <c r="T38" i="55"/>
  <c r="S38" i="55"/>
  <c r="R38" i="55"/>
  <c r="Q38" i="55"/>
  <c r="P38" i="55"/>
  <c r="O38" i="55"/>
  <c r="N38" i="55"/>
  <c r="M38" i="55"/>
  <c r="L38" i="55"/>
  <c r="K38" i="55"/>
  <c r="J38" i="55"/>
  <c r="I38" i="55"/>
  <c r="H38" i="55"/>
  <c r="G38" i="55"/>
  <c r="F38" i="55"/>
  <c r="E38" i="55"/>
  <c r="D38" i="55"/>
  <c r="C38" i="55"/>
  <c r="Z37" i="55"/>
  <c r="Y37" i="55"/>
  <c r="X37" i="55"/>
  <c r="W37" i="55"/>
  <c r="V37" i="55"/>
  <c r="U37" i="55"/>
  <c r="T37" i="55"/>
  <c r="S37" i="55"/>
  <c r="R37" i="55"/>
  <c r="Q37" i="55"/>
  <c r="P37" i="55"/>
  <c r="O37" i="55"/>
  <c r="N37" i="55"/>
  <c r="M37" i="55"/>
  <c r="L37" i="55"/>
  <c r="K37" i="55"/>
  <c r="J37" i="55"/>
  <c r="I37" i="55"/>
  <c r="H37" i="55"/>
  <c r="G37" i="55"/>
  <c r="F37" i="55"/>
  <c r="E37" i="55"/>
  <c r="D37" i="55"/>
  <c r="C37" i="55"/>
  <c r="Z36" i="55"/>
  <c r="Y36" i="55"/>
  <c r="X36" i="55"/>
  <c r="W36" i="55"/>
  <c r="V36" i="55"/>
  <c r="T36" i="55"/>
  <c r="S36" i="55"/>
  <c r="R36" i="55"/>
  <c r="Q36" i="55"/>
  <c r="P36" i="55"/>
  <c r="O36" i="55"/>
  <c r="N36" i="55"/>
  <c r="M36" i="55"/>
  <c r="L36" i="55"/>
  <c r="K36" i="55"/>
  <c r="J36" i="55"/>
  <c r="H36" i="55"/>
  <c r="G36" i="55"/>
  <c r="F36" i="55"/>
  <c r="E36" i="55"/>
  <c r="D36" i="55"/>
  <c r="Z35" i="55"/>
  <c r="Y35" i="55"/>
  <c r="X35" i="55"/>
  <c r="W35" i="55"/>
  <c r="V35" i="55"/>
  <c r="T35" i="55"/>
  <c r="S35" i="55"/>
  <c r="R35" i="55"/>
  <c r="Q35" i="55"/>
  <c r="P35" i="55"/>
  <c r="N35" i="55"/>
  <c r="M35" i="55"/>
  <c r="L35" i="55"/>
  <c r="K35" i="55"/>
  <c r="J35" i="55"/>
  <c r="H35" i="55"/>
  <c r="G35" i="55"/>
  <c r="F35" i="55"/>
  <c r="E35" i="55"/>
  <c r="D35" i="55"/>
  <c r="U29" i="55"/>
  <c r="T29" i="55"/>
  <c r="S29" i="55"/>
  <c r="R29" i="55"/>
  <c r="Q29" i="55"/>
  <c r="P29" i="55"/>
  <c r="O29" i="55"/>
  <c r="N29" i="55"/>
  <c r="M29" i="55"/>
  <c r="L29" i="55"/>
  <c r="K29" i="55"/>
  <c r="J29" i="55"/>
  <c r="I29" i="55"/>
  <c r="H29" i="55"/>
  <c r="G29" i="55"/>
  <c r="F29" i="55"/>
  <c r="E29" i="55"/>
  <c r="D29" i="55"/>
  <c r="C29" i="55"/>
  <c r="T28" i="55"/>
  <c r="S28" i="55"/>
  <c r="R28" i="55"/>
  <c r="Q28" i="55"/>
  <c r="P28" i="55"/>
  <c r="O28" i="55"/>
  <c r="N28" i="55"/>
  <c r="M28" i="55"/>
  <c r="L28" i="55"/>
  <c r="K28" i="55"/>
  <c r="J28" i="55"/>
  <c r="H28" i="55"/>
  <c r="G28" i="55"/>
  <c r="F28" i="55"/>
  <c r="E28" i="55"/>
  <c r="D28" i="55"/>
  <c r="T27" i="55"/>
  <c r="S27" i="55"/>
  <c r="R27" i="55"/>
  <c r="Q27" i="55"/>
  <c r="P27" i="55"/>
  <c r="O27" i="55"/>
  <c r="N27" i="55"/>
  <c r="M27" i="55"/>
  <c r="L27" i="55"/>
  <c r="K27" i="55"/>
  <c r="J27" i="55"/>
  <c r="H27" i="55"/>
  <c r="G27" i="55"/>
  <c r="F27" i="55"/>
  <c r="E27" i="55"/>
  <c r="D27" i="55"/>
  <c r="T26" i="55"/>
  <c r="S26" i="55"/>
  <c r="R26" i="55"/>
  <c r="Q26" i="55"/>
  <c r="P26" i="55"/>
  <c r="N26" i="55"/>
  <c r="M26" i="55"/>
  <c r="L26" i="55"/>
  <c r="K26" i="55"/>
  <c r="J26" i="55"/>
  <c r="H26" i="55"/>
  <c r="G26" i="55"/>
  <c r="F26" i="55"/>
  <c r="E26" i="55"/>
  <c r="D26" i="55"/>
  <c r="T25" i="55"/>
  <c r="S25" i="55"/>
  <c r="R25" i="55"/>
  <c r="Q25" i="55"/>
  <c r="P25" i="55"/>
  <c r="O25" i="55"/>
  <c r="N25" i="55"/>
  <c r="M25" i="55"/>
  <c r="L25" i="55"/>
  <c r="K25" i="55"/>
  <c r="J25" i="55"/>
  <c r="H25" i="55"/>
  <c r="G25" i="55"/>
  <c r="F25" i="55"/>
  <c r="E25" i="55"/>
  <c r="D25" i="55"/>
  <c r="T24" i="55"/>
  <c r="S24" i="55"/>
  <c r="R24" i="55"/>
  <c r="Q24" i="55"/>
  <c r="P24" i="55"/>
  <c r="O24" i="55"/>
  <c r="N24" i="55"/>
  <c r="M24" i="55"/>
  <c r="L24" i="55"/>
  <c r="K24" i="55"/>
  <c r="J24" i="55"/>
  <c r="H24" i="55"/>
  <c r="G24" i="55"/>
  <c r="F24" i="55"/>
  <c r="E24" i="55"/>
  <c r="D24" i="55"/>
  <c r="T23" i="55"/>
  <c r="S23" i="55"/>
  <c r="R23" i="55"/>
  <c r="Q23" i="55"/>
  <c r="P23" i="55"/>
  <c r="N23" i="55"/>
  <c r="M23" i="55"/>
  <c r="L23" i="55"/>
  <c r="K23" i="55"/>
  <c r="J23" i="55"/>
  <c r="H23" i="55"/>
  <c r="G23" i="55"/>
  <c r="F23" i="55"/>
  <c r="E23" i="55"/>
  <c r="D23" i="55"/>
  <c r="T22" i="55"/>
  <c r="S22" i="55"/>
  <c r="R22" i="55"/>
  <c r="Q22" i="55"/>
  <c r="P22" i="55"/>
  <c r="N22" i="55"/>
  <c r="M22" i="55"/>
  <c r="L22" i="55"/>
  <c r="K22" i="55"/>
  <c r="J22" i="55"/>
  <c r="H22" i="55"/>
  <c r="G22" i="55"/>
  <c r="F22" i="55"/>
  <c r="E22" i="55"/>
  <c r="D22" i="55"/>
  <c r="T21" i="55"/>
  <c r="S21" i="55"/>
  <c r="R21" i="55"/>
  <c r="Q21" i="55"/>
  <c r="P21" i="55"/>
  <c r="N21" i="55"/>
  <c r="M21" i="55"/>
  <c r="L21" i="55"/>
  <c r="K21" i="55"/>
  <c r="J21" i="55"/>
  <c r="H21" i="55"/>
  <c r="G21" i="55"/>
  <c r="F21" i="55"/>
  <c r="E21" i="55"/>
  <c r="D21" i="55"/>
  <c r="N93" i="64"/>
  <c r="O93" i="64"/>
  <c r="P93" i="64"/>
  <c r="N94" i="64"/>
  <c r="O94" i="64"/>
  <c r="P94" i="64"/>
  <c r="N95" i="64"/>
  <c r="O95" i="64"/>
  <c r="P95" i="64"/>
  <c r="N96" i="64"/>
  <c r="O96" i="64"/>
  <c r="P96" i="64"/>
  <c r="N97" i="64"/>
  <c r="O97" i="64"/>
  <c r="P97" i="64"/>
  <c r="N98" i="64"/>
  <c r="O98" i="64"/>
  <c r="P98" i="64"/>
  <c r="N99" i="64"/>
  <c r="O99" i="64"/>
  <c r="P99" i="64"/>
  <c r="N100" i="64"/>
  <c r="O100" i="64"/>
  <c r="P100" i="64"/>
  <c r="N101" i="64"/>
  <c r="O101" i="64"/>
  <c r="P101" i="64"/>
  <c r="M94" i="64"/>
  <c r="M95" i="64"/>
  <c r="M96" i="64"/>
  <c r="M97" i="64"/>
  <c r="M98" i="64"/>
  <c r="M99" i="64"/>
  <c r="M100" i="64"/>
  <c r="M101" i="64"/>
  <c r="M93" i="64"/>
  <c r="N81" i="64"/>
  <c r="O81" i="64"/>
  <c r="P81" i="64"/>
  <c r="N82" i="64"/>
  <c r="O82" i="64"/>
  <c r="P82" i="64"/>
  <c r="N83" i="64"/>
  <c r="O83" i="64"/>
  <c r="P83" i="64"/>
  <c r="N84" i="64"/>
  <c r="O84" i="64"/>
  <c r="P84" i="64"/>
  <c r="N85" i="64"/>
  <c r="O85" i="64"/>
  <c r="P85" i="64"/>
  <c r="N86" i="64"/>
  <c r="O86" i="64"/>
  <c r="P86" i="64"/>
  <c r="N87" i="64"/>
  <c r="O87" i="64"/>
  <c r="P87" i="64"/>
  <c r="N88" i="64"/>
  <c r="O88" i="64"/>
  <c r="P88" i="64"/>
  <c r="N89" i="64"/>
  <c r="O89" i="64"/>
  <c r="P89" i="64"/>
  <c r="M82" i="64"/>
  <c r="M83" i="64"/>
  <c r="M84" i="64"/>
  <c r="M85" i="64"/>
  <c r="M86" i="64"/>
  <c r="M87" i="64"/>
  <c r="M88" i="64"/>
  <c r="M89" i="64"/>
  <c r="M81" i="64"/>
  <c r="N69" i="64"/>
  <c r="O69" i="64"/>
  <c r="P69" i="64"/>
  <c r="N70" i="64"/>
  <c r="O70" i="64"/>
  <c r="P70" i="64"/>
  <c r="N71" i="64"/>
  <c r="O71" i="64"/>
  <c r="P71" i="64"/>
  <c r="N72" i="64"/>
  <c r="O72" i="64"/>
  <c r="P72" i="64"/>
  <c r="N73" i="64"/>
  <c r="O73" i="64"/>
  <c r="P73" i="64"/>
  <c r="N74" i="64"/>
  <c r="O74" i="64"/>
  <c r="P74" i="64"/>
  <c r="N75" i="64"/>
  <c r="O75" i="64"/>
  <c r="P75" i="64"/>
  <c r="N76" i="64"/>
  <c r="O76" i="64"/>
  <c r="P76" i="64"/>
  <c r="N77" i="64"/>
  <c r="O77" i="64"/>
  <c r="P77" i="64"/>
  <c r="M70" i="64"/>
  <c r="M71" i="64"/>
  <c r="M72" i="64"/>
  <c r="M73" i="64"/>
  <c r="M74" i="64"/>
  <c r="M75" i="64"/>
  <c r="M76" i="64"/>
  <c r="M77" i="64"/>
  <c r="M69" i="64"/>
  <c r="N57" i="64"/>
  <c r="O57" i="64"/>
  <c r="P57" i="64"/>
  <c r="N58" i="64"/>
  <c r="O58" i="64"/>
  <c r="P58" i="64"/>
  <c r="N59" i="64"/>
  <c r="O59" i="64"/>
  <c r="P59" i="64"/>
  <c r="N60" i="64"/>
  <c r="O60" i="64"/>
  <c r="P60" i="64"/>
  <c r="N61" i="64"/>
  <c r="O61" i="64"/>
  <c r="P61" i="64"/>
  <c r="N62" i="64"/>
  <c r="O62" i="64"/>
  <c r="P62" i="64"/>
  <c r="N63" i="64"/>
  <c r="O63" i="64"/>
  <c r="P63" i="64"/>
  <c r="N64" i="64"/>
  <c r="O64" i="64"/>
  <c r="P64" i="64"/>
  <c r="N65" i="64"/>
  <c r="O65" i="64"/>
  <c r="M58" i="64"/>
  <c r="M59" i="64"/>
  <c r="M60" i="64"/>
  <c r="M61" i="64"/>
  <c r="M62" i="64"/>
  <c r="M63" i="64"/>
  <c r="M64" i="64"/>
  <c r="M65" i="64"/>
  <c r="M57" i="64"/>
  <c r="N45" i="64"/>
  <c r="O45" i="64"/>
  <c r="P45" i="64"/>
  <c r="O46" i="64"/>
  <c r="P46" i="64"/>
  <c r="O47" i="64"/>
  <c r="P47" i="64"/>
  <c r="O48" i="64"/>
  <c r="P48" i="64"/>
  <c r="O49" i="64"/>
  <c r="P49" i="64"/>
  <c r="O50" i="64"/>
  <c r="P50" i="64"/>
  <c r="O51" i="64"/>
  <c r="P51" i="64"/>
  <c r="O52" i="64"/>
  <c r="P52" i="64"/>
  <c r="O53" i="64"/>
  <c r="P53" i="64"/>
  <c r="M46" i="64"/>
  <c r="M47" i="64"/>
  <c r="M48" i="64"/>
  <c r="M49" i="64"/>
  <c r="M50" i="64"/>
  <c r="M51" i="64"/>
  <c r="M52" i="64"/>
  <c r="M53" i="64"/>
  <c r="M45" i="64"/>
  <c r="N33" i="64"/>
  <c r="O33" i="64"/>
  <c r="P33" i="64"/>
  <c r="N34" i="64"/>
  <c r="O34" i="64"/>
  <c r="P34" i="64"/>
  <c r="N35" i="64"/>
  <c r="O35" i="64"/>
  <c r="P35" i="64"/>
  <c r="N36" i="64"/>
  <c r="O36" i="64"/>
  <c r="P36" i="64"/>
  <c r="N37" i="64"/>
  <c r="O37" i="64"/>
  <c r="P37" i="64"/>
  <c r="N38" i="64"/>
  <c r="O38" i="64"/>
  <c r="P38" i="64"/>
  <c r="N39" i="64"/>
  <c r="O39" i="64"/>
  <c r="P39" i="64"/>
  <c r="N40" i="64"/>
  <c r="O40" i="64"/>
  <c r="P40" i="64"/>
  <c r="N41" i="64"/>
  <c r="O41" i="64"/>
  <c r="P41" i="64"/>
  <c r="M34" i="64"/>
  <c r="M35" i="64"/>
  <c r="M36" i="64"/>
  <c r="M37" i="64"/>
  <c r="M38" i="64"/>
  <c r="M39" i="64"/>
  <c r="M40" i="64"/>
  <c r="M41" i="64"/>
  <c r="M33" i="64"/>
  <c r="N21" i="64"/>
  <c r="O21" i="64"/>
  <c r="P21" i="64"/>
  <c r="N22" i="64"/>
  <c r="O22" i="64"/>
  <c r="P22" i="64"/>
  <c r="N23" i="64"/>
  <c r="O23" i="64"/>
  <c r="P23" i="64"/>
  <c r="N24" i="64"/>
  <c r="O24" i="64"/>
  <c r="P24" i="64"/>
  <c r="N25" i="64"/>
  <c r="O25" i="64"/>
  <c r="P25" i="64"/>
  <c r="N26" i="64"/>
  <c r="O26" i="64"/>
  <c r="P26" i="64"/>
  <c r="N27" i="64"/>
  <c r="O27" i="64"/>
  <c r="P27" i="64"/>
  <c r="N28" i="64"/>
  <c r="O28" i="64"/>
  <c r="P28" i="64"/>
  <c r="N29" i="64"/>
  <c r="O29" i="64"/>
  <c r="P29" i="64"/>
  <c r="M22" i="64"/>
  <c r="M23" i="64"/>
  <c r="M24" i="64"/>
  <c r="M25" i="64"/>
  <c r="M26" i="64"/>
  <c r="M27" i="64"/>
  <c r="M28" i="64"/>
  <c r="M29" i="64"/>
  <c r="M21" i="64"/>
  <c r="N9" i="64"/>
  <c r="O9" i="64"/>
  <c r="P9" i="64"/>
  <c r="N10" i="64"/>
  <c r="O10" i="64"/>
  <c r="P10" i="64"/>
  <c r="N11" i="64"/>
  <c r="O11" i="64"/>
  <c r="P11" i="64"/>
  <c r="N12" i="64"/>
  <c r="O12" i="64"/>
  <c r="P12" i="64"/>
  <c r="N13" i="64"/>
  <c r="O13" i="64"/>
  <c r="P13" i="64"/>
  <c r="N14" i="64"/>
  <c r="O14" i="64"/>
  <c r="P14" i="64"/>
  <c r="N15" i="64"/>
  <c r="O15" i="64"/>
  <c r="P15" i="64"/>
  <c r="N16" i="64"/>
  <c r="O16" i="64"/>
  <c r="P16" i="64"/>
  <c r="N17" i="64"/>
  <c r="O17" i="64"/>
  <c r="P17" i="64"/>
  <c r="N19" i="64"/>
  <c r="O19" i="64"/>
  <c r="P19" i="64"/>
  <c r="M19" i="64"/>
  <c r="M9" i="64"/>
  <c r="N51" i="62"/>
  <c r="O51" i="62"/>
  <c r="P51" i="62"/>
  <c r="N52" i="62"/>
  <c r="O52" i="62"/>
  <c r="P52" i="62"/>
  <c r="N53" i="62"/>
  <c r="O53" i="62"/>
  <c r="P53" i="62"/>
  <c r="M52" i="62"/>
  <c r="M53" i="62"/>
  <c r="M51" i="62"/>
  <c r="N45" i="62"/>
  <c r="O45" i="62"/>
  <c r="P45" i="62"/>
  <c r="N46" i="62"/>
  <c r="O46" i="62"/>
  <c r="P46" i="62"/>
  <c r="N47" i="62"/>
  <c r="O47" i="62"/>
  <c r="P47" i="62"/>
  <c r="M46" i="62"/>
  <c r="M47" i="62"/>
  <c r="M45" i="62"/>
  <c r="N39" i="62"/>
  <c r="O39" i="62"/>
  <c r="P39" i="62"/>
  <c r="N40" i="62"/>
  <c r="O40" i="62"/>
  <c r="P40" i="62"/>
  <c r="N41" i="62"/>
  <c r="O41" i="62"/>
  <c r="P41" i="62"/>
  <c r="M40" i="62"/>
  <c r="M41" i="62"/>
  <c r="M39" i="62"/>
  <c r="N33" i="62"/>
  <c r="O33" i="62"/>
  <c r="P33" i="62"/>
  <c r="N34" i="62"/>
  <c r="O34" i="62"/>
  <c r="P34" i="62"/>
  <c r="N35" i="62"/>
  <c r="O35" i="62"/>
  <c r="P35" i="62"/>
  <c r="M34" i="62"/>
  <c r="M35" i="62"/>
  <c r="M33" i="62"/>
  <c r="N27" i="62"/>
  <c r="O27" i="62"/>
  <c r="P27" i="62"/>
  <c r="N28" i="62"/>
  <c r="O28" i="62"/>
  <c r="P28" i="62"/>
  <c r="N29" i="62"/>
  <c r="O29" i="62"/>
  <c r="P29" i="62"/>
  <c r="M28" i="62"/>
  <c r="M29" i="62"/>
  <c r="M27" i="62"/>
  <c r="N21" i="62"/>
  <c r="O21" i="62"/>
  <c r="P21" i="62"/>
  <c r="N22" i="62"/>
  <c r="O22" i="62"/>
  <c r="P22" i="62"/>
  <c r="N23" i="62"/>
  <c r="O23" i="62"/>
  <c r="P23" i="62"/>
  <c r="M22" i="62"/>
  <c r="M23" i="62"/>
  <c r="M21" i="62"/>
  <c r="N15" i="62"/>
  <c r="O15" i="62"/>
  <c r="P15" i="62"/>
  <c r="N16" i="62"/>
  <c r="O16" i="62"/>
  <c r="P16" i="62"/>
  <c r="N17" i="62"/>
  <c r="O17" i="62"/>
  <c r="P17" i="62"/>
  <c r="M16" i="62"/>
  <c r="M17" i="62"/>
  <c r="M15" i="62"/>
  <c r="N9" i="62"/>
  <c r="O9" i="62"/>
  <c r="P9" i="62"/>
  <c r="N10" i="62"/>
  <c r="O10" i="62"/>
  <c r="P10" i="62"/>
  <c r="N11" i="62"/>
  <c r="O11" i="62"/>
  <c r="P11" i="62"/>
  <c r="M10" i="62"/>
  <c r="M11" i="62"/>
  <c r="M9" i="62"/>
  <c r="O59" i="62" l="1"/>
  <c r="O115" i="64"/>
  <c r="P112" i="64"/>
  <c r="O107" i="64"/>
  <c r="N107" i="64"/>
  <c r="O108" i="64"/>
  <c r="O113" i="64"/>
  <c r="P110" i="64"/>
  <c r="N108" i="64"/>
  <c r="N111" i="64"/>
  <c r="M108" i="64"/>
  <c r="N110" i="64"/>
  <c r="O116" i="64"/>
  <c r="P113" i="64"/>
  <c r="P60" i="62"/>
  <c r="O60" i="62"/>
  <c r="M59" i="62"/>
  <c r="N60" i="62"/>
  <c r="M111" i="64"/>
  <c r="M107" i="64"/>
  <c r="M110" i="64"/>
  <c r="N116" i="64"/>
  <c r="M116" i="64"/>
  <c r="M115" i="64"/>
  <c r="P117" i="64"/>
  <c r="N115" i="64"/>
  <c r="O112" i="64"/>
  <c r="P109" i="64"/>
  <c r="N61" i="62"/>
  <c r="M113" i="64"/>
  <c r="N117" i="64"/>
  <c r="O114" i="64"/>
  <c r="P111" i="64"/>
  <c r="N109" i="64"/>
  <c r="M112" i="64"/>
  <c r="P116" i="64"/>
  <c r="N114" i="64"/>
  <c r="O111" i="64"/>
  <c r="P108" i="64"/>
  <c r="M60" i="62"/>
  <c r="P59" i="62"/>
  <c r="N59" i="62"/>
  <c r="O61" i="62"/>
  <c r="M114" i="64"/>
  <c r="O117" i="64"/>
  <c r="P114" i="64"/>
  <c r="N112" i="64"/>
  <c r="O109" i="64"/>
  <c r="M117" i="64"/>
  <c r="M109" i="64"/>
  <c r="P115" i="64"/>
  <c r="N113" i="64"/>
  <c r="O110" i="64"/>
  <c r="P107" i="64"/>
  <c r="M61" i="62"/>
  <c r="P61" i="62"/>
  <c r="P50" i="62"/>
  <c r="O50" i="62"/>
  <c r="N50" i="62"/>
  <c r="M50" i="62"/>
  <c r="M104" i="64"/>
  <c r="M80" i="64"/>
  <c r="N104" i="64"/>
  <c r="O104" i="64"/>
  <c r="M92" i="64"/>
  <c r="O92" i="64"/>
  <c r="P104" i="64"/>
  <c r="M68" i="64"/>
  <c r="M56" i="64"/>
  <c r="M32" i="64"/>
  <c r="M20" i="64"/>
  <c r="M44" i="64"/>
  <c r="N80" i="64"/>
  <c r="N92" i="64"/>
  <c r="P92" i="64"/>
  <c r="O80" i="64"/>
  <c r="P80" i="64"/>
  <c r="O32" i="64"/>
  <c r="P56" i="64"/>
  <c r="P32" i="64"/>
  <c r="O20" i="64"/>
  <c r="P20" i="64"/>
  <c r="P44" i="64"/>
  <c r="O44" i="64"/>
  <c r="O56" i="64"/>
  <c r="N44" i="64"/>
  <c r="N32" i="64"/>
  <c r="N56" i="64"/>
  <c r="P38" i="62"/>
  <c r="N44" i="62"/>
  <c r="N56" i="62"/>
  <c r="M38" i="62"/>
  <c r="M56" i="62"/>
  <c r="P56" i="62"/>
  <c r="N38" i="62"/>
  <c r="O44" i="62"/>
  <c r="O56" i="62"/>
  <c r="O38" i="62"/>
  <c r="M44" i="62"/>
  <c r="P44" i="62"/>
  <c r="P26" i="62"/>
  <c r="M26" i="62"/>
  <c r="O26" i="62"/>
  <c r="N26" i="62"/>
  <c r="M20" i="62"/>
  <c r="M32" i="62"/>
  <c r="P20" i="62"/>
  <c r="P32" i="62"/>
  <c r="O20" i="62"/>
  <c r="O32" i="62"/>
  <c r="N20" i="62"/>
  <c r="N32" i="62"/>
  <c r="P14" i="62"/>
  <c r="O14" i="62"/>
  <c r="N14" i="62"/>
  <c r="M14" i="62"/>
  <c r="P68" i="64"/>
  <c r="N68" i="64"/>
  <c r="O68" i="64"/>
  <c r="N118" i="64" l="1"/>
  <c r="N64" i="62"/>
  <c r="M118" i="64"/>
  <c r="P64" i="62"/>
  <c r="O64" i="62"/>
  <c r="M64" i="62"/>
  <c r="P118" i="64"/>
  <c r="O118" i="64"/>
  <c r="M105" i="64"/>
  <c r="N105" i="64"/>
  <c r="P105" i="64"/>
  <c r="O105" i="64"/>
  <c r="N57" i="62"/>
  <c r="M57" i="62"/>
  <c r="O57" i="62"/>
  <c r="P57" i="62"/>
  <c r="J36" i="47"/>
  <c r="I36" i="47"/>
  <c r="H36" i="47"/>
  <c r="G36" i="47"/>
  <c r="F36" i="47"/>
  <c r="E36" i="47"/>
  <c r="D36" i="47"/>
  <c r="J36" i="48"/>
  <c r="I36" i="48"/>
  <c r="H36" i="48"/>
  <c r="G36" i="48"/>
  <c r="F36" i="48"/>
  <c r="E36" i="48"/>
  <c r="D36" i="48"/>
  <c r="J36" i="49"/>
  <c r="I36" i="49"/>
  <c r="H36" i="49"/>
  <c r="G36" i="49"/>
  <c r="F36" i="49"/>
  <c r="E36" i="49"/>
  <c r="D36" i="49"/>
  <c r="J36" i="50"/>
  <c r="I36" i="50"/>
  <c r="H36" i="50"/>
  <c r="G36" i="50"/>
  <c r="F36" i="50"/>
  <c r="E36" i="50"/>
  <c r="D36" i="50"/>
  <c r="J36" i="51"/>
  <c r="I36" i="51"/>
  <c r="H36" i="51"/>
  <c r="G36" i="51"/>
  <c r="F36" i="51"/>
  <c r="E36" i="51"/>
  <c r="D36" i="51"/>
  <c r="J36" i="52"/>
  <c r="I36" i="52"/>
  <c r="H36" i="52"/>
  <c r="G36" i="52"/>
  <c r="F36" i="52"/>
  <c r="E36" i="52"/>
  <c r="D36" i="52"/>
  <c r="L102" i="64" l="1"/>
  <c r="L90" i="64"/>
  <c r="L78" i="64"/>
  <c r="L66" i="64"/>
  <c r="L54" i="64"/>
  <c r="L42" i="64"/>
  <c r="L30" i="64"/>
  <c r="L19" i="64"/>
  <c r="L117" i="64" s="1"/>
  <c r="L18" i="64"/>
  <c r="L116" i="64" s="1"/>
  <c r="K102" i="64"/>
  <c r="K90" i="64"/>
  <c r="K78" i="64"/>
  <c r="K54" i="64"/>
  <c r="K42" i="64"/>
  <c r="K30" i="64"/>
  <c r="K19" i="64"/>
  <c r="K117" i="64" s="1"/>
  <c r="K18" i="64"/>
  <c r="K116" i="64" s="1"/>
  <c r="Z57" i="55"/>
  <c r="L53" i="64" s="1"/>
  <c r="Z56" i="55"/>
  <c r="L52" i="64" s="1"/>
  <c r="Z55" i="55"/>
  <c r="L51" i="64" s="1"/>
  <c r="Z54" i="55"/>
  <c r="L50" i="64" s="1"/>
  <c r="Z53" i="55"/>
  <c r="L49" i="64" s="1"/>
  <c r="Z52" i="55"/>
  <c r="L48" i="64" s="1"/>
  <c r="Z51" i="55"/>
  <c r="L47" i="64" s="1"/>
  <c r="Z50" i="55"/>
  <c r="L46" i="64" s="1"/>
  <c r="Z49" i="55"/>
  <c r="L45" i="64" s="1"/>
  <c r="Z15" i="55"/>
  <c r="Z14" i="55"/>
  <c r="Z13" i="55"/>
  <c r="Z12" i="55"/>
  <c r="Z11" i="55"/>
  <c r="Z10" i="55"/>
  <c r="Z9" i="55"/>
  <c r="Z8" i="55"/>
  <c r="Z7" i="55"/>
  <c r="Y57" i="55"/>
  <c r="K53" i="64" s="1"/>
  <c r="Y56" i="55"/>
  <c r="K52" i="64" s="1"/>
  <c r="Y55" i="55"/>
  <c r="K51" i="64" s="1"/>
  <c r="Y54" i="55"/>
  <c r="K50" i="64" s="1"/>
  <c r="Y53" i="55"/>
  <c r="K49" i="64" s="1"/>
  <c r="Y52" i="55"/>
  <c r="K48" i="64" s="1"/>
  <c r="Y51" i="55"/>
  <c r="K47" i="64" s="1"/>
  <c r="Y50" i="55"/>
  <c r="K46" i="64" s="1"/>
  <c r="Y49" i="55"/>
  <c r="K45" i="64" s="1"/>
  <c r="Y15" i="55"/>
  <c r="Y14" i="55"/>
  <c r="Y13" i="55"/>
  <c r="Y12" i="55"/>
  <c r="Y11" i="55"/>
  <c r="Y10" i="55"/>
  <c r="Y9" i="55"/>
  <c r="Y8" i="55"/>
  <c r="Y7" i="55"/>
  <c r="T57" i="55"/>
  <c r="L41" i="64" s="1"/>
  <c r="T56" i="55"/>
  <c r="L40" i="64" s="1"/>
  <c r="T55" i="55"/>
  <c r="L39" i="64" s="1"/>
  <c r="T54" i="55"/>
  <c r="L38" i="64" s="1"/>
  <c r="T53" i="55"/>
  <c r="L37" i="64" s="1"/>
  <c r="T52" i="55"/>
  <c r="L36" i="64" s="1"/>
  <c r="T51" i="55"/>
  <c r="L35" i="64" s="1"/>
  <c r="T50" i="55"/>
  <c r="L34" i="64" s="1"/>
  <c r="T49" i="55"/>
  <c r="L33" i="64" s="1"/>
  <c r="T15" i="55"/>
  <c r="T14" i="55"/>
  <c r="T13" i="55"/>
  <c r="T12" i="55"/>
  <c r="T11" i="55"/>
  <c r="T10" i="55"/>
  <c r="T9" i="55"/>
  <c r="T8" i="55"/>
  <c r="T7" i="55"/>
  <c r="S57" i="55"/>
  <c r="K41" i="64" s="1"/>
  <c r="S56" i="55"/>
  <c r="K40" i="64" s="1"/>
  <c r="S55" i="55"/>
  <c r="K39" i="64" s="1"/>
  <c r="S54" i="55"/>
  <c r="K38" i="64" s="1"/>
  <c r="S53" i="55"/>
  <c r="K37" i="64" s="1"/>
  <c r="S52" i="55"/>
  <c r="K36" i="64" s="1"/>
  <c r="S51" i="55"/>
  <c r="K35" i="64" s="1"/>
  <c r="S50" i="55"/>
  <c r="K34" i="64" s="1"/>
  <c r="S49" i="55"/>
  <c r="K33" i="64" s="1"/>
  <c r="S15" i="55"/>
  <c r="S14" i="55"/>
  <c r="S13" i="55"/>
  <c r="S12" i="55"/>
  <c r="S11" i="55"/>
  <c r="S10" i="55"/>
  <c r="S9" i="55"/>
  <c r="S8" i="55"/>
  <c r="S7" i="55"/>
  <c r="N57" i="55"/>
  <c r="L29" i="64" s="1"/>
  <c r="N56" i="55"/>
  <c r="L28" i="64" s="1"/>
  <c r="N55" i="55"/>
  <c r="L27" i="64" s="1"/>
  <c r="N54" i="55"/>
  <c r="L26" i="64" s="1"/>
  <c r="N53" i="55"/>
  <c r="L25" i="64" s="1"/>
  <c r="N52" i="55"/>
  <c r="L24" i="64" s="1"/>
  <c r="N51" i="55"/>
  <c r="L23" i="64" s="1"/>
  <c r="N50" i="55"/>
  <c r="L22" i="64" s="1"/>
  <c r="N49" i="55"/>
  <c r="L21" i="64" s="1"/>
  <c r="N15" i="55"/>
  <c r="N14" i="55"/>
  <c r="N13" i="55"/>
  <c r="N12" i="55"/>
  <c r="N11" i="55"/>
  <c r="N10" i="55"/>
  <c r="N9" i="55"/>
  <c r="N8" i="55"/>
  <c r="N7" i="55"/>
  <c r="M57" i="55"/>
  <c r="K29" i="64" s="1"/>
  <c r="M56" i="55"/>
  <c r="K28" i="64" s="1"/>
  <c r="M55" i="55"/>
  <c r="K27" i="64" s="1"/>
  <c r="M54" i="55"/>
  <c r="K26" i="64" s="1"/>
  <c r="M53" i="55"/>
  <c r="K25" i="64" s="1"/>
  <c r="M52" i="55"/>
  <c r="K24" i="64" s="1"/>
  <c r="M51" i="55"/>
  <c r="K23" i="64" s="1"/>
  <c r="M50" i="55"/>
  <c r="K22" i="64" s="1"/>
  <c r="M49" i="55"/>
  <c r="K21" i="64" s="1"/>
  <c r="M15" i="55"/>
  <c r="M14" i="55"/>
  <c r="M13" i="55"/>
  <c r="M12" i="55"/>
  <c r="M11" i="55"/>
  <c r="M10" i="55"/>
  <c r="M9" i="55"/>
  <c r="M8" i="55"/>
  <c r="M7" i="55"/>
  <c r="H57" i="55"/>
  <c r="L17" i="64" s="1"/>
  <c r="L115" i="64" s="1"/>
  <c r="H56" i="55"/>
  <c r="L16" i="64" s="1"/>
  <c r="L114" i="64" s="1"/>
  <c r="H55" i="55"/>
  <c r="L15" i="64" s="1"/>
  <c r="H54" i="55"/>
  <c r="L14" i="64" s="1"/>
  <c r="L112" i="64" s="1"/>
  <c r="H53" i="55"/>
  <c r="L13" i="64" s="1"/>
  <c r="L111" i="64" s="1"/>
  <c r="H52" i="55"/>
  <c r="L12" i="64" s="1"/>
  <c r="H51" i="55"/>
  <c r="L11" i="64" s="1"/>
  <c r="H50" i="55"/>
  <c r="L10" i="64" s="1"/>
  <c r="H49" i="55"/>
  <c r="L9" i="64" s="1"/>
  <c r="L107" i="64" s="1"/>
  <c r="H15" i="55"/>
  <c r="H14" i="55"/>
  <c r="H13" i="55"/>
  <c r="H12" i="55"/>
  <c r="H11" i="55"/>
  <c r="H10" i="55"/>
  <c r="H9" i="55"/>
  <c r="H8" i="55"/>
  <c r="H7" i="55"/>
  <c r="G7" i="55"/>
  <c r="AY63" i="63"/>
  <c r="AX63" i="63"/>
  <c r="AY53" i="63"/>
  <c r="AX53" i="63"/>
  <c r="AU63" i="63"/>
  <c r="AT63" i="63"/>
  <c r="AU53" i="63"/>
  <c r="AT53" i="63"/>
  <c r="AN63" i="63"/>
  <c r="AM63" i="63"/>
  <c r="AN53" i="63"/>
  <c r="AM53" i="63"/>
  <c r="AJ63" i="63"/>
  <c r="AI63" i="63"/>
  <c r="AJ53" i="63"/>
  <c r="AI53" i="63"/>
  <c r="AC63" i="63"/>
  <c r="AB63" i="63"/>
  <c r="AC53" i="63"/>
  <c r="AB53" i="63"/>
  <c r="Y63" i="63"/>
  <c r="X63" i="63"/>
  <c r="Y53" i="63"/>
  <c r="X53" i="63"/>
  <c r="CF182" i="44"/>
  <c r="CF189" i="44" s="1"/>
  <c r="CF193" i="44" s="1"/>
  <c r="BN182" i="44"/>
  <c r="BN189" i="44" s="1"/>
  <c r="BN193" i="44" s="1"/>
  <c r="AV182" i="44"/>
  <c r="AV189" i="44" s="1"/>
  <c r="AV193" i="44" s="1"/>
  <c r="AD182" i="44"/>
  <c r="CG203" i="44"/>
  <c r="CF203" i="44"/>
  <c r="CG182" i="44"/>
  <c r="CC203" i="44"/>
  <c r="CB203" i="44"/>
  <c r="CC182" i="44"/>
  <c r="CB182" i="44"/>
  <c r="BO203" i="44"/>
  <c r="BN203" i="44"/>
  <c r="BO182" i="44"/>
  <c r="BK203" i="44"/>
  <c r="BJ203" i="44"/>
  <c r="BK182" i="44"/>
  <c r="BJ182" i="44"/>
  <c r="AW203" i="44"/>
  <c r="AV203" i="44"/>
  <c r="AW182" i="44"/>
  <c r="AS203" i="44"/>
  <c r="AR203" i="44"/>
  <c r="AS182" i="44"/>
  <c r="AR182" i="44"/>
  <c r="AD203" i="44"/>
  <c r="Z203" i="44"/>
  <c r="AA203" i="44"/>
  <c r="Z182" i="44"/>
  <c r="AA182" i="44"/>
  <c r="G57" i="55"/>
  <c r="K17" i="64" s="1"/>
  <c r="G56" i="55"/>
  <c r="K16" i="64" s="1"/>
  <c r="G55" i="55"/>
  <c r="K15" i="64" s="1"/>
  <c r="G54" i="55"/>
  <c r="K14" i="64" s="1"/>
  <c r="G53" i="55"/>
  <c r="K13" i="64" s="1"/>
  <c r="G52" i="55"/>
  <c r="K12" i="64" s="1"/>
  <c r="G51" i="55"/>
  <c r="K11" i="64" s="1"/>
  <c r="G50" i="55"/>
  <c r="K10" i="64" s="1"/>
  <c r="G49" i="55"/>
  <c r="K9" i="64" s="1"/>
  <c r="G15" i="55"/>
  <c r="G14" i="55"/>
  <c r="G13" i="55"/>
  <c r="G12" i="55"/>
  <c r="G11" i="55"/>
  <c r="G10" i="55"/>
  <c r="G9" i="55"/>
  <c r="G8" i="55"/>
  <c r="AC182" i="44"/>
  <c r="AC189" i="44" s="1"/>
  <c r="AC193" i="44" s="1"/>
  <c r="AC203" i="44"/>
  <c r="T9" i="23"/>
  <c r="T10" i="23"/>
  <c r="T11" i="23"/>
  <c r="T12" i="23"/>
  <c r="P9" i="23"/>
  <c r="P10" i="23"/>
  <c r="P11" i="23"/>
  <c r="P12" i="23"/>
  <c r="M203" i="44"/>
  <c r="N203" i="44"/>
  <c r="M187" i="44"/>
  <c r="N187" i="44"/>
  <c r="M182" i="44"/>
  <c r="N182" i="44"/>
  <c r="E53" i="62"/>
  <c r="E52" i="62"/>
  <c r="E51" i="62"/>
  <c r="E47" i="62"/>
  <c r="E46" i="62"/>
  <c r="E45" i="62"/>
  <c r="E41" i="62"/>
  <c r="E40" i="62"/>
  <c r="E39" i="62"/>
  <c r="E35" i="62"/>
  <c r="E34" i="62"/>
  <c r="E33" i="62"/>
  <c r="E29" i="62"/>
  <c r="E28" i="62"/>
  <c r="E27" i="62"/>
  <c r="E23" i="62"/>
  <c r="E22" i="62"/>
  <c r="E21" i="62"/>
  <c r="E17" i="62"/>
  <c r="E16" i="62"/>
  <c r="E15" i="62"/>
  <c r="E11" i="62"/>
  <c r="E10" i="62"/>
  <c r="E9" i="62"/>
  <c r="B2" i="61"/>
  <c r="B1" i="61"/>
  <c r="J18" i="52"/>
  <c r="J37" i="52" s="1"/>
  <c r="I18" i="52"/>
  <c r="I37" i="52" s="1"/>
  <c r="H18" i="52"/>
  <c r="H37" i="52" s="1"/>
  <c r="G18" i="52"/>
  <c r="G37" i="52" s="1"/>
  <c r="J18" i="51"/>
  <c r="J37" i="51" s="1"/>
  <c r="I18" i="51"/>
  <c r="I37" i="51" s="1"/>
  <c r="H18" i="51"/>
  <c r="H37" i="51" s="1"/>
  <c r="G18" i="51"/>
  <c r="G37" i="51" s="1"/>
  <c r="J18" i="50"/>
  <c r="J37" i="50" s="1"/>
  <c r="I18" i="50"/>
  <c r="I37" i="50" s="1"/>
  <c r="H18" i="50"/>
  <c r="H37" i="50" s="1"/>
  <c r="G18" i="50"/>
  <c r="G37" i="50" s="1"/>
  <c r="J18" i="49"/>
  <c r="J37" i="49" s="1"/>
  <c r="I18" i="49"/>
  <c r="I37" i="49" s="1"/>
  <c r="H18" i="49"/>
  <c r="H37" i="49" s="1"/>
  <c r="G18" i="49"/>
  <c r="G37" i="49" s="1"/>
  <c r="J18" i="48"/>
  <c r="J37" i="48" s="1"/>
  <c r="I18" i="48"/>
  <c r="I37" i="48" s="1"/>
  <c r="H18" i="48"/>
  <c r="H37" i="48" s="1"/>
  <c r="G18" i="48"/>
  <c r="G37" i="48" s="1"/>
  <c r="B2" i="62"/>
  <c r="B1" i="62"/>
  <c r="B2" i="64"/>
  <c r="B1" i="64"/>
  <c r="E60" i="62" l="1"/>
  <c r="E59" i="62"/>
  <c r="L113" i="64"/>
  <c r="K113" i="64"/>
  <c r="K109" i="64"/>
  <c r="K108" i="64"/>
  <c r="K112" i="64"/>
  <c r="L110" i="64"/>
  <c r="K114" i="64"/>
  <c r="K107" i="64"/>
  <c r="K115" i="64"/>
  <c r="L108" i="64"/>
  <c r="K110" i="64"/>
  <c r="L109" i="64"/>
  <c r="E61" i="62"/>
  <c r="K111" i="64"/>
  <c r="AD189" i="44"/>
  <c r="AD193" i="44" s="1"/>
  <c r="CG189" i="44"/>
  <c r="CG193" i="44" s="1"/>
  <c r="AL57" i="55"/>
  <c r="L77" i="64" s="1"/>
  <c r="AL49" i="55"/>
  <c r="L69" i="64" s="1"/>
  <c r="AW51" i="55"/>
  <c r="K95" i="64" s="1"/>
  <c r="AW50" i="55"/>
  <c r="K94" i="64" s="1"/>
  <c r="AE50" i="55"/>
  <c r="K58" i="64" s="1"/>
  <c r="AW57" i="55"/>
  <c r="K101" i="64" s="1"/>
  <c r="AW53" i="55"/>
  <c r="K97" i="64" s="1"/>
  <c r="AW49" i="55"/>
  <c r="K93" i="64" s="1"/>
  <c r="AK54" i="55"/>
  <c r="K74" i="64" s="1"/>
  <c r="AW54" i="55"/>
  <c r="K98" i="64" s="1"/>
  <c r="AF50" i="55"/>
  <c r="L58" i="64" s="1"/>
  <c r="AL53" i="55"/>
  <c r="L73" i="64" s="1"/>
  <c r="AR55" i="55"/>
  <c r="L87" i="64" s="1"/>
  <c r="AX52" i="55"/>
  <c r="L96" i="64" s="1"/>
  <c r="AK52" i="55"/>
  <c r="K72" i="64" s="1"/>
  <c r="AF55" i="55"/>
  <c r="L63" i="64" s="1"/>
  <c r="AX50" i="55"/>
  <c r="L94" i="64" s="1"/>
  <c r="AK50" i="55"/>
  <c r="K70" i="64" s="1"/>
  <c r="AL56" i="55"/>
  <c r="L76" i="64" s="1"/>
  <c r="AF51" i="55"/>
  <c r="L59" i="64" s="1"/>
  <c r="AR49" i="55"/>
  <c r="L81" i="64" s="1"/>
  <c r="AX54" i="55"/>
  <c r="L98" i="64" s="1"/>
  <c r="AF54" i="55"/>
  <c r="L62" i="64" s="1"/>
  <c r="AE54" i="55"/>
  <c r="K62" i="64" s="1"/>
  <c r="AE53" i="55"/>
  <c r="K61" i="64" s="1"/>
  <c r="AF52" i="55"/>
  <c r="L60" i="64" s="1"/>
  <c r="AX55" i="55"/>
  <c r="L99" i="64" s="1"/>
  <c r="AK55" i="55"/>
  <c r="K75" i="64" s="1"/>
  <c r="AW55" i="55"/>
  <c r="K99" i="64" s="1"/>
  <c r="AF57" i="55"/>
  <c r="L65" i="64" s="1"/>
  <c r="AF49" i="55"/>
  <c r="L57" i="64" s="1"/>
  <c r="AK53" i="55"/>
  <c r="K73" i="64" s="1"/>
  <c r="AR56" i="55"/>
  <c r="L88" i="64" s="1"/>
  <c r="AR50" i="55"/>
  <c r="L82" i="64" s="1"/>
  <c r="AX53" i="55"/>
  <c r="L97" i="64" s="1"/>
  <c r="AE57" i="55"/>
  <c r="K65" i="64" s="1"/>
  <c r="AE49" i="55"/>
  <c r="K57" i="64" s="1"/>
  <c r="AL52" i="55"/>
  <c r="L72" i="64" s="1"/>
  <c r="AQ50" i="55"/>
  <c r="K82" i="64" s="1"/>
  <c r="AE56" i="55"/>
  <c r="K64" i="64" s="1"/>
  <c r="AL51" i="55"/>
  <c r="L71" i="64" s="1"/>
  <c r="AQ57" i="55"/>
  <c r="K89" i="64" s="1"/>
  <c r="AQ49" i="55"/>
  <c r="K81" i="64" s="1"/>
  <c r="AW52" i="55"/>
  <c r="K96" i="64" s="1"/>
  <c r="AK51" i="55"/>
  <c r="K71" i="64" s="1"/>
  <c r="AX51" i="55"/>
  <c r="L95" i="64" s="1"/>
  <c r="AE55" i="55"/>
  <c r="K63" i="64" s="1"/>
  <c r="AL50" i="55"/>
  <c r="L70" i="64" s="1"/>
  <c r="AQ54" i="55"/>
  <c r="K86" i="64" s="1"/>
  <c r="AF53" i="55"/>
  <c r="L61" i="64" s="1"/>
  <c r="AK57" i="55"/>
  <c r="K77" i="64" s="1"/>
  <c r="AK49" i="55"/>
  <c r="K69" i="64" s="1"/>
  <c r="AR52" i="55"/>
  <c r="L84" i="64" s="1"/>
  <c r="AR54" i="55"/>
  <c r="L86" i="64" s="1"/>
  <c r="AX49" i="55"/>
  <c r="L93" i="64" s="1"/>
  <c r="AK56" i="55"/>
  <c r="K76" i="64" s="1"/>
  <c r="AR51" i="55"/>
  <c r="L83" i="64" s="1"/>
  <c r="AX56" i="55"/>
  <c r="L100" i="64" s="1"/>
  <c r="AX30" i="55"/>
  <c r="L52" i="62" s="1"/>
  <c r="AE52" i="55"/>
  <c r="K60" i="64" s="1"/>
  <c r="AL55" i="55"/>
  <c r="L75" i="64" s="1"/>
  <c r="AQ51" i="55"/>
  <c r="K83" i="64" s="1"/>
  <c r="AW56" i="55"/>
  <c r="K100" i="64" s="1"/>
  <c r="AE51" i="55"/>
  <c r="K59" i="64" s="1"/>
  <c r="AL54" i="55"/>
  <c r="L74" i="64" s="1"/>
  <c r="AR30" i="55"/>
  <c r="L46" i="62" s="1"/>
  <c r="AR57" i="55"/>
  <c r="L89" i="64" s="1"/>
  <c r="AF16" i="55"/>
  <c r="L33" i="62" s="1"/>
  <c r="AQ56" i="55"/>
  <c r="K88" i="64" s="1"/>
  <c r="AL30" i="55"/>
  <c r="L40" i="62" s="1"/>
  <c r="AQ55" i="55"/>
  <c r="K87" i="64" s="1"/>
  <c r="AX16" i="55"/>
  <c r="L51" i="62" s="1"/>
  <c r="AR53" i="55"/>
  <c r="L85" i="64" s="1"/>
  <c r="AF56" i="55"/>
  <c r="L64" i="64" s="1"/>
  <c r="AQ53" i="55"/>
  <c r="K85" i="64" s="1"/>
  <c r="AQ52" i="55"/>
  <c r="K84" i="64" s="1"/>
  <c r="AX57" i="55"/>
  <c r="L101" i="64" s="1"/>
  <c r="AF30" i="55"/>
  <c r="L34" i="62" s="1"/>
  <c r="CB189" i="44"/>
  <c r="CB193" i="44" s="1"/>
  <c r="L44" i="64"/>
  <c r="L20" i="64"/>
  <c r="K20" i="64"/>
  <c r="L56" i="64"/>
  <c r="L32" i="64"/>
  <c r="K56" i="64"/>
  <c r="K32" i="64"/>
  <c r="K44" i="64"/>
  <c r="AR16" i="55"/>
  <c r="L45" i="62" s="1"/>
  <c r="AE30" i="55"/>
  <c r="K34" i="62" s="1"/>
  <c r="AK30" i="55"/>
  <c r="K40" i="62" s="1"/>
  <c r="AQ16" i="55"/>
  <c r="K45" i="62" s="1"/>
  <c r="AQ30" i="55"/>
  <c r="K46" i="62" s="1"/>
  <c r="AW16" i="55"/>
  <c r="K51" i="62" s="1"/>
  <c r="AW30" i="55"/>
  <c r="K52" i="62" s="1"/>
  <c r="AW44" i="55"/>
  <c r="K53" i="62" s="1"/>
  <c r="AX44" i="55"/>
  <c r="L53" i="62" s="1"/>
  <c r="AQ44" i="55"/>
  <c r="K47" i="62" s="1"/>
  <c r="AR44" i="55"/>
  <c r="L47" i="62" s="1"/>
  <c r="AL44" i="55"/>
  <c r="L41" i="62" s="1"/>
  <c r="AK44" i="55"/>
  <c r="K41" i="62" s="1"/>
  <c r="AK16" i="55"/>
  <c r="K39" i="62" s="1"/>
  <c r="Z30" i="55"/>
  <c r="L28" i="62" s="1"/>
  <c r="AL16" i="55"/>
  <c r="L39" i="62" s="1"/>
  <c r="AE44" i="55"/>
  <c r="K35" i="62" s="1"/>
  <c r="AF44" i="55"/>
  <c r="L35" i="62" s="1"/>
  <c r="AE16" i="55"/>
  <c r="K33" i="62" s="1"/>
  <c r="M30" i="55"/>
  <c r="K16" i="62" s="1"/>
  <c r="S16" i="55"/>
  <c r="K21" i="62" s="1"/>
  <c r="S30" i="55"/>
  <c r="K22" i="62" s="1"/>
  <c r="Y16" i="55"/>
  <c r="K27" i="62" s="1"/>
  <c r="Y30" i="55"/>
  <c r="K28" i="62" s="1"/>
  <c r="Z44" i="55"/>
  <c r="L29" i="62" s="1"/>
  <c r="Y44" i="55"/>
  <c r="K29" i="62" s="1"/>
  <c r="Y58" i="55"/>
  <c r="Y60" i="55" s="1"/>
  <c r="Z58" i="55"/>
  <c r="Z60" i="55" s="1"/>
  <c r="T16" i="55"/>
  <c r="L21" i="62" s="1"/>
  <c r="Z16" i="55"/>
  <c r="L27" i="62" s="1"/>
  <c r="N16" i="55"/>
  <c r="L15" i="62" s="1"/>
  <c r="N30" i="55"/>
  <c r="L16" i="62" s="1"/>
  <c r="T30" i="55"/>
  <c r="L22" i="62" s="1"/>
  <c r="T44" i="55"/>
  <c r="L23" i="62" s="1"/>
  <c r="S44" i="55"/>
  <c r="K23" i="62" s="1"/>
  <c r="S58" i="55"/>
  <c r="S60" i="55" s="1"/>
  <c r="T58" i="55"/>
  <c r="T60" i="55" s="1"/>
  <c r="M44" i="55"/>
  <c r="K17" i="62" s="1"/>
  <c r="M58" i="55"/>
  <c r="M60" i="55" s="1"/>
  <c r="N44" i="55"/>
  <c r="L17" i="62" s="1"/>
  <c r="N58" i="55"/>
  <c r="N60" i="55" s="1"/>
  <c r="M16" i="55"/>
  <c r="K15" i="62" s="1"/>
  <c r="AX45" i="63"/>
  <c r="AY45" i="63"/>
  <c r="AT45" i="63"/>
  <c r="AU45" i="63"/>
  <c r="AM45" i="63"/>
  <c r="AN45" i="63"/>
  <c r="AJ45" i="63"/>
  <c r="AI45" i="63"/>
  <c r="AC45" i="63"/>
  <c r="AB45" i="63"/>
  <c r="X45" i="63"/>
  <c r="Y45" i="63"/>
  <c r="AA189" i="44"/>
  <c r="AA193" i="44" s="1"/>
  <c r="CC189" i="44"/>
  <c r="CC193" i="44" s="1"/>
  <c r="BO189" i="44"/>
  <c r="BO193" i="44" s="1"/>
  <c r="BJ189" i="44"/>
  <c r="BJ193" i="44" s="1"/>
  <c r="BK189" i="44"/>
  <c r="BK193" i="44" s="1"/>
  <c r="Z189" i="44"/>
  <c r="Z193" i="44" s="1"/>
  <c r="AW189" i="44"/>
  <c r="AW193" i="44" s="1"/>
  <c r="AR189" i="44"/>
  <c r="AR193" i="44" s="1"/>
  <c r="AS189" i="44"/>
  <c r="AS193" i="44" s="1"/>
  <c r="G58" i="55"/>
  <c r="G60" i="55" s="1"/>
  <c r="G44" i="55"/>
  <c r="K11" i="62" s="1"/>
  <c r="G16" i="55"/>
  <c r="K9" i="62" s="1"/>
  <c r="G30" i="55"/>
  <c r="K10" i="62" s="1"/>
  <c r="H16" i="55"/>
  <c r="L9" i="62" s="1"/>
  <c r="H30" i="55"/>
  <c r="L10" i="62" s="1"/>
  <c r="H44" i="55"/>
  <c r="L11" i="62" s="1"/>
  <c r="H58" i="55"/>
  <c r="H60" i="55" s="1"/>
  <c r="N189" i="44"/>
  <c r="N193" i="44" s="1"/>
  <c r="M189" i="44"/>
  <c r="M193" i="44" s="1"/>
  <c r="W27" i="53"/>
  <c r="X27" i="53" s="1"/>
  <c r="Q27" i="53"/>
  <c r="R27" i="53" s="1"/>
  <c r="K27" i="53"/>
  <c r="E27" i="53"/>
  <c r="E25" i="53"/>
  <c r="K25" i="53"/>
  <c r="Q25" i="53"/>
  <c r="R25" i="53" s="1"/>
  <c r="W25" i="53"/>
  <c r="X25" i="53" s="1"/>
  <c r="K23" i="53"/>
  <c r="E23" i="53"/>
  <c r="W23" i="53"/>
  <c r="Q23" i="53"/>
  <c r="AA47" i="43"/>
  <c r="X47" i="43"/>
  <c r="U47" i="43"/>
  <c r="R47" i="43"/>
  <c r="Z42" i="43"/>
  <c r="Y42" i="43"/>
  <c r="Z41" i="43"/>
  <c r="Y41" i="43"/>
  <c r="Z40" i="43"/>
  <c r="Y40" i="43"/>
  <c r="Z39" i="43"/>
  <c r="Y39" i="43"/>
  <c r="W42" i="43"/>
  <c r="V42" i="43"/>
  <c r="W41" i="43"/>
  <c r="V41" i="43"/>
  <c r="W40" i="43"/>
  <c r="V40" i="43"/>
  <c r="W39" i="43"/>
  <c r="V39" i="43"/>
  <c r="T42" i="43"/>
  <c r="S42" i="43"/>
  <c r="T41" i="43"/>
  <c r="S41" i="43"/>
  <c r="T40" i="43"/>
  <c r="S40" i="43"/>
  <c r="T39" i="43"/>
  <c r="S39" i="43"/>
  <c r="Q42" i="43"/>
  <c r="P42" i="43"/>
  <c r="Q41" i="43"/>
  <c r="P41" i="43"/>
  <c r="Q40" i="43"/>
  <c r="P40" i="43"/>
  <c r="Q39" i="43"/>
  <c r="P39" i="43"/>
  <c r="N42" i="43"/>
  <c r="M42" i="43"/>
  <c r="N41" i="43"/>
  <c r="M41" i="43"/>
  <c r="N40" i="43"/>
  <c r="M40" i="43"/>
  <c r="K42" i="43"/>
  <c r="J42" i="43"/>
  <c r="K41" i="43"/>
  <c r="J41" i="43"/>
  <c r="K40" i="43"/>
  <c r="J40" i="43"/>
  <c r="H42" i="43"/>
  <c r="G42" i="43"/>
  <c r="H41" i="43"/>
  <c r="G41" i="43"/>
  <c r="H40" i="43"/>
  <c r="G40" i="43"/>
  <c r="Y32" i="43"/>
  <c r="Z32" i="43"/>
  <c r="Y33" i="43"/>
  <c r="Z33" i="43"/>
  <c r="Y34" i="43"/>
  <c r="Z34" i="43"/>
  <c r="Z31" i="43"/>
  <c r="Y31" i="43"/>
  <c r="V32" i="43"/>
  <c r="W32" i="43"/>
  <c r="V33" i="43"/>
  <c r="W33" i="43"/>
  <c r="V34" i="43"/>
  <c r="W34" i="43"/>
  <c r="W31" i="43"/>
  <c r="V31" i="43"/>
  <c r="S32" i="43"/>
  <c r="T32" i="43"/>
  <c r="S33" i="43"/>
  <c r="T33" i="43"/>
  <c r="S34" i="43"/>
  <c r="T34" i="43"/>
  <c r="T31" i="43"/>
  <c r="S31" i="43"/>
  <c r="P32" i="43"/>
  <c r="Q32" i="43"/>
  <c r="P33" i="43"/>
  <c r="Q33" i="43"/>
  <c r="P34" i="43"/>
  <c r="Q34" i="43"/>
  <c r="Q31" i="43"/>
  <c r="P31" i="43"/>
  <c r="M32" i="43"/>
  <c r="N32" i="43"/>
  <c r="M33" i="43"/>
  <c r="N33" i="43"/>
  <c r="M34" i="43"/>
  <c r="N34" i="43"/>
  <c r="N31" i="43"/>
  <c r="M31" i="43"/>
  <c r="J32" i="43"/>
  <c r="K32" i="43"/>
  <c r="J33" i="43"/>
  <c r="K33" i="43"/>
  <c r="J34" i="43"/>
  <c r="K34" i="43"/>
  <c r="K31" i="43"/>
  <c r="J31" i="43"/>
  <c r="L12" i="23"/>
  <c r="H12" i="23"/>
  <c r="Q11" i="23"/>
  <c r="L11" i="23"/>
  <c r="H11" i="23"/>
  <c r="Q10" i="23"/>
  <c r="L10" i="23"/>
  <c r="H10" i="23"/>
  <c r="Q9" i="23"/>
  <c r="L9" i="23"/>
  <c r="H9" i="23"/>
  <c r="I8" i="23"/>
  <c r="AO44" i="55"/>
  <c r="I47" i="62" s="1"/>
  <c r="AV56" i="55"/>
  <c r="J100" i="64" s="1"/>
  <c r="AS57" i="55"/>
  <c r="AP57" i="55"/>
  <c r="J89" i="64" s="1"/>
  <c r="AG57" i="55"/>
  <c r="AD57" i="55"/>
  <c r="J65" i="64" s="1"/>
  <c r="AP56" i="55"/>
  <c r="J88" i="64" s="1"/>
  <c r="AD56" i="55"/>
  <c r="J64" i="64" s="1"/>
  <c r="AP55" i="55"/>
  <c r="J87" i="64" s="1"/>
  <c r="AD55" i="55"/>
  <c r="J63" i="64" s="1"/>
  <c r="AB55" i="55"/>
  <c r="H63" i="64" s="1"/>
  <c r="AD54" i="55"/>
  <c r="J62" i="64" s="1"/>
  <c r="AB54" i="55"/>
  <c r="H62" i="64" s="1"/>
  <c r="AD53" i="55"/>
  <c r="J61" i="64" s="1"/>
  <c r="AB53" i="55"/>
  <c r="H61" i="64" s="1"/>
  <c r="AP52" i="55"/>
  <c r="J84" i="64" s="1"/>
  <c r="AD52" i="55"/>
  <c r="J60" i="64" s="1"/>
  <c r="AB52" i="55"/>
  <c r="H60" i="64" s="1"/>
  <c r="AP51" i="55"/>
  <c r="J83" i="64" s="1"/>
  <c r="AB51" i="55"/>
  <c r="H59" i="64" s="1"/>
  <c r="AB50" i="55"/>
  <c r="H58" i="64" s="1"/>
  <c r="W18" i="53"/>
  <c r="X14" i="53"/>
  <c r="W14" i="53"/>
  <c r="Q18" i="53"/>
  <c r="R14" i="53"/>
  <c r="Q14" i="53"/>
  <c r="E104" i="64"/>
  <c r="E92" i="64"/>
  <c r="E80" i="64"/>
  <c r="E68" i="64"/>
  <c r="E56" i="64"/>
  <c r="E44" i="64"/>
  <c r="E20" i="64"/>
  <c r="E118" i="64" s="1"/>
  <c r="J90" i="64"/>
  <c r="J78" i="64"/>
  <c r="J66" i="64"/>
  <c r="J54" i="64"/>
  <c r="J42" i="64"/>
  <c r="J30" i="64"/>
  <c r="I90" i="64"/>
  <c r="I78" i="64"/>
  <c r="I54" i="64"/>
  <c r="I42" i="64"/>
  <c r="I30" i="64"/>
  <c r="H78" i="64"/>
  <c r="H54" i="64"/>
  <c r="H42" i="64"/>
  <c r="H30" i="64"/>
  <c r="H90" i="64"/>
  <c r="J102" i="64"/>
  <c r="I102" i="64"/>
  <c r="H102" i="64"/>
  <c r="J19" i="64"/>
  <c r="J18" i="64"/>
  <c r="J116" i="64" s="1"/>
  <c r="I19" i="64"/>
  <c r="I18" i="64"/>
  <c r="H19" i="64"/>
  <c r="H117" i="64" s="1"/>
  <c r="H18" i="64"/>
  <c r="G53" i="62"/>
  <c r="G52" i="62"/>
  <c r="G51" i="62"/>
  <c r="G47" i="62"/>
  <c r="G46" i="62"/>
  <c r="G45" i="62"/>
  <c r="G41" i="62"/>
  <c r="G40" i="62"/>
  <c r="G39" i="62"/>
  <c r="G35" i="62"/>
  <c r="G34" i="62"/>
  <c r="G29" i="62"/>
  <c r="G28" i="62"/>
  <c r="G27" i="62"/>
  <c r="G23" i="62"/>
  <c r="G22" i="62"/>
  <c r="G21" i="62"/>
  <c r="G17" i="62"/>
  <c r="G16" i="62"/>
  <c r="G15" i="62"/>
  <c r="G11" i="62"/>
  <c r="G10" i="62"/>
  <c r="G9" i="62"/>
  <c r="F53" i="62"/>
  <c r="F52" i="62"/>
  <c r="F51" i="62"/>
  <c r="F47" i="62"/>
  <c r="F41" i="62"/>
  <c r="F40" i="62"/>
  <c r="F39" i="62"/>
  <c r="F35" i="62"/>
  <c r="F34" i="62"/>
  <c r="F33" i="62"/>
  <c r="F29" i="62"/>
  <c r="F28" i="62"/>
  <c r="F27" i="62"/>
  <c r="F23" i="62"/>
  <c r="F22" i="62"/>
  <c r="F21" i="62"/>
  <c r="F17" i="62"/>
  <c r="F16" i="62"/>
  <c r="F15" i="62"/>
  <c r="F11" i="62"/>
  <c r="F10" i="62"/>
  <c r="F9" i="62"/>
  <c r="E56" i="62"/>
  <c r="E50" i="62"/>
  <c r="E44" i="62"/>
  <c r="E38" i="62"/>
  <c r="E32" i="62"/>
  <c r="E26" i="62"/>
  <c r="E20" i="62"/>
  <c r="E14" i="62"/>
  <c r="X57" i="55"/>
  <c r="J53" i="64" s="1"/>
  <c r="X56" i="55"/>
  <c r="J52" i="64" s="1"/>
  <c r="X55" i="55"/>
  <c r="J51" i="64" s="1"/>
  <c r="X54" i="55"/>
  <c r="X53" i="55"/>
  <c r="J49" i="64" s="1"/>
  <c r="X52" i="55"/>
  <c r="X51" i="55"/>
  <c r="X50" i="55"/>
  <c r="X49" i="55"/>
  <c r="W57" i="55"/>
  <c r="I53" i="64" s="1"/>
  <c r="W56" i="55"/>
  <c r="I52" i="64" s="1"/>
  <c r="W55" i="55"/>
  <c r="I51" i="64" s="1"/>
  <c r="W54" i="55"/>
  <c r="W53" i="55"/>
  <c r="I49" i="64" s="1"/>
  <c r="W52" i="55"/>
  <c r="W51" i="55"/>
  <c r="W50" i="55"/>
  <c r="W49" i="55"/>
  <c r="V57" i="55"/>
  <c r="H53" i="64" s="1"/>
  <c r="V56" i="55"/>
  <c r="H52" i="64" s="1"/>
  <c r="V55" i="55"/>
  <c r="H51" i="64" s="1"/>
  <c r="V54" i="55"/>
  <c r="AH12" i="23" s="1"/>
  <c r="V53" i="55"/>
  <c r="H49" i="64" s="1"/>
  <c r="V52" i="55"/>
  <c r="AH11" i="23" s="1"/>
  <c r="V51" i="55"/>
  <c r="AH10" i="23" s="1"/>
  <c r="V50" i="55"/>
  <c r="AH9" i="23" s="1"/>
  <c r="V49" i="55"/>
  <c r="AH8" i="23" s="1"/>
  <c r="U11" i="55"/>
  <c r="U14" i="55"/>
  <c r="U15" i="55"/>
  <c r="X8" i="55"/>
  <c r="X9" i="55"/>
  <c r="X10" i="55"/>
  <c r="X11" i="55"/>
  <c r="X12" i="55"/>
  <c r="X13" i="55"/>
  <c r="X14" i="55"/>
  <c r="X15" i="55"/>
  <c r="X7" i="55"/>
  <c r="W8" i="55"/>
  <c r="W9" i="55"/>
  <c r="W10" i="55"/>
  <c r="W11" i="55"/>
  <c r="W12" i="55"/>
  <c r="W13" i="55"/>
  <c r="W14" i="55"/>
  <c r="W15" i="55"/>
  <c r="W7" i="55"/>
  <c r="V8" i="55"/>
  <c r="V9" i="55"/>
  <c r="V10" i="55"/>
  <c r="V11" i="55"/>
  <c r="V12" i="55"/>
  <c r="V13" i="55"/>
  <c r="V14" i="55"/>
  <c r="V15" i="55"/>
  <c r="V7" i="55"/>
  <c r="P182" i="44"/>
  <c r="F18" i="53" s="1"/>
  <c r="Q182" i="44"/>
  <c r="R182" i="44"/>
  <c r="U182" i="44"/>
  <c r="CE182" i="44"/>
  <c r="BU8" i="44"/>
  <c r="BV8" i="44" s="1"/>
  <c r="BU9" i="44"/>
  <c r="BV9" i="44" s="1"/>
  <c r="BU10" i="44"/>
  <c r="BV10" i="44" s="1"/>
  <c r="BU11" i="44"/>
  <c r="BV11" i="44" s="1"/>
  <c r="R49" i="55"/>
  <c r="AG8" i="23" s="1"/>
  <c r="R50" i="55"/>
  <c r="AG9" i="23" s="1"/>
  <c r="R51" i="55"/>
  <c r="AG10" i="23" s="1"/>
  <c r="R52" i="55"/>
  <c r="AG11" i="23" s="1"/>
  <c r="R53" i="55"/>
  <c r="J37" i="64" s="1"/>
  <c r="R54" i="55"/>
  <c r="AG12" i="23" s="1"/>
  <c r="R55" i="55"/>
  <c r="J39" i="64" s="1"/>
  <c r="R56" i="55"/>
  <c r="J40" i="64" s="1"/>
  <c r="R57" i="55"/>
  <c r="R7" i="55"/>
  <c r="R8" i="55"/>
  <c r="R9" i="55"/>
  <c r="R10" i="55"/>
  <c r="R11" i="55"/>
  <c r="R12" i="55"/>
  <c r="R13" i="55"/>
  <c r="R14" i="55"/>
  <c r="R15" i="55"/>
  <c r="P7" i="55"/>
  <c r="Q7" i="55"/>
  <c r="P8" i="55"/>
  <c r="Q8" i="55"/>
  <c r="P9" i="55"/>
  <c r="Q9" i="55"/>
  <c r="Q57" i="55"/>
  <c r="I41" i="64" s="1"/>
  <c r="Q56" i="55"/>
  <c r="I40" i="64" s="1"/>
  <c r="Q55" i="55"/>
  <c r="I39" i="64" s="1"/>
  <c r="Q54" i="55"/>
  <c r="AF12" i="23" s="1"/>
  <c r="Q53" i="55"/>
  <c r="I37" i="64" s="1"/>
  <c r="Q52" i="55"/>
  <c r="AF11" i="23" s="1"/>
  <c r="Q51" i="55"/>
  <c r="AF10" i="23" s="1"/>
  <c r="Q50" i="55"/>
  <c r="AF9" i="23" s="1"/>
  <c r="Q49" i="55"/>
  <c r="AF8" i="23" s="1"/>
  <c r="Q15" i="55"/>
  <c r="Q14" i="55"/>
  <c r="Q13" i="55"/>
  <c r="Q12" i="55"/>
  <c r="Q11" i="55"/>
  <c r="Q10" i="55"/>
  <c r="P57" i="55"/>
  <c r="H41" i="64" s="1"/>
  <c r="P56" i="55"/>
  <c r="H40" i="64" s="1"/>
  <c r="P55" i="55"/>
  <c r="H39" i="64" s="1"/>
  <c r="P54" i="55"/>
  <c r="AE12" i="23" s="1"/>
  <c r="P53" i="55"/>
  <c r="H37" i="64" s="1"/>
  <c r="P52" i="55"/>
  <c r="AE11" i="23" s="1"/>
  <c r="P51" i="55"/>
  <c r="AE10" i="23" s="1"/>
  <c r="P50" i="55"/>
  <c r="AE9" i="23" s="1"/>
  <c r="P49" i="55"/>
  <c r="AE8" i="23" s="1"/>
  <c r="P15" i="55"/>
  <c r="P14" i="55"/>
  <c r="P13" i="55"/>
  <c r="P12" i="55"/>
  <c r="P11" i="55"/>
  <c r="P10" i="55"/>
  <c r="AA82" i="55"/>
  <c r="W64" i="43" s="1"/>
  <c r="AA76" i="55"/>
  <c r="AG82" i="55"/>
  <c r="AA64" i="43" s="1"/>
  <c r="AG76" i="55"/>
  <c r="AM82" i="55"/>
  <c r="AE64" i="43" s="1"/>
  <c r="AM76" i="55"/>
  <c r="AS82" i="55"/>
  <c r="AI64" i="43" s="1"/>
  <c r="AS76" i="55"/>
  <c r="U57" i="55"/>
  <c r="O57" i="55"/>
  <c r="O56" i="55"/>
  <c r="O55" i="55"/>
  <c r="O53" i="55"/>
  <c r="O15" i="55"/>
  <c r="O14" i="55"/>
  <c r="O13" i="55"/>
  <c r="O11" i="55"/>
  <c r="G18" i="47"/>
  <c r="H18" i="47"/>
  <c r="I18" i="47"/>
  <c r="J18" i="47"/>
  <c r="E18" i="25"/>
  <c r="F18" i="25"/>
  <c r="G18" i="25"/>
  <c r="H18" i="25"/>
  <c r="P17" i="23"/>
  <c r="Q17" i="23" s="1"/>
  <c r="M40" i="59" s="1"/>
  <c r="O14" i="23"/>
  <c r="N14" i="23"/>
  <c r="N18" i="23" s="1"/>
  <c r="Q12" i="23"/>
  <c r="T17" i="23"/>
  <c r="U17" i="23" s="1"/>
  <c r="M46" i="59" s="1"/>
  <c r="S14" i="23"/>
  <c r="R14" i="23"/>
  <c r="R18" i="23" s="1"/>
  <c r="U12" i="23"/>
  <c r="U11" i="23"/>
  <c r="U10" i="23"/>
  <c r="U9" i="23"/>
  <c r="AW63" i="63"/>
  <c r="AV63" i="63"/>
  <c r="AS63" i="63"/>
  <c r="AR63" i="63"/>
  <c r="AQ63" i="63"/>
  <c r="AP63" i="63"/>
  <c r="AL63" i="63"/>
  <c r="AK63" i="63"/>
  <c r="AH63" i="63"/>
  <c r="AG63" i="63"/>
  <c r="AF63" i="63"/>
  <c r="AE63" i="63"/>
  <c r="AA63" i="63"/>
  <c r="Z63" i="63"/>
  <c r="W63" i="63"/>
  <c r="V63" i="63"/>
  <c r="U63" i="63"/>
  <c r="T63" i="63"/>
  <c r="I63" i="63"/>
  <c r="AW53" i="63"/>
  <c r="AV53" i="63"/>
  <c r="AS53" i="63"/>
  <c r="AR53" i="63"/>
  <c r="AL53" i="63"/>
  <c r="AK53" i="63"/>
  <c r="AH53" i="63"/>
  <c r="AF53" i="63"/>
  <c r="Z53" i="63"/>
  <c r="W53" i="63"/>
  <c r="U53" i="63"/>
  <c r="B1" i="63"/>
  <c r="B34" i="59"/>
  <c r="B40" i="59" s="1"/>
  <c r="B46" i="59" s="1"/>
  <c r="B33" i="59"/>
  <c r="B39" i="59" s="1"/>
  <c r="B45" i="59" s="1"/>
  <c r="B9" i="59"/>
  <c r="B8" i="59" a="1"/>
  <c r="B8" i="59" s="1"/>
  <c r="R13" i="53" l="1"/>
  <c r="X13" i="53"/>
  <c r="AI63" i="43"/>
  <c r="H31" i="61"/>
  <c r="AE63" i="43"/>
  <c r="H30" i="61"/>
  <c r="AA63" i="43"/>
  <c r="H29" i="61"/>
  <c r="W63" i="43"/>
  <c r="H28" i="61"/>
  <c r="L61" i="62"/>
  <c r="H116" i="64"/>
  <c r="K60" i="62"/>
  <c r="I116" i="64"/>
  <c r="K61" i="62"/>
  <c r="K59" i="62"/>
  <c r="I117" i="64"/>
  <c r="J117" i="64"/>
  <c r="L60" i="62"/>
  <c r="L59" i="62"/>
  <c r="BX8" i="44"/>
  <c r="BF8" i="44"/>
  <c r="K118" i="64"/>
  <c r="L118" i="64"/>
  <c r="E64" i="62"/>
  <c r="L56" i="62"/>
  <c r="I50" i="64"/>
  <c r="AI12" i="23"/>
  <c r="F40" i="59"/>
  <c r="G46" i="59"/>
  <c r="BF11" i="44"/>
  <c r="I45" i="64"/>
  <c r="AI8" i="23"/>
  <c r="BF10" i="44"/>
  <c r="O23" i="55"/>
  <c r="I46" i="64"/>
  <c r="AI9" i="23"/>
  <c r="D40" i="59"/>
  <c r="D46" i="59"/>
  <c r="I47" i="64"/>
  <c r="AI10" i="23"/>
  <c r="E46" i="59"/>
  <c r="G40" i="59"/>
  <c r="I48" i="64"/>
  <c r="AI11" i="23"/>
  <c r="F46" i="59"/>
  <c r="BX11" i="44"/>
  <c r="E40" i="59"/>
  <c r="J50" i="64"/>
  <c r="AJ12" i="23"/>
  <c r="J48" i="64"/>
  <c r="AJ11" i="23"/>
  <c r="J41" i="64"/>
  <c r="J45" i="64"/>
  <c r="AJ8" i="23"/>
  <c r="J46" i="64"/>
  <c r="AJ9" i="23"/>
  <c r="J47" i="64"/>
  <c r="AJ10" i="23"/>
  <c r="C28" i="59"/>
  <c r="AO57" i="55"/>
  <c r="I89" i="64" s="1"/>
  <c r="AO55" i="55"/>
  <c r="I87" i="64" s="1"/>
  <c r="AO53" i="55"/>
  <c r="I85" i="64" s="1"/>
  <c r="AD51" i="55"/>
  <c r="J59" i="64" s="1"/>
  <c r="AA57" i="55"/>
  <c r="D65" i="64" s="1"/>
  <c r="AM57" i="55"/>
  <c r="AB57" i="55"/>
  <c r="H65" i="64" s="1"/>
  <c r="AT56" i="55"/>
  <c r="H100" i="64" s="1"/>
  <c r="AI57" i="55"/>
  <c r="I77" i="64" s="1"/>
  <c r="AT55" i="55"/>
  <c r="H99" i="64" s="1"/>
  <c r="AI56" i="55"/>
  <c r="I76" i="64" s="1"/>
  <c r="AU56" i="55"/>
  <c r="I100" i="64" s="1"/>
  <c r="AT49" i="55"/>
  <c r="H93" i="64" s="1"/>
  <c r="AT50" i="55"/>
  <c r="H94" i="64" s="1"/>
  <c r="AT51" i="55"/>
  <c r="H95" i="64" s="1"/>
  <c r="AT52" i="55"/>
  <c r="H96" i="64" s="1"/>
  <c r="AT53" i="55"/>
  <c r="H97" i="64" s="1"/>
  <c r="AT54" i="55"/>
  <c r="H98" i="64" s="1"/>
  <c r="AU55" i="55"/>
  <c r="I99" i="64" s="1"/>
  <c r="AU50" i="55"/>
  <c r="I94" i="64" s="1"/>
  <c r="AU51" i="55"/>
  <c r="I95" i="64" s="1"/>
  <c r="AU52" i="55"/>
  <c r="I96" i="64" s="1"/>
  <c r="AI53" i="55"/>
  <c r="I73" i="64" s="1"/>
  <c r="AU53" i="55"/>
  <c r="I97" i="64" s="1"/>
  <c r="AI54" i="55"/>
  <c r="I74" i="64" s="1"/>
  <c r="AU54" i="55"/>
  <c r="I98" i="64" s="1"/>
  <c r="AU49" i="55"/>
  <c r="I93" i="64" s="1"/>
  <c r="AV49" i="55"/>
  <c r="J93" i="64" s="1"/>
  <c r="AV50" i="55"/>
  <c r="J94" i="64" s="1"/>
  <c r="AV51" i="55"/>
  <c r="J95" i="64" s="1"/>
  <c r="AV52" i="55"/>
  <c r="J96" i="64" s="1"/>
  <c r="AV53" i="55"/>
  <c r="J97" i="64" s="1"/>
  <c r="AI55" i="55"/>
  <c r="I75" i="64" s="1"/>
  <c r="AJ56" i="55"/>
  <c r="J76" i="64" s="1"/>
  <c r="AJ57" i="55"/>
  <c r="J77" i="64" s="1"/>
  <c r="AJ49" i="55"/>
  <c r="J69" i="64" s="1"/>
  <c r="AJ50" i="55"/>
  <c r="J70" i="64" s="1"/>
  <c r="AJ51" i="55"/>
  <c r="J71" i="64" s="1"/>
  <c r="AJ53" i="55"/>
  <c r="J73" i="64" s="1"/>
  <c r="AJ54" i="55"/>
  <c r="J74" i="64" s="1"/>
  <c r="AN55" i="55"/>
  <c r="H87" i="64" s="1"/>
  <c r="L104" i="64"/>
  <c r="AI49" i="55"/>
  <c r="I69" i="64" s="1"/>
  <c r="AN51" i="55"/>
  <c r="H83" i="64" s="1"/>
  <c r="AN53" i="55"/>
  <c r="H85" i="64" s="1"/>
  <c r="K104" i="64"/>
  <c r="AI50" i="55"/>
  <c r="I70" i="64" s="1"/>
  <c r="AF58" i="55"/>
  <c r="AF60" i="55" s="1"/>
  <c r="AI51" i="55"/>
  <c r="I71" i="64" s="1"/>
  <c r="AJ55" i="55"/>
  <c r="J75" i="64" s="1"/>
  <c r="L50" i="62"/>
  <c r="L92" i="64"/>
  <c r="AI52" i="55"/>
  <c r="I72" i="64" s="1"/>
  <c r="AC56" i="55"/>
  <c r="I64" i="64" s="1"/>
  <c r="AC55" i="55"/>
  <c r="I63" i="64" s="1"/>
  <c r="K80" i="64"/>
  <c r="AC50" i="55"/>
  <c r="I58" i="64" s="1"/>
  <c r="AC51" i="55"/>
  <c r="I59" i="64" s="1"/>
  <c r="AC52" i="55"/>
  <c r="I60" i="64" s="1"/>
  <c r="AC54" i="55"/>
  <c r="I62" i="64" s="1"/>
  <c r="K20" i="62"/>
  <c r="L80" i="64"/>
  <c r="AL58" i="55"/>
  <c r="AL60" i="55" s="1"/>
  <c r="AK58" i="55"/>
  <c r="AK60" i="55" s="1"/>
  <c r="K92" i="64"/>
  <c r="AH56" i="55"/>
  <c r="H76" i="64" s="1"/>
  <c r="AH57" i="55"/>
  <c r="H77" i="64" s="1"/>
  <c r="L68" i="64"/>
  <c r="AH55" i="55"/>
  <c r="H75" i="64" s="1"/>
  <c r="AH49" i="55"/>
  <c r="H69" i="64" s="1"/>
  <c r="AH50" i="55"/>
  <c r="H70" i="64" s="1"/>
  <c r="AH51" i="55"/>
  <c r="H71" i="64" s="1"/>
  <c r="AH52" i="55"/>
  <c r="H72" i="64" s="1"/>
  <c r="AH53" i="55"/>
  <c r="H73" i="64" s="1"/>
  <c r="AH54" i="55"/>
  <c r="H74" i="64" s="1"/>
  <c r="AR58" i="55"/>
  <c r="AR60" i="55" s="1"/>
  <c r="AW58" i="55"/>
  <c r="AW60" i="55" s="1"/>
  <c r="AE58" i="55"/>
  <c r="AQ58" i="55"/>
  <c r="AQ60" i="55" s="1"/>
  <c r="K38" i="62"/>
  <c r="AX58" i="55"/>
  <c r="AX60" i="55" s="1"/>
  <c r="L38" i="62"/>
  <c r="L44" i="62"/>
  <c r="K56" i="62"/>
  <c r="K44" i="62"/>
  <c r="K50" i="62"/>
  <c r="L14" i="62"/>
  <c r="K14" i="62"/>
  <c r="L32" i="62"/>
  <c r="K32" i="62"/>
  <c r="K26" i="62"/>
  <c r="L20" i="62"/>
  <c r="L26" i="62"/>
  <c r="AJ52" i="55"/>
  <c r="J72" i="64" s="1"/>
  <c r="AV54" i="55"/>
  <c r="J98" i="64" s="1"/>
  <c r="AV55" i="55"/>
  <c r="J99" i="64" s="1"/>
  <c r="AG45" i="63"/>
  <c r="AG53" i="63"/>
  <c r="V45" i="63"/>
  <c r="V53" i="63"/>
  <c r="AA45" i="63"/>
  <c r="AA53" i="63"/>
  <c r="AQ45" i="63"/>
  <c r="AQ53" i="63"/>
  <c r="D101" i="64"/>
  <c r="D89" i="64"/>
  <c r="D77" i="64"/>
  <c r="D39" i="64"/>
  <c r="J39" i="59"/>
  <c r="D41" i="64"/>
  <c r="M39" i="59"/>
  <c r="D53" i="64"/>
  <c r="M45" i="59"/>
  <c r="BX9" i="44"/>
  <c r="D40" i="64"/>
  <c r="K39" i="59"/>
  <c r="BF9" i="44"/>
  <c r="D37" i="64"/>
  <c r="H39" i="59"/>
  <c r="BX10" i="44"/>
  <c r="H46" i="64"/>
  <c r="H50" i="64"/>
  <c r="AT57" i="55"/>
  <c r="H101" i="64" s="1"/>
  <c r="H35" i="64"/>
  <c r="H48" i="64"/>
  <c r="I33" i="64"/>
  <c r="J34" i="64"/>
  <c r="J38" i="64"/>
  <c r="H36" i="64"/>
  <c r="H45" i="64"/>
  <c r="I34" i="64"/>
  <c r="I38" i="64"/>
  <c r="J35" i="64"/>
  <c r="H33" i="64"/>
  <c r="I35" i="64"/>
  <c r="J36" i="64"/>
  <c r="H34" i="64"/>
  <c r="H38" i="64"/>
  <c r="H47" i="64"/>
  <c r="I36" i="64"/>
  <c r="J33" i="64"/>
  <c r="AU57" i="55"/>
  <c r="I101" i="64" s="1"/>
  <c r="AD50" i="55"/>
  <c r="J58" i="64" s="1"/>
  <c r="E57" i="62"/>
  <c r="E105" i="64"/>
  <c r="AV44" i="55"/>
  <c r="J53" i="62" s="1"/>
  <c r="AV57" i="55"/>
  <c r="AJ44" i="55"/>
  <c r="J41" i="62" s="1"/>
  <c r="AP50" i="55"/>
  <c r="J82" i="64" s="1"/>
  <c r="AN49" i="55"/>
  <c r="H81" i="64" s="1"/>
  <c r="AP49" i="55"/>
  <c r="J81" i="64" s="1"/>
  <c r="AP53" i="55"/>
  <c r="J85" i="64" s="1"/>
  <c r="AN50" i="55"/>
  <c r="H82" i="64" s="1"/>
  <c r="AN57" i="55"/>
  <c r="H89" i="64" s="1"/>
  <c r="AP54" i="55"/>
  <c r="J86" i="64" s="1"/>
  <c r="AO54" i="55"/>
  <c r="I86" i="64" s="1"/>
  <c r="AO50" i="55"/>
  <c r="I82" i="64" s="1"/>
  <c r="AO52" i="55"/>
  <c r="I84" i="64" s="1"/>
  <c r="AO56" i="55"/>
  <c r="I88" i="64" s="1"/>
  <c r="AO49" i="55"/>
  <c r="I81" i="64" s="1"/>
  <c r="AO51" i="55"/>
  <c r="I83" i="64" s="1"/>
  <c r="AN52" i="55"/>
  <c r="H84" i="64" s="1"/>
  <c r="AN54" i="55"/>
  <c r="H86" i="64" s="1"/>
  <c r="AN56" i="55"/>
  <c r="H88" i="64" s="1"/>
  <c r="AC53" i="55"/>
  <c r="I61" i="64" s="1"/>
  <c r="AC44" i="55"/>
  <c r="I35" i="62" s="1"/>
  <c r="AB56" i="55"/>
  <c r="H64" i="64" s="1"/>
  <c r="AC57" i="55"/>
  <c r="I65" i="64" s="1"/>
  <c r="AC30" i="55"/>
  <c r="I34" i="62" s="1"/>
  <c r="AB49" i="55"/>
  <c r="H57" i="64" s="1"/>
  <c r="AC49" i="55"/>
  <c r="I57" i="64" s="1"/>
  <c r="AD16" i="55"/>
  <c r="J33" i="62" s="1"/>
  <c r="AD49" i="55"/>
  <c r="J57" i="64" s="1"/>
  <c r="AD30" i="55"/>
  <c r="J34" i="62" s="1"/>
  <c r="AB44" i="55"/>
  <c r="H35" i="62" s="1"/>
  <c r="AN44" i="55"/>
  <c r="H47" i="62" s="1"/>
  <c r="AI16" i="55"/>
  <c r="I39" i="62" s="1"/>
  <c r="AD44" i="55"/>
  <c r="J35" i="62" s="1"/>
  <c r="AB16" i="55"/>
  <c r="H33" i="62" s="1"/>
  <c r="AH44" i="55"/>
  <c r="H41" i="62" s="1"/>
  <c r="AC16" i="55"/>
  <c r="I33" i="62" s="1"/>
  <c r="AB30" i="55"/>
  <c r="H34" i="62" s="1"/>
  <c r="AI44" i="55"/>
  <c r="I41" i="62" s="1"/>
  <c r="AH16" i="55"/>
  <c r="H39" i="62" s="1"/>
  <c r="AJ16" i="55"/>
  <c r="J39" i="62" s="1"/>
  <c r="AH30" i="55"/>
  <c r="H40" i="62" s="1"/>
  <c r="AI30" i="55"/>
  <c r="I40" i="62" s="1"/>
  <c r="AJ30" i="55"/>
  <c r="J40" i="62" s="1"/>
  <c r="AP44" i="55"/>
  <c r="J47" i="62" s="1"/>
  <c r="AN16" i="55"/>
  <c r="H45" i="62" s="1"/>
  <c r="AO16" i="55"/>
  <c r="I45" i="62" s="1"/>
  <c r="AP16" i="55"/>
  <c r="J45" i="62" s="1"/>
  <c r="AN30" i="55"/>
  <c r="H46" i="62" s="1"/>
  <c r="AT44" i="55"/>
  <c r="H53" i="62" s="1"/>
  <c r="AO30" i="55"/>
  <c r="I46" i="62" s="1"/>
  <c r="AP30" i="55"/>
  <c r="J46" i="62" s="1"/>
  <c r="AT16" i="55"/>
  <c r="H51" i="62" s="1"/>
  <c r="AV16" i="55"/>
  <c r="J51" i="62" s="1"/>
  <c r="AT30" i="55"/>
  <c r="H52" i="62" s="1"/>
  <c r="AV30" i="55"/>
  <c r="J52" i="62" s="1"/>
  <c r="H37" i="47"/>
  <c r="G37" i="47"/>
  <c r="J37" i="47"/>
  <c r="I37" i="47"/>
  <c r="Q8" i="23"/>
  <c r="U8" i="23"/>
  <c r="AL45" i="63"/>
  <c r="AR45" i="63"/>
  <c r="W45" i="63"/>
  <c r="Z45" i="63"/>
  <c r="AS45" i="63"/>
  <c r="AF45" i="63"/>
  <c r="AV45" i="63"/>
  <c r="AH45" i="63"/>
  <c r="AW45" i="63"/>
  <c r="U45" i="63"/>
  <c r="AK45" i="63"/>
  <c r="AE60" i="55" l="1"/>
  <c r="K66" i="64"/>
  <c r="K68" i="64" s="1"/>
  <c r="L64" i="62"/>
  <c r="K64" i="62"/>
  <c r="I56" i="64"/>
  <c r="J56" i="64"/>
  <c r="C40" i="59"/>
  <c r="C46" i="59"/>
  <c r="H104" i="64"/>
  <c r="I80" i="64"/>
  <c r="I104" i="64"/>
  <c r="J80" i="64"/>
  <c r="K105" i="64"/>
  <c r="H80" i="64"/>
  <c r="AI58" i="55"/>
  <c r="AI60" i="55" s="1"/>
  <c r="AH58" i="55"/>
  <c r="AH60" i="55" s="1"/>
  <c r="L105" i="64"/>
  <c r="AJ58" i="55"/>
  <c r="AJ60" i="55" s="1"/>
  <c r="L57" i="62"/>
  <c r="K57" i="62"/>
  <c r="AT58" i="55"/>
  <c r="AT60" i="55" s="1"/>
  <c r="AD58" i="55"/>
  <c r="AD60" i="55" s="1"/>
  <c r="H44" i="64"/>
  <c r="H56" i="64"/>
  <c r="J44" i="64"/>
  <c r="I44" i="64"/>
  <c r="H56" i="62"/>
  <c r="I38" i="62"/>
  <c r="I92" i="64"/>
  <c r="J50" i="62"/>
  <c r="J92" i="64"/>
  <c r="I50" i="62"/>
  <c r="J44" i="62"/>
  <c r="H68" i="64"/>
  <c r="H92" i="64"/>
  <c r="H50" i="62"/>
  <c r="H44" i="62"/>
  <c r="I44" i="62"/>
  <c r="AB58" i="55"/>
  <c r="AB60" i="55" s="1"/>
  <c r="J38" i="62"/>
  <c r="H38" i="62"/>
  <c r="J68" i="64"/>
  <c r="J56" i="62"/>
  <c r="I68" i="64"/>
  <c r="AV58" i="55"/>
  <c r="AV60" i="55" s="1"/>
  <c r="J101" i="64"/>
  <c r="J104" i="64" s="1"/>
  <c r="AO58" i="55"/>
  <c r="AO60" i="55" s="1"/>
  <c r="AP58" i="55"/>
  <c r="AP60" i="55" s="1"/>
  <c r="AN58" i="55"/>
  <c r="AN60" i="55" s="1"/>
  <c r="AC58" i="55"/>
  <c r="AC60" i="55" s="1"/>
  <c r="AA50" i="43"/>
  <c r="AA49" i="43"/>
  <c r="AA48" i="43"/>
  <c r="AA35" i="43"/>
  <c r="X50" i="43"/>
  <c r="X49" i="43"/>
  <c r="X48" i="43"/>
  <c r="X35" i="43"/>
  <c r="U50" i="43"/>
  <c r="U49" i="43"/>
  <c r="U48" i="43"/>
  <c r="T49" i="43"/>
  <c r="U35" i="43"/>
  <c r="R50" i="43"/>
  <c r="R49" i="43"/>
  <c r="R48" i="43"/>
  <c r="R35" i="43"/>
  <c r="O50" i="43"/>
  <c r="O49" i="43"/>
  <c r="O48" i="43"/>
  <c r="O35" i="43"/>
  <c r="L50" i="43"/>
  <c r="L49" i="43"/>
  <c r="L48" i="43"/>
  <c r="L35" i="43"/>
  <c r="Y14" i="53"/>
  <c r="Y13" i="53"/>
  <c r="Y12" i="53"/>
  <c r="S13" i="53"/>
  <c r="S12" i="53"/>
  <c r="U82" i="55"/>
  <c r="S64" i="43" s="1"/>
  <c r="U76" i="55"/>
  <c r="O82" i="55"/>
  <c r="O64" i="43" s="1"/>
  <c r="O76" i="55"/>
  <c r="AH23" i="59"/>
  <c r="AH21" i="59"/>
  <c r="AG21" i="59"/>
  <c r="AF21" i="59"/>
  <c r="AE21" i="59"/>
  <c r="AD23" i="59"/>
  <c r="AD21" i="59"/>
  <c r="AC21" i="59"/>
  <c r="AB21" i="59"/>
  <c r="AA21" i="59"/>
  <c r="Z23" i="59"/>
  <c r="Z21" i="59"/>
  <c r="Y21" i="59"/>
  <c r="X21" i="59"/>
  <c r="W21" i="59"/>
  <c r="S21" i="59"/>
  <c r="T21" i="59"/>
  <c r="U21" i="59"/>
  <c r="V21" i="59"/>
  <c r="V23" i="59"/>
  <c r="BU208" i="44"/>
  <c r="BX208" i="44" s="1"/>
  <c r="BU207" i="44"/>
  <c r="BX207" i="44" s="1"/>
  <c r="BU206" i="44"/>
  <c r="CE203" i="44"/>
  <c r="CD203" i="44"/>
  <c r="CA203" i="44"/>
  <c r="BZ203" i="44"/>
  <c r="BY203" i="44"/>
  <c r="BW203" i="44"/>
  <c r="BT203" i="44"/>
  <c r="BS203" i="44"/>
  <c r="BR203" i="44"/>
  <c r="BQ203" i="44"/>
  <c r="BU202" i="44"/>
  <c r="BX202" i="44" s="1"/>
  <c r="BU201" i="44"/>
  <c r="BX201" i="44" s="1"/>
  <c r="BU200" i="44"/>
  <c r="BX200" i="44" s="1"/>
  <c r="BU199" i="44"/>
  <c r="BX199" i="44" s="1"/>
  <c r="BU198" i="44"/>
  <c r="BX198" i="44" s="1"/>
  <c r="BU197" i="44"/>
  <c r="BX197" i="44" s="1"/>
  <c r="BW187" i="44"/>
  <c r="O39" i="43" s="1"/>
  <c r="CD182" i="44"/>
  <c r="CA182" i="44"/>
  <c r="BZ182" i="44"/>
  <c r="BY182" i="44"/>
  <c r="BW182" i="44"/>
  <c r="BT182" i="44"/>
  <c r="T13" i="23" s="1"/>
  <c r="BS182" i="44"/>
  <c r="BR182" i="44"/>
  <c r="BQ182" i="44"/>
  <c r="BU106" i="44"/>
  <c r="BV106" i="44" s="1"/>
  <c r="BU105" i="44"/>
  <c r="BV105" i="44" s="1"/>
  <c r="BU104" i="44"/>
  <c r="BV104" i="44" s="1"/>
  <c r="BU103" i="44"/>
  <c r="BV103" i="44" s="1"/>
  <c r="BU102" i="44"/>
  <c r="BV102" i="44" s="1"/>
  <c r="BU101" i="44"/>
  <c r="BV101" i="44" s="1"/>
  <c r="BU100" i="44"/>
  <c r="BV100" i="44" s="1"/>
  <c r="BU99" i="44"/>
  <c r="BV99" i="44" s="1"/>
  <c r="BU98" i="44"/>
  <c r="BV98" i="44" s="1"/>
  <c r="BU97" i="44"/>
  <c r="BV97" i="44" s="1"/>
  <c r="BU96" i="44"/>
  <c r="BV96" i="44" s="1"/>
  <c r="BU95" i="44"/>
  <c r="BV95" i="44" s="1"/>
  <c r="BU94" i="44"/>
  <c r="BV94" i="44" s="1"/>
  <c r="BU93" i="44"/>
  <c r="BV93" i="44" s="1"/>
  <c r="BU92" i="44"/>
  <c r="BV92" i="44" s="1"/>
  <c r="BU91" i="44"/>
  <c r="BV91" i="44" s="1"/>
  <c r="BU90" i="44"/>
  <c r="BV90" i="44" s="1"/>
  <c r="BU89" i="44"/>
  <c r="BV89" i="44" s="1"/>
  <c r="BU88" i="44"/>
  <c r="BV88" i="44" s="1"/>
  <c r="BU87" i="44"/>
  <c r="BV87" i="44" s="1"/>
  <c r="BU86" i="44"/>
  <c r="BV86" i="44" s="1"/>
  <c r="BU85" i="44"/>
  <c r="BV85" i="44" s="1"/>
  <c r="BU84" i="44"/>
  <c r="BV84" i="44" s="1"/>
  <c r="BU83" i="44"/>
  <c r="BV83" i="44" s="1"/>
  <c r="BU82" i="44"/>
  <c r="BV82" i="44" s="1"/>
  <c r="BU81" i="44"/>
  <c r="BV81" i="44" s="1"/>
  <c r="BU80" i="44"/>
  <c r="BV80" i="44" s="1"/>
  <c r="BU79" i="44"/>
  <c r="BV79" i="44" s="1"/>
  <c r="BU78" i="44"/>
  <c r="BV78" i="44" s="1"/>
  <c r="BU77" i="44"/>
  <c r="BV77" i="44" s="1"/>
  <c r="BU76" i="44"/>
  <c r="BV76" i="44" s="1"/>
  <c r="BU75" i="44"/>
  <c r="BV75" i="44" s="1"/>
  <c r="BU74" i="44"/>
  <c r="BV74" i="44" s="1"/>
  <c r="BU73" i="44"/>
  <c r="BV73" i="44" s="1"/>
  <c r="BU72" i="44"/>
  <c r="BV72" i="44" s="1"/>
  <c r="BU71" i="44"/>
  <c r="BV71" i="44" s="1"/>
  <c r="BU70" i="44"/>
  <c r="BV70" i="44" s="1"/>
  <c r="BU69" i="44"/>
  <c r="BV69" i="44" s="1"/>
  <c r="BU68" i="44"/>
  <c r="BV68" i="44" s="1"/>
  <c r="BU67" i="44"/>
  <c r="BV67" i="44" s="1"/>
  <c r="BU66" i="44"/>
  <c r="BV66" i="44" s="1"/>
  <c r="BU65" i="44"/>
  <c r="BV65" i="44" s="1"/>
  <c r="BU64" i="44"/>
  <c r="BV64" i="44" s="1"/>
  <c r="BU63" i="44"/>
  <c r="BU62" i="44"/>
  <c r="BV62" i="44" s="1"/>
  <c r="BU61" i="44"/>
  <c r="BV61" i="44" s="1"/>
  <c r="BU60" i="44"/>
  <c r="BV60" i="44" s="1"/>
  <c r="BU59" i="44"/>
  <c r="BV59" i="44" s="1"/>
  <c r="BU58" i="44"/>
  <c r="BV58" i="44" s="1"/>
  <c r="BU57" i="44"/>
  <c r="BV57" i="44" s="1"/>
  <c r="BU56" i="44"/>
  <c r="BV56" i="44" s="1"/>
  <c r="BU55" i="44"/>
  <c r="BU54" i="44"/>
  <c r="BV54" i="44" s="1"/>
  <c r="BU53" i="44"/>
  <c r="BV53" i="44" s="1"/>
  <c r="BU52" i="44"/>
  <c r="BV52" i="44" s="1"/>
  <c r="BU51" i="44"/>
  <c r="BV51" i="44" s="1"/>
  <c r="BU50" i="44"/>
  <c r="BV50" i="44" s="1"/>
  <c r="BU49" i="44"/>
  <c r="BV49" i="44" s="1"/>
  <c r="BU48" i="44"/>
  <c r="BV48" i="44" s="1"/>
  <c r="BU47" i="44"/>
  <c r="BV47" i="44" s="1"/>
  <c r="BU46" i="44"/>
  <c r="BV46" i="44" s="1"/>
  <c r="BU45" i="44"/>
  <c r="BV45" i="44" s="1"/>
  <c r="BU44" i="44"/>
  <c r="BV44" i="44" s="1"/>
  <c r="BU43" i="44"/>
  <c r="BV43" i="44" s="1"/>
  <c r="BU42" i="44"/>
  <c r="BV42" i="44" s="1"/>
  <c r="BU41" i="44"/>
  <c r="BV41" i="44" s="1"/>
  <c r="BU40" i="44"/>
  <c r="BV40" i="44" s="1"/>
  <c r="BU39" i="44"/>
  <c r="BV39" i="44" s="1"/>
  <c r="BU38" i="44"/>
  <c r="BV38" i="44" s="1"/>
  <c r="BU37" i="44"/>
  <c r="BV37" i="44" s="1"/>
  <c r="BU36" i="44"/>
  <c r="BV36" i="44" s="1"/>
  <c r="BU35" i="44"/>
  <c r="BV35" i="44" s="1"/>
  <c r="BU34" i="44"/>
  <c r="BV34" i="44" s="1"/>
  <c r="BU33" i="44"/>
  <c r="BV33" i="44" s="1"/>
  <c r="BU32" i="44"/>
  <c r="BV32" i="44" s="1"/>
  <c r="BU31" i="44"/>
  <c r="BV31" i="44" s="1"/>
  <c r="BU30" i="44"/>
  <c r="BV30" i="44" s="1"/>
  <c r="BU29" i="44"/>
  <c r="BV29" i="44" s="1"/>
  <c r="BU28" i="44"/>
  <c r="BV28" i="44" s="1"/>
  <c r="BU27" i="44"/>
  <c r="BV27" i="44" s="1"/>
  <c r="BU26" i="44"/>
  <c r="BV26" i="44" s="1"/>
  <c r="BU25" i="44"/>
  <c r="BV25" i="44" s="1"/>
  <c r="BU24" i="44"/>
  <c r="BV24" i="44" s="1"/>
  <c r="BU23" i="44"/>
  <c r="BV23" i="44" s="1"/>
  <c r="BU22" i="44"/>
  <c r="BV22" i="44" s="1"/>
  <c r="BU21" i="44"/>
  <c r="BV21" i="44" s="1"/>
  <c r="BU20" i="44"/>
  <c r="BV20" i="44" s="1"/>
  <c r="BU19" i="44"/>
  <c r="BV19" i="44" s="1"/>
  <c r="BU18" i="44"/>
  <c r="BV18" i="44" s="1"/>
  <c r="BU17" i="44"/>
  <c r="BV17" i="44" s="1"/>
  <c r="BU16" i="44"/>
  <c r="BV16" i="44" s="1"/>
  <c r="BU15" i="44"/>
  <c r="BV15" i="44" s="1"/>
  <c r="BU14" i="44"/>
  <c r="BV14" i="44" s="1"/>
  <c r="BU13" i="44"/>
  <c r="BV13" i="44" s="1"/>
  <c r="BU12" i="44"/>
  <c r="BV12" i="44" s="1"/>
  <c r="BU7" i="44"/>
  <c r="S63" i="43" l="1"/>
  <c r="H27" i="61"/>
  <c r="O63" i="43"/>
  <c r="H26" i="61"/>
  <c r="U36" i="55"/>
  <c r="BV55" i="44"/>
  <c r="U13" i="55"/>
  <c r="BV63" i="44"/>
  <c r="U41" i="55"/>
  <c r="U21" i="55"/>
  <c r="U24" i="55"/>
  <c r="U26" i="55"/>
  <c r="U23" i="55"/>
  <c r="U54" i="55"/>
  <c r="U12" i="55"/>
  <c r="U28" i="55"/>
  <c r="U56" i="55"/>
  <c r="U51" i="55"/>
  <c r="U9" i="55"/>
  <c r="U35" i="55"/>
  <c r="U44" i="55" s="1"/>
  <c r="D29" i="62" s="1"/>
  <c r="U8" i="55"/>
  <c r="U50" i="55"/>
  <c r="U25" i="55"/>
  <c r="U53" i="55"/>
  <c r="U27" i="55"/>
  <c r="U55" i="55"/>
  <c r="U22" i="55"/>
  <c r="U52" i="55"/>
  <c r="U10" i="55"/>
  <c r="BX40" i="44"/>
  <c r="BX96" i="44"/>
  <c r="BX17" i="44"/>
  <c r="BX25" i="44"/>
  <c r="G24" i="63" s="1"/>
  <c r="I24" i="63" s="1"/>
  <c r="BX33" i="44"/>
  <c r="BX41" i="44"/>
  <c r="BX49" i="44"/>
  <c r="BX57" i="44"/>
  <c r="BX65" i="44"/>
  <c r="BX73" i="44"/>
  <c r="BX81" i="44"/>
  <c r="BX89" i="44"/>
  <c r="BX97" i="44"/>
  <c r="BX105" i="44"/>
  <c r="BX48" i="44"/>
  <c r="BX18" i="44"/>
  <c r="BX26" i="44"/>
  <c r="BX34" i="44"/>
  <c r="BX42" i="44"/>
  <c r="BX50" i="44"/>
  <c r="BX58" i="44"/>
  <c r="BX66" i="44"/>
  <c r="BX74" i="44"/>
  <c r="BX82" i="44"/>
  <c r="BX90" i="44"/>
  <c r="BX98" i="44"/>
  <c r="BX106" i="44"/>
  <c r="BX32" i="44"/>
  <c r="BX88" i="44"/>
  <c r="U49" i="55"/>
  <c r="C45" i="59" s="1"/>
  <c r="C47" i="59" s="1"/>
  <c r="BX19" i="44"/>
  <c r="BX27" i="44"/>
  <c r="BX35" i="44"/>
  <c r="BX43" i="44"/>
  <c r="BX51" i="44"/>
  <c r="BX59" i="44"/>
  <c r="BX67" i="44"/>
  <c r="BX75" i="44"/>
  <c r="BX83" i="44"/>
  <c r="BX91" i="44"/>
  <c r="BX99" i="44"/>
  <c r="BX16" i="44"/>
  <c r="BX72" i="44"/>
  <c r="BX20" i="44"/>
  <c r="BX28" i="44"/>
  <c r="BX36" i="44"/>
  <c r="BX44" i="44"/>
  <c r="BX52" i="44"/>
  <c r="BX60" i="44"/>
  <c r="BX68" i="44"/>
  <c r="BX76" i="44"/>
  <c r="BX84" i="44"/>
  <c r="BX92" i="44"/>
  <c r="BX100" i="44"/>
  <c r="BX24" i="44"/>
  <c r="BX80" i="44"/>
  <c r="BX13" i="44"/>
  <c r="BX21" i="44"/>
  <c r="BX29" i="44"/>
  <c r="BX37" i="44"/>
  <c r="BX45" i="44"/>
  <c r="BX53" i="44"/>
  <c r="BX61" i="44"/>
  <c r="BX69" i="44"/>
  <c r="BX77" i="44"/>
  <c r="BX85" i="44"/>
  <c r="BX93" i="44"/>
  <c r="BX101" i="44"/>
  <c r="BX56" i="44"/>
  <c r="BX14" i="44"/>
  <c r="BX22" i="44"/>
  <c r="BX30" i="44"/>
  <c r="BX38" i="44"/>
  <c r="BX46" i="44"/>
  <c r="BX54" i="44"/>
  <c r="BX62" i="44"/>
  <c r="BX70" i="44"/>
  <c r="BX78" i="44"/>
  <c r="BX86" i="44"/>
  <c r="BX94" i="44"/>
  <c r="BX102" i="44"/>
  <c r="BX64" i="44"/>
  <c r="BX104" i="44"/>
  <c r="BX15" i="44"/>
  <c r="BX23" i="44"/>
  <c r="BX31" i="44"/>
  <c r="BX39" i="44"/>
  <c r="BX47" i="44"/>
  <c r="BX55" i="44"/>
  <c r="BX63" i="44"/>
  <c r="G13" i="63" s="1"/>
  <c r="I13" i="63" s="1"/>
  <c r="T13" i="63" s="1"/>
  <c r="BX71" i="44"/>
  <c r="BX79" i="44"/>
  <c r="BX87" i="44"/>
  <c r="BX95" i="44"/>
  <c r="BX103" i="44"/>
  <c r="CD189" i="44"/>
  <c r="CD193" i="44" s="1"/>
  <c r="O20" i="59"/>
  <c r="BS189" i="44"/>
  <c r="BS193" i="44" s="1"/>
  <c r="Q19" i="59" s="1"/>
  <c r="N39" i="43"/>
  <c r="N43" i="43" s="1"/>
  <c r="M39" i="43"/>
  <c r="M43" i="43" s="1"/>
  <c r="X18" i="53"/>
  <c r="BX206" i="44"/>
  <c r="W19" i="53"/>
  <c r="Y19" i="53" s="1"/>
  <c r="BX12" i="44"/>
  <c r="U68" i="55"/>
  <c r="I45" i="59" s="1"/>
  <c r="X23" i="53"/>
  <c r="M49" i="43"/>
  <c r="M48" i="43"/>
  <c r="N48" i="43"/>
  <c r="P48" i="43"/>
  <c r="P49" i="43"/>
  <c r="Q49" i="43"/>
  <c r="N35" i="43"/>
  <c r="J48" i="43"/>
  <c r="N49" i="43"/>
  <c r="S48" i="43"/>
  <c r="M50" i="43"/>
  <c r="Q48" i="43"/>
  <c r="Z48" i="43"/>
  <c r="W50" i="43"/>
  <c r="Z49" i="43"/>
  <c r="Y50" i="43"/>
  <c r="Y43" i="43"/>
  <c r="W49" i="43"/>
  <c r="W35" i="43"/>
  <c r="K50" i="43"/>
  <c r="K49" i="43"/>
  <c r="P35" i="43"/>
  <c r="T48" i="43"/>
  <c r="S49" i="43"/>
  <c r="V48" i="43"/>
  <c r="Z50" i="43"/>
  <c r="P43" i="43"/>
  <c r="S50" i="43"/>
  <c r="W48" i="43"/>
  <c r="Y35" i="43"/>
  <c r="T50" i="43"/>
  <c r="V49" i="43"/>
  <c r="Z35" i="43"/>
  <c r="Y48" i="43"/>
  <c r="T43" i="43"/>
  <c r="K48" i="43"/>
  <c r="M35" i="43"/>
  <c r="Y49" i="43"/>
  <c r="Q50" i="43"/>
  <c r="S35" i="43"/>
  <c r="N50" i="43"/>
  <c r="T35" i="43"/>
  <c r="V50" i="43"/>
  <c r="BX7" i="44"/>
  <c r="U7" i="55"/>
  <c r="AA43" i="43"/>
  <c r="AA51" i="43" s="1"/>
  <c r="R43" i="43"/>
  <c r="R51" i="43" s="1"/>
  <c r="AA70" i="55"/>
  <c r="U43" i="43"/>
  <c r="U51" i="43" s="1"/>
  <c r="Q43" i="43"/>
  <c r="BX203" i="44"/>
  <c r="V44" i="55"/>
  <c r="H29" i="62" s="1"/>
  <c r="Z43" i="43"/>
  <c r="O43" i="43"/>
  <c r="O51" i="43" s="1"/>
  <c r="CE189" i="44"/>
  <c r="CE193" i="44" s="1"/>
  <c r="BU182" i="44"/>
  <c r="BU187" i="44" s="1"/>
  <c r="Y47" i="43"/>
  <c r="AS70" i="55"/>
  <c r="T47" i="43"/>
  <c r="P47" i="43"/>
  <c r="O47" i="43"/>
  <c r="U70" i="55" s="1"/>
  <c r="Y27" i="53"/>
  <c r="Y25" i="53"/>
  <c r="S14" i="53"/>
  <c r="K20" i="59" s="1"/>
  <c r="S27" i="53"/>
  <c r="S25" i="53"/>
  <c r="X44" i="55"/>
  <c r="J29" i="62" s="1"/>
  <c r="W44" i="55"/>
  <c r="I29" i="62" s="1"/>
  <c r="V58" i="55"/>
  <c r="AH13" i="23" s="1"/>
  <c r="W58" i="55"/>
  <c r="X58" i="55"/>
  <c r="P44" i="55"/>
  <c r="H23" i="62" s="1"/>
  <c r="V16" i="55"/>
  <c r="H27" i="62" s="1"/>
  <c r="Q44" i="55"/>
  <c r="I23" i="62" s="1"/>
  <c r="W16" i="55"/>
  <c r="I27" i="62" s="1"/>
  <c r="R44" i="55"/>
  <c r="J23" i="62" s="1"/>
  <c r="X16" i="55"/>
  <c r="J27" i="62" s="1"/>
  <c r="V30" i="55"/>
  <c r="H28" i="62" s="1"/>
  <c r="W30" i="55"/>
  <c r="I28" i="62" s="1"/>
  <c r="X30" i="55"/>
  <c r="J28" i="62" s="1"/>
  <c r="P58" i="55"/>
  <c r="AE13" i="23" s="1"/>
  <c r="Q58" i="55"/>
  <c r="AF13" i="23" s="1"/>
  <c r="R58" i="55"/>
  <c r="AG13" i="23" s="1"/>
  <c r="P16" i="55"/>
  <c r="H21" i="62" s="1"/>
  <c r="Q16" i="55"/>
  <c r="I21" i="62" s="1"/>
  <c r="R16" i="55"/>
  <c r="J21" i="62" s="1"/>
  <c r="P30" i="55"/>
  <c r="H22" i="62" s="1"/>
  <c r="Q30" i="55"/>
  <c r="I22" i="62" s="1"/>
  <c r="R30" i="55"/>
  <c r="J22" i="62" s="1"/>
  <c r="BU203" i="44"/>
  <c r="BQ189" i="44"/>
  <c r="BQ193" i="44" s="1"/>
  <c r="O19" i="59" s="1"/>
  <c r="BR189" i="44"/>
  <c r="BR193" i="44" s="1"/>
  <c r="P19" i="59" s="1"/>
  <c r="BT189" i="44"/>
  <c r="BT193" i="44" s="1"/>
  <c r="R19" i="59" s="1"/>
  <c r="BW189" i="44"/>
  <c r="BW193" i="44" s="1"/>
  <c r="BY189" i="44"/>
  <c r="BY193" i="44" s="1"/>
  <c r="BZ189" i="44"/>
  <c r="BZ193" i="44" s="1"/>
  <c r="CA189" i="44"/>
  <c r="CA193" i="44" s="1"/>
  <c r="BC208" i="44"/>
  <c r="BF208" i="44" s="1"/>
  <c r="BC207" i="44"/>
  <c r="BF207" i="44" s="1"/>
  <c r="BC206" i="44"/>
  <c r="BM203" i="44"/>
  <c r="BL203" i="44"/>
  <c r="BI203" i="44"/>
  <c r="BH203" i="44"/>
  <c r="BG203" i="44"/>
  <c r="BE203" i="44"/>
  <c r="BB203" i="44"/>
  <c r="BA203" i="44"/>
  <c r="AZ203" i="44"/>
  <c r="AY203" i="44"/>
  <c r="BC202" i="44"/>
  <c r="BF202" i="44" s="1"/>
  <c r="BC201" i="44"/>
  <c r="BF201" i="44" s="1"/>
  <c r="BC200" i="44"/>
  <c r="BF200" i="44" s="1"/>
  <c r="BC199" i="44"/>
  <c r="BF199" i="44" s="1"/>
  <c r="BC198" i="44"/>
  <c r="BF198" i="44" s="1"/>
  <c r="BC197" i="44"/>
  <c r="BF197" i="44" s="1"/>
  <c r="BE187" i="44"/>
  <c r="L39" i="43" s="1"/>
  <c r="BM182" i="44"/>
  <c r="BL182" i="44"/>
  <c r="BI182" i="44"/>
  <c r="BH182" i="44"/>
  <c r="BG182" i="44"/>
  <c r="BE182" i="44"/>
  <c r="BB182" i="44"/>
  <c r="P13" i="23" s="1"/>
  <c r="BA182" i="44"/>
  <c r="AZ182" i="44"/>
  <c r="AY182" i="44"/>
  <c r="BV7" i="44"/>
  <c r="E32" i="61"/>
  <c r="C32" i="61"/>
  <c r="H31" i="43"/>
  <c r="G31" i="43"/>
  <c r="H32" i="43"/>
  <c r="G32" i="43"/>
  <c r="B5" i="59"/>
  <c r="B6" i="59"/>
  <c r="L17" i="23"/>
  <c r="M17" i="23" s="1"/>
  <c r="AK208" i="44"/>
  <c r="AN208" i="44" s="1"/>
  <c r="AK207" i="44"/>
  <c r="AN207" i="44" s="1"/>
  <c r="S207" i="44"/>
  <c r="V207" i="44" s="1"/>
  <c r="AK206" i="44"/>
  <c r="K19" i="53" s="1"/>
  <c r="S206" i="44"/>
  <c r="V206" i="44" s="1"/>
  <c r="F14" i="53"/>
  <c r="E14" i="53"/>
  <c r="F13" i="53" s="1"/>
  <c r="G13" i="53" s="1"/>
  <c r="O12" i="55" l="1"/>
  <c r="O22" i="55"/>
  <c r="O8" i="55"/>
  <c r="O21" i="55"/>
  <c r="O10" i="55"/>
  <c r="O35" i="55"/>
  <c r="O26" i="55"/>
  <c r="O9" i="55"/>
  <c r="G28" i="63"/>
  <c r="I28" i="63" s="1"/>
  <c r="T28" i="63" s="1"/>
  <c r="O50" i="55"/>
  <c r="O54" i="55"/>
  <c r="O52" i="55"/>
  <c r="O51" i="55"/>
  <c r="G43" i="63"/>
  <c r="BU185" i="44"/>
  <c r="BU186" i="44" s="1"/>
  <c r="AA13" i="55"/>
  <c r="T24" i="63"/>
  <c r="AA28" i="55"/>
  <c r="AA56" i="55" s="1"/>
  <c r="D64" i="64" s="1"/>
  <c r="G12" i="63"/>
  <c r="I12" i="63" s="1"/>
  <c r="T12" i="63" s="1"/>
  <c r="G10" i="63"/>
  <c r="I10" i="63" s="1"/>
  <c r="T10" i="63" s="1"/>
  <c r="G20" i="63"/>
  <c r="I20" i="63" s="1"/>
  <c r="U30" i="55"/>
  <c r="D28" i="62" s="1"/>
  <c r="G21" i="63"/>
  <c r="I21" i="63" s="1"/>
  <c r="G8" i="63"/>
  <c r="G27" i="63"/>
  <c r="I27" i="63" s="1"/>
  <c r="G18" i="63"/>
  <c r="I18" i="63" s="1"/>
  <c r="G9" i="63"/>
  <c r="I9" i="63" s="1"/>
  <c r="T9" i="63" s="1"/>
  <c r="G37" i="63"/>
  <c r="I37" i="63" s="1"/>
  <c r="G22" i="63"/>
  <c r="I22" i="63" s="1"/>
  <c r="G33" i="63"/>
  <c r="I33" i="63" s="1"/>
  <c r="G7" i="63"/>
  <c r="G19" i="63"/>
  <c r="I19" i="63" s="1"/>
  <c r="G23" i="63"/>
  <c r="I23" i="63" s="1"/>
  <c r="G17" i="63"/>
  <c r="I17" i="63" s="1"/>
  <c r="U16" i="55"/>
  <c r="D27" i="62" s="1"/>
  <c r="D51" i="64"/>
  <c r="J45" i="59"/>
  <c r="D47" i="64"/>
  <c r="E45" i="59"/>
  <c r="E47" i="59" s="1"/>
  <c r="D52" i="64"/>
  <c r="K45" i="59"/>
  <c r="H45" i="59"/>
  <c r="D49" i="64"/>
  <c r="D46" i="64"/>
  <c r="D45" i="59"/>
  <c r="D47" i="59" s="1"/>
  <c r="D50" i="64"/>
  <c r="G45" i="59"/>
  <c r="G47" i="59" s="1"/>
  <c r="D48" i="64"/>
  <c r="F45" i="59"/>
  <c r="F47" i="59" s="1"/>
  <c r="D45" i="64"/>
  <c r="BF44" i="44"/>
  <c r="BF84" i="44"/>
  <c r="BF21" i="44"/>
  <c r="BF45" i="44"/>
  <c r="BF61" i="44"/>
  <c r="BF85" i="44"/>
  <c r="BF101" i="44"/>
  <c r="BF28" i="44"/>
  <c r="BF60" i="44"/>
  <c r="BF76" i="44"/>
  <c r="BF92" i="44"/>
  <c r="BF13" i="44"/>
  <c r="BF29" i="44"/>
  <c r="BF53" i="44"/>
  <c r="BF69" i="44"/>
  <c r="BF93" i="44"/>
  <c r="BF14" i="44"/>
  <c r="BF22" i="44"/>
  <c r="BF30" i="44"/>
  <c r="BF38" i="44"/>
  <c r="BF46" i="44"/>
  <c r="BF54" i="44"/>
  <c r="BF62" i="44"/>
  <c r="BF70" i="44"/>
  <c r="BF78" i="44"/>
  <c r="BF86" i="44"/>
  <c r="BF94" i="44"/>
  <c r="BF102" i="44"/>
  <c r="BF20" i="44"/>
  <c r="BF68" i="44"/>
  <c r="BF100" i="44"/>
  <c r="BF37" i="44"/>
  <c r="BF77" i="44"/>
  <c r="BF15" i="44"/>
  <c r="BF23" i="44"/>
  <c r="BF31" i="44"/>
  <c r="BF39" i="44"/>
  <c r="BF47" i="44"/>
  <c r="BF55" i="44"/>
  <c r="BF63" i="44"/>
  <c r="BF71" i="44"/>
  <c r="BF79" i="44"/>
  <c r="BF87" i="44"/>
  <c r="BF95" i="44"/>
  <c r="BF103" i="44"/>
  <c r="BF52" i="44"/>
  <c r="BF16" i="44"/>
  <c r="BF24" i="44"/>
  <c r="BF32" i="44"/>
  <c r="BF40" i="44"/>
  <c r="BF48" i="44"/>
  <c r="BF56" i="44"/>
  <c r="BF64" i="44"/>
  <c r="BF72" i="44"/>
  <c r="BF80" i="44"/>
  <c r="BF88" i="44"/>
  <c r="BF96" i="44"/>
  <c r="BF104" i="44"/>
  <c r="BF17" i="44"/>
  <c r="BF25" i="44"/>
  <c r="BF33" i="44"/>
  <c r="BF41" i="44"/>
  <c r="BF49" i="44"/>
  <c r="BF57" i="44"/>
  <c r="BF65" i="44"/>
  <c r="BF73" i="44"/>
  <c r="BF81" i="44"/>
  <c r="BF89" i="44"/>
  <c r="BF97" i="44"/>
  <c r="BF105" i="44"/>
  <c r="BF36" i="44"/>
  <c r="BF18" i="44"/>
  <c r="BF26" i="44"/>
  <c r="BF34" i="44"/>
  <c r="BF42" i="44"/>
  <c r="BF50" i="44"/>
  <c r="BF58" i="44"/>
  <c r="BF66" i="44"/>
  <c r="BF74" i="44"/>
  <c r="BF82" i="44"/>
  <c r="BF90" i="44"/>
  <c r="BF98" i="44"/>
  <c r="BF106" i="44"/>
  <c r="O7" i="55"/>
  <c r="BF19" i="44"/>
  <c r="BF27" i="44"/>
  <c r="BF35" i="44"/>
  <c r="BF43" i="44"/>
  <c r="BF51" i="44"/>
  <c r="BF59" i="44"/>
  <c r="BF67" i="44"/>
  <c r="BF75" i="44"/>
  <c r="BF83" i="44"/>
  <c r="BF91" i="44"/>
  <c r="BF99" i="44"/>
  <c r="O21" i="59"/>
  <c r="T51" i="43"/>
  <c r="W60" i="55"/>
  <c r="AI13" i="23"/>
  <c r="X60" i="55"/>
  <c r="AJ13" i="23"/>
  <c r="AJ14" i="23" s="1"/>
  <c r="AJ18" i="23" s="1"/>
  <c r="N47" i="43"/>
  <c r="BX182" i="44"/>
  <c r="Q20" i="59"/>
  <c r="Q21" i="59" s="1"/>
  <c r="BL189" i="44"/>
  <c r="BL193" i="44" s="1"/>
  <c r="M20" i="59"/>
  <c r="BG189" i="44"/>
  <c r="BG193" i="44" s="1"/>
  <c r="BH189" i="44"/>
  <c r="BH193" i="44" s="1"/>
  <c r="K39" i="43"/>
  <c r="J39" i="43"/>
  <c r="J43" i="43" s="1"/>
  <c r="L47" i="43"/>
  <c r="O70" i="55" s="1"/>
  <c r="G8" i="43"/>
  <c r="BF206" i="44"/>
  <c r="Q19" i="53"/>
  <c r="S19" i="53" s="1"/>
  <c r="BF7" i="44"/>
  <c r="O49" i="55"/>
  <c r="C39" i="59" s="1"/>
  <c r="C41" i="59" s="1"/>
  <c r="L43" i="43"/>
  <c r="L51" i="43" s="1"/>
  <c r="BF12" i="44"/>
  <c r="O68" i="55"/>
  <c r="I39" i="59" s="1"/>
  <c r="L39" i="59" s="1"/>
  <c r="BB189" i="44"/>
  <c r="BB193" i="44" s="1"/>
  <c r="N19" i="59" s="1"/>
  <c r="R23" i="53"/>
  <c r="R18" i="53"/>
  <c r="D30" i="62"/>
  <c r="D54" i="64"/>
  <c r="V60" i="55"/>
  <c r="R60" i="55"/>
  <c r="AH14" i="23"/>
  <c r="AH18" i="23" s="1"/>
  <c r="Q60" i="55"/>
  <c r="AG14" i="23"/>
  <c r="AG18" i="23" s="1"/>
  <c r="P60" i="55"/>
  <c r="AF14" i="23"/>
  <c r="AF18" i="23" s="1"/>
  <c r="J32" i="62"/>
  <c r="I26" i="62"/>
  <c r="H32" i="62"/>
  <c r="J26" i="62"/>
  <c r="H26" i="62"/>
  <c r="I32" i="62"/>
  <c r="AG70" i="55"/>
  <c r="AU30" i="55"/>
  <c r="I52" i="62" s="1"/>
  <c r="P51" i="43"/>
  <c r="M51" i="43"/>
  <c r="Q35" i="43"/>
  <c r="Q51" i="43" s="1"/>
  <c r="N51" i="43"/>
  <c r="Y51" i="43"/>
  <c r="P50" i="43"/>
  <c r="V35" i="43"/>
  <c r="J50" i="43"/>
  <c r="Z51" i="43"/>
  <c r="K35" i="43"/>
  <c r="Q47" i="43"/>
  <c r="AU44" i="55"/>
  <c r="I53" i="62" s="1"/>
  <c r="O44" i="55"/>
  <c r="D23" i="62" s="1"/>
  <c r="BE189" i="44"/>
  <c r="BE193" i="44" s="1"/>
  <c r="BI189" i="44"/>
  <c r="BI193" i="44" s="1"/>
  <c r="Z47" i="43"/>
  <c r="BU189" i="44"/>
  <c r="AZ189" i="44"/>
  <c r="AZ193" i="44" s="1"/>
  <c r="L19" i="59" s="1"/>
  <c r="BF203" i="44"/>
  <c r="BA189" i="44"/>
  <c r="BA193" i="44" s="1"/>
  <c r="M19" i="59" s="1"/>
  <c r="BC182" i="44"/>
  <c r="BC187" i="44" s="1"/>
  <c r="S43" i="43"/>
  <c r="S51" i="43" s="1"/>
  <c r="S47" i="43"/>
  <c r="M47" i="43"/>
  <c r="BM189" i="44"/>
  <c r="BM193" i="44" s="1"/>
  <c r="BC203" i="44"/>
  <c r="AY189" i="44"/>
  <c r="AY193" i="44" s="1"/>
  <c r="K19" i="59" s="1"/>
  <c r="K21" i="59" s="1"/>
  <c r="AN206" i="44"/>
  <c r="C76" i="55"/>
  <c r="H24" i="61" s="1"/>
  <c r="C82" i="55"/>
  <c r="I82" i="55"/>
  <c r="H66" i="43"/>
  <c r="D66" i="43"/>
  <c r="B2" i="59"/>
  <c r="C25" i="59" s="1"/>
  <c r="C31" i="59" s="1"/>
  <c r="C37" i="59" s="1"/>
  <c r="C43" i="59" s="1"/>
  <c r="B1" i="59"/>
  <c r="L25" i="53"/>
  <c r="L27" i="53"/>
  <c r="F25" i="53"/>
  <c r="M19" i="53"/>
  <c r="K18" i="53"/>
  <c r="L14" i="53"/>
  <c r="K14" i="53"/>
  <c r="L13" i="53" s="1"/>
  <c r="M13" i="53" s="1"/>
  <c r="M12" i="53"/>
  <c r="M34" i="59"/>
  <c r="H17" i="23"/>
  <c r="I17" i="23" s="1"/>
  <c r="M28" i="59" s="1"/>
  <c r="E17" i="23"/>
  <c r="F27" i="53"/>
  <c r="I8" i="63" l="1"/>
  <c r="T8" i="63" s="1"/>
  <c r="O16" i="55"/>
  <c r="D21" i="62" s="1"/>
  <c r="G38" i="63"/>
  <c r="G45" i="63" s="1"/>
  <c r="I7" i="63"/>
  <c r="O30" i="55"/>
  <c r="D22" i="62" s="1"/>
  <c r="AA36" i="55"/>
  <c r="D35" i="64"/>
  <c r="E39" i="59"/>
  <c r="E41" i="59" s="1"/>
  <c r="F39" i="59"/>
  <c r="F41" i="59" s="1"/>
  <c r="D36" i="64"/>
  <c r="G39" i="59"/>
  <c r="G41" i="59" s="1"/>
  <c r="D38" i="64"/>
  <c r="D39" i="59"/>
  <c r="D41" i="59" s="1"/>
  <c r="D34" i="64"/>
  <c r="BV182" i="44"/>
  <c r="BC189" i="44"/>
  <c r="BV189" i="44" s="1"/>
  <c r="BV193" i="44" s="1"/>
  <c r="T17" i="63"/>
  <c r="AA21" i="55"/>
  <c r="T23" i="63"/>
  <c r="AA27" i="55"/>
  <c r="T19" i="63"/>
  <c r="AA23" i="55"/>
  <c r="AA7" i="55"/>
  <c r="T33" i="63"/>
  <c r="AA41" i="55"/>
  <c r="T22" i="63"/>
  <c r="AA26" i="55"/>
  <c r="T37" i="63"/>
  <c r="AA68" i="55"/>
  <c r="AA9" i="55"/>
  <c r="T18" i="63"/>
  <c r="AA22" i="55"/>
  <c r="T27" i="63"/>
  <c r="AA35" i="55"/>
  <c r="AA44" i="55" s="1"/>
  <c r="D35" i="62" s="1"/>
  <c r="AA8" i="55"/>
  <c r="T21" i="63"/>
  <c r="AA25" i="55"/>
  <c r="AA53" i="55" s="1"/>
  <c r="D61" i="64" s="1"/>
  <c r="T20" i="63"/>
  <c r="AA24" i="55"/>
  <c r="AA10" i="55"/>
  <c r="AA12" i="55"/>
  <c r="AE24" i="63"/>
  <c r="AG28" i="55"/>
  <c r="AG56" i="55" s="1"/>
  <c r="D76" i="64" s="1"/>
  <c r="AE28" i="63"/>
  <c r="AG36" i="55"/>
  <c r="AE13" i="63"/>
  <c r="AG13" i="55"/>
  <c r="G42" i="63"/>
  <c r="S16" i="23"/>
  <c r="U16" i="23"/>
  <c r="W31" i="53"/>
  <c r="Y31" i="53" s="1"/>
  <c r="U63" i="55"/>
  <c r="BX186" i="44"/>
  <c r="S15" i="23"/>
  <c r="G41" i="63"/>
  <c r="U15" i="23"/>
  <c r="W30" i="53"/>
  <c r="U62" i="55"/>
  <c r="BX185" i="44"/>
  <c r="BX187" i="44" s="1"/>
  <c r="L45" i="59"/>
  <c r="BU193" i="44"/>
  <c r="F6" i="59" s="1"/>
  <c r="M21" i="59"/>
  <c r="J47" i="43"/>
  <c r="G9" i="43"/>
  <c r="F5" i="59" s="1"/>
  <c r="D33" i="64"/>
  <c r="K43" i="43"/>
  <c r="K51" i="43" s="1"/>
  <c r="K47" i="43"/>
  <c r="D42" i="64"/>
  <c r="D24" i="62"/>
  <c r="AU58" i="55"/>
  <c r="AU60" i="55" s="1"/>
  <c r="AU16" i="55"/>
  <c r="I51" i="62" s="1"/>
  <c r="J49" i="43"/>
  <c r="J35" i="43"/>
  <c r="J51" i="43" s="1"/>
  <c r="BF182" i="44"/>
  <c r="AM70" i="55"/>
  <c r="X43" i="43"/>
  <c r="X51" i="43" s="1"/>
  <c r="M14" i="53"/>
  <c r="G20" i="59" s="1"/>
  <c r="C12" i="59"/>
  <c r="D12" i="59" s="1"/>
  <c r="E12" i="59" s="1"/>
  <c r="F12" i="59" s="1"/>
  <c r="G12" i="59" s="1"/>
  <c r="H12" i="59" s="1"/>
  <c r="I12" i="59" s="1"/>
  <c r="J12" i="59" s="1"/>
  <c r="C4" i="59"/>
  <c r="D4" i="59" s="1"/>
  <c r="E4" i="59" s="1"/>
  <c r="F4" i="59" s="1"/>
  <c r="G4" i="59" s="1"/>
  <c r="H4" i="59" s="1"/>
  <c r="I4" i="59" s="1"/>
  <c r="J4" i="59" s="1"/>
  <c r="C17" i="59"/>
  <c r="G17" i="59" s="1"/>
  <c r="K17" i="59" s="1"/>
  <c r="O17" i="59" s="1"/>
  <c r="S17" i="59" s="1"/>
  <c r="W17" i="59" s="1"/>
  <c r="AA17" i="59" s="1"/>
  <c r="AE17" i="59" s="1"/>
  <c r="M27" i="53"/>
  <c r="I38" i="63" l="1"/>
  <c r="T7" i="63"/>
  <c r="F8" i="43"/>
  <c r="F9" i="43" s="1"/>
  <c r="E5" i="59" s="1"/>
  <c r="AA55" i="55"/>
  <c r="D63" i="64" s="1"/>
  <c r="BX189" i="44"/>
  <c r="BX193" i="44" s="1"/>
  <c r="F13" i="59" s="1"/>
  <c r="AA54" i="55"/>
  <c r="D62" i="64" s="1"/>
  <c r="AA52" i="55"/>
  <c r="D60" i="64" s="1"/>
  <c r="AA51" i="55"/>
  <c r="D59" i="64" s="1"/>
  <c r="U61" i="55"/>
  <c r="D55" i="64" s="1"/>
  <c r="D56" i="64" s="1"/>
  <c r="AA50" i="55"/>
  <c r="D58" i="64" s="1"/>
  <c r="Y30" i="53"/>
  <c r="W29" i="53"/>
  <c r="AP13" i="63"/>
  <c r="AS13" i="55" s="1"/>
  <c r="AM13" i="55"/>
  <c r="AP28" i="63"/>
  <c r="AS36" i="55" s="1"/>
  <c r="AM36" i="55"/>
  <c r="AP24" i="63"/>
  <c r="AS28" i="55" s="1"/>
  <c r="AS56" i="55" s="1"/>
  <c r="D100" i="64" s="1"/>
  <c r="AM28" i="55"/>
  <c r="AM56" i="55" s="1"/>
  <c r="D88" i="64" s="1"/>
  <c r="AE12" i="63"/>
  <c r="AG12" i="55"/>
  <c r="AE10" i="63"/>
  <c r="AG10" i="55"/>
  <c r="AE20" i="63"/>
  <c r="AG24" i="55"/>
  <c r="AE21" i="63"/>
  <c r="AG25" i="55"/>
  <c r="AG53" i="55" s="1"/>
  <c r="D73" i="64" s="1"/>
  <c r="AE8" i="63"/>
  <c r="AG8" i="55"/>
  <c r="AE27" i="63"/>
  <c r="AG35" i="55"/>
  <c r="AE18" i="63"/>
  <c r="AG22" i="55"/>
  <c r="AE9" i="63"/>
  <c r="AG9" i="55"/>
  <c r="D66" i="64"/>
  <c r="D36" i="62"/>
  <c r="AE37" i="63"/>
  <c r="AG68" i="55"/>
  <c r="AE22" i="63"/>
  <c r="AG26" i="55"/>
  <c r="AE33" i="63"/>
  <c r="AG41" i="55"/>
  <c r="I43" i="63"/>
  <c r="I53" i="63" s="1"/>
  <c r="G6" i="59" s="1"/>
  <c r="AA49" i="55"/>
  <c r="AA16" i="55"/>
  <c r="D33" i="62" s="1"/>
  <c r="AE7" i="63"/>
  <c r="AG7" i="55"/>
  <c r="T38" i="63"/>
  <c r="AE19" i="63"/>
  <c r="AG23" i="55"/>
  <c r="AE23" i="63"/>
  <c r="AG27" i="55"/>
  <c r="AA30" i="55"/>
  <c r="AE17" i="63"/>
  <c r="AG21" i="55"/>
  <c r="BC185" i="44"/>
  <c r="BV187" i="44"/>
  <c r="BC193" i="44"/>
  <c r="E6" i="59" s="1"/>
  <c r="J16" i="43"/>
  <c r="J24" i="43" s="1"/>
  <c r="J15" i="43"/>
  <c r="J23" i="43" s="1"/>
  <c r="I56" i="62"/>
  <c r="W43" i="43"/>
  <c r="W51" i="43" s="1"/>
  <c r="W47" i="43"/>
  <c r="V43" i="43"/>
  <c r="V51" i="43" s="1"/>
  <c r="V47" i="43"/>
  <c r="M25" i="53"/>
  <c r="I20" i="59" s="1"/>
  <c r="D41" i="43"/>
  <c r="D40" i="43"/>
  <c r="E41" i="43"/>
  <c r="E40" i="43"/>
  <c r="H34" i="43"/>
  <c r="G34" i="43"/>
  <c r="G33" i="43"/>
  <c r="H33" i="43"/>
  <c r="F18" i="50"/>
  <c r="F37" i="50" s="1"/>
  <c r="E18" i="50"/>
  <c r="E37" i="50" s="1"/>
  <c r="D18" i="50"/>
  <c r="D37" i="50" s="1"/>
  <c r="F18" i="51"/>
  <c r="F37" i="51" s="1"/>
  <c r="E18" i="51"/>
  <c r="E37" i="51" s="1"/>
  <c r="D18" i="51"/>
  <c r="D37" i="51" s="1"/>
  <c r="F18" i="52"/>
  <c r="F37" i="52" s="1"/>
  <c r="E18" i="52"/>
  <c r="E37" i="52" s="1"/>
  <c r="D18" i="52"/>
  <c r="D37" i="52" s="1"/>
  <c r="F18" i="49"/>
  <c r="F37" i="49" s="1"/>
  <c r="E18" i="49"/>
  <c r="E37" i="49" s="1"/>
  <c r="D18" i="49"/>
  <c r="D37" i="49" s="1"/>
  <c r="F18" i="48"/>
  <c r="F37" i="48" s="1"/>
  <c r="E18" i="48"/>
  <c r="E37" i="48" s="1"/>
  <c r="D18" i="48"/>
  <c r="D37" i="48" s="1"/>
  <c r="F18" i="47"/>
  <c r="E18" i="47"/>
  <c r="D18" i="47"/>
  <c r="B18" i="25"/>
  <c r="C18" i="25"/>
  <c r="D18" i="25"/>
  <c r="B14" i="23"/>
  <c r="B18" i="23" s="1"/>
  <c r="C14" i="23"/>
  <c r="C18" i="23" s="1"/>
  <c r="D14" i="23"/>
  <c r="D18" i="23" s="1"/>
  <c r="F14" i="23"/>
  <c r="F18" i="23" s="1"/>
  <c r="G14" i="23"/>
  <c r="J14" i="23"/>
  <c r="J18" i="23" s="1"/>
  <c r="K14" i="23"/>
  <c r="X14" i="23"/>
  <c r="X18" i="23" s="1"/>
  <c r="W14" i="23"/>
  <c r="W18" i="23" s="1"/>
  <c r="V14" i="23"/>
  <c r="V18" i="23" s="1"/>
  <c r="D7" i="55"/>
  <c r="M12" i="23"/>
  <c r="M11" i="23"/>
  <c r="M10" i="23"/>
  <c r="M9" i="23"/>
  <c r="M8" i="23"/>
  <c r="I12" i="23"/>
  <c r="I11" i="23"/>
  <c r="I10" i="23"/>
  <c r="I9" i="23"/>
  <c r="E16" i="23"/>
  <c r="E13" i="23"/>
  <c r="E12" i="23"/>
  <c r="E11" i="23"/>
  <c r="E10" i="23"/>
  <c r="E9" i="23"/>
  <c r="E8" i="23"/>
  <c r="AE38" i="63" l="1"/>
  <c r="H8" i="43"/>
  <c r="H9" i="43" s="1"/>
  <c r="G5" i="59" s="1"/>
  <c r="I45" i="63"/>
  <c r="G13" i="59" s="1"/>
  <c r="AG30" i="55"/>
  <c r="D40" i="62" s="1"/>
  <c r="D31" i="62"/>
  <c r="D32" i="62" s="1"/>
  <c r="S65" i="43"/>
  <c r="AG55" i="55"/>
  <c r="D75" i="64" s="1"/>
  <c r="BC186" i="44"/>
  <c r="O15" i="23"/>
  <c r="Q15" i="23"/>
  <c r="Q30" i="53"/>
  <c r="O62" i="55"/>
  <c r="BF185" i="44"/>
  <c r="BV185" i="44"/>
  <c r="AP17" i="63"/>
  <c r="AS21" i="55" s="1"/>
  <c r="AM21" i="55"/>
  <c r="D34" i="62"/>
  <c r="AP23" i="63"/>
  <c r="AS27" i="55" s="1"/>
  <c r="AM27" i="55"/>
  <c r="AP19" i="63"/>
  <c r="AS23" i="55" s="1"/>
  <c r="AM23" i="55"/>
  <c r="T43" i="63"/>
  <c r="I8" i="43" s="1"/>
  <c r="I9" i="43" s="1"/>
  <c r="AG49" i="55"/>
  <c r="AG16" i="55"/>
  <c r="D39" i="62" s="1"/>
  <c r="AP7" i="63"/>
  <c r="AM7" i="55"/>
  <c r="AA58" i="55"/>
  <c r="D57" i="64"/>
  <c r="I41" i="63"/>
  <c r="AA62" i="55" s="1"/>
  <c r="AP33" i="63"/>
  <c r="AS41" i="55" s="1"/>
  <c r="AM41" i="55"/>
  <c r="AP22" i="63"/>
  <c r="AS26" i="55" s="1"/>
  <c r="AM26" i="55"/>
  <c r="D42" i="62"/>
  <c r="D78" i="64"/>
  <c r="AP37" i="63"/>
  <c r="AS68" i="55" s="1"/>
  <c r="AM68" i="55"/>
  <c r="AG51" i="55"/>
  <c r="D71" i="64" s="1"/>
  <c r="AP9" i="63"/>
  <c r="AS9" i="55" s="1"/>
  <c r="AM9" i="55"/>
  <c r="AP18" i="63"/>
  <c r="AS22" i="55" s="1"/>
  <c r="AM22" i="55"/>
  <c r="AG44" i="55"/>
  <c r="AP27" i="63"/>
  <c r="AS35" i="55" s="1"/>
  <c r="AM35" i="55"/>
  <c r="AG50" i="55"/>
  <c r="D70" i="64" s="1"/>
  <c r="AP8" i="63"/>
  <c r="AS8" i="55" s="1"/>
  <c r="AM8" i="55"/>
  <c r="AP21" i="63"/>
  <c r="AS25" i="55" s="1"/>
  <c r="AS53" i="55" s="1"/>
  <c r="D97" i="64" s="1"/>
  <c r="AM25" i="55"/>
  <c r="AM53" i="55" s="1"/>
  <c r="D85" i="64" s="1"/>
  <c r="AP20" i="63"/>
  <c r="AS24" i="55" s="1"/>
  <c r="AM24" i="55"/>
  <c r="AG52" i="55"/>
  <c r="D72" i="64" s="1"/>
  <c r="AP10" i="63"/>
  <c r="AS10" i="55" s="1"/>
  <c r="AM10" i="55"/>
  <c r="AG54" i="55"/>
  <c r="D74" i="64" s="1"/>
  <c r="AP12" i="63"/>
  <c r="AS12" i="55" s="1"/>
  <c r="AM12" i="55"/>
  <c r="W33" i="53"/>
  <c r="Y29" i="53"/>
  <c r="D28" i="59"/>
  <c r="G34" i="59"/>
  <c r="E28" i="59"/>
  <c r="F28" i="59"/>
  <c r="G28" i="59"/>
  <c r="D34" i="59"/>
  <c r="E34" i="59"/>
  <c r="F34" i="59"/>
  <c r="C34" i="59"/>
  <c r="H15" i="43"/>
  <c r="H23" i="43" s="1"/>
  <c r="J17" i="43"/>
  <c r="J25" i="43" s="1"/>
  <c r="H16" i="43"/>
  <c r="H24" i="43" s="1"/>
  <c r="E37" i="47"/>
  <c r="F37" i="47"/>
  <c r="D37" i="47"/>
  <c r="E14" i="23"/>
  <c r="E18" i="23" s="1"/>
  <c r="G27" i="53"/>
  <c r="AP38" i="63" l="1"/>
  <c r="T45" i="63"/>
  <c r="H13" i="59" s="1"/>
  <c r="T53" i="63"/>
  <c r="H6" i="59" s="1"/>
  <c r="L15" i="43"/>
  <c r="AS54" i="55"/>
  <c r="D98" i="64" s="1"/>
  <c r="L16" i="43"/>
  <c r="L24" i="43" s="1"/>
  <c r="AS44" i="55"/>
  <c r="D53" i="62" s="1"/>
  <c r="AM51" i="55"/>
  <c r="D83" i="64" s="1"/>
  <c r="AS51" i="55"/>
  <c r="D95" i="64" s="1"/>
  <c r="AS52" i="55"/>
  <c r="D96" i="64" s="1"/>
  <c r="AM55" i="55"/>
  <c r="D87" i="64" s="1"/>
  <c r="AM52" i="55"/>
  <c r="D84" i="64" s="1"/>
  <c r="AS55" i="55"/>
  <c r="D99" i="64" s="1"/>
  <c r="AM50" i="55"/>
  <c r="D82" i="64" s="1"/>
  <c r="AM44" i="55"/>
  <c r="D47" i="62" s="1"/>
  <c r="AS50" i="55"/>
  <c r="D94" i="64" s="1"/>
  <c r="I42" i="63"/>
  <c r="AA63" i="55" s="1"/>
  <c r="AA61" i="55" s="1"/>
  <c r="AA69" i="55" s="1"/>
  <c r="AM54" i="55"/>
  <c r="D86" i="64" s="1"/>
  <c r="D41" i="62"/>
  <c r="D90" i="64"/>
  <c r="D48" i="62"/>
  <c r="D102" i="64"/>
  <c r="D54" i="62"/>
  <c r="L17" i="43"/>
  <c r="L25" i="43" s="1"/>
  <c r="M24" i="43" s="1"/>
  <c r="L23" i="43"/>
  <c r="M23" i="43" s="1"/>
  <c r="AE43" i="63"/>
  <c r="AE53" i="63" s="1"/>
  <c r="I6" i="59" s="1"/>
  <c r="AM49" i="55"/>
  <c r="AM16" i="55"/>
  <c r="D45" i="62" s="1"/>
  <c r="AS7" i="55"/>
  <c r="D69" i="64"/>
  <c r="AG58" i="55"/>
  <c r="H5" i="59"/>
  <c r="N16" i="43"/>
  <c r="N24" i="43" s="1"/>
  <c r="N15" i="43"/>
  <c r="T41" i="63"/>
  <c r="AG62" i="55" s="1"/>
  <c r="AM30" i="55"/>
  <c r="AS30" i="55"/>
  <c r="S30" i="53"/>
  <c r="O16" i="23"/>
  <c r="Q16" i="23"/>
  <c r="Q31" i="53"/>
  <c r="O63" i="55"/>
  <c r="O61" i="55" s="1"/>
  <c r="BF186" i="44"/>
  <c r="BF187" i="44" s="1"/>
  <c r="BF189" i="44" s="1"/>
  <c r="BF193" i="44" s="1"/>
  <c r="E13" i="59" s="1"/>
  <c r="BV186" i="44"/>
  <c r="K24" i="43"/>
  <c r="H17" i="43"/>
  <c r="H25" i="43" s="1"/>
  <c r="G25" i="53"/>
  <c r="E20" i="59" s="1"/>
  <c r="T42" i="63" l="1"/>
  <c r="AG63" i="55" s="1"/>
  <c r="AG61" i="55" s="1"/>
  <c r="AG69" i="55" s="1"/>
  <c r="J8" i="43"/>
  <c r="J9" i="43" s="1"/>
  <c r="P15" i="43" s="1"/>
  <c r="AE45" i="63"/>
  <c r="I13" i="59" s="1"/>
  <c r="D25" i="62"/>
  <c r="D26" i="62" s="1"/>
  <c r="O65" i="43"/>
  <c r="D43" i="64"/>
  <c r="D44" i="64" s="1"/>
  <c r="S31" i="53"/>
  <c r="Q29" i="53"/>
  <c r="S29" i="53" s="1"/>
  <c r="D52" i="62"/>
  <c r="D46" i="62"/>
  <c r="N17" i="43"/>
  <c r="N25" i="43" s="1"/>
  <c r="O24" i="43" s="1"/>
  <c r="N23" i="43"/>
  <c r="AP43" i="63"/>
  <c r="AP53" i="63" s="1"/>
  <c r="J6" i="59" s="1"/>
  <c r="AS49" i="55"/>
  <c r="AS16" i="55"/>
  <c r="D51" i="62" s="1"/>
  <c r="D81" i="64"/>
  <c r="AM58" i="55"/>
  <c r="AE41" i="63"/>
  <c r="AM62" i="55" s="1"/>
  <c r="W62" i="43"/>
  <c r="AA71" i="55"/>
  <c r="G7" i="59"/>
  <c r="G10" i="59" s="1"/>
  <c r="C13" i="61"/>
  <c r="AA72" i="55"/>
  <c r="V64" i="43"/>
  <c r="V63" i="43"/>
  <c r="U64" i="43"/>
  <c r="U63" i="43"/>
  <c r="D67" i="64"/>
  <c r="D68" i="64" s="1"/>
  <c r="W65" i="43"/>
  <c r="D37" i="62"/>
  <c r="D38" i="62" s="1"/>
  <c r="R65" i="43"/>
  <c r="R63" i="43"/>
  <c r="R64" i="43"/>
  <c r="K23" i="43"/>
  <c r="G14" i="53"/>
  <c r="G12" i="53"/>
  <c r="E27" i="21"/>
  <c r="E26" i="21"/>
  <c r="E25" i="21"/>
  <c r="E24" i="21"/>
  <c r="E23" i="21"/>
  <c r="E22" i="21"/>
  <c r="E21" i="21"/>
  <c r="E20" i="21"/>
  <c r="E19" i="21"/>
  <c r="E18" i="21"/>
  <c r="E17" i="21"/>
  <c r="E16" i="21"/>
  <c r="E15" i="21"/>
  <c r="E14" i="21"/>
  <c r="E13" i="21"/>
  <c r="E12" i="21"/>
  <c r="E11" i="21"/>
  <c r="E10" i="21"/>
  <c r="E9" i="21"/>
  <c r="E8" i="21"/>
  <c r="L187" i="44"/>
  <c r="I39" i="43"/>
  <c r="U187" i="44"/>
  <c r="I49" i="43"/>
  <c r="I48" i="43"/>
  <c r="I50" i="43"/>
  <c r="F48" i="43"/>
  <c r="D32" i="43"/>
  <c r="E32" i="43"/>
  <c r="G50" i="43"/>
  <c r="H50" i="43"/>
  <c r="H49" i="43"/>
  <c r="G49" i="43"/>
  <c r="H48" i="43"/>
  <c r="G48" i="43"/>
  <c r="H35" i="43"/>
  <c r="G35" i="43"/>
  <c r="K49" i="55"/>
  <c r="L49" i="55"/>
  <c r="AD8" i="23" s="1"/>
  <c r="K50" i="55"/>
  <c r="L50" i="55"/>
  <c r="AD9" i="23" s="1"/>
  <c r="K51" i="55"/>
  <c r="L51" i="55"/>
  <c r="AD10" i="23" s="1"/>
  <c r="K52" i="55"/>
  <c r="L52" i="55"/>
  <c r="AD11" i="23" s="1"/>
  <c r="K53" i="55"/>
  <c r="I25" i="64" s="1"/>
  <c r="L53" i="55"/>
  <c r="K54" i="55"/>
  <c r="L54" i="55"/>
  <c r="AD12" i="23" s="1"/>
  <c r="K55" i="55"/>
  <c r="I27" i="64" s="1"/>
  <c r="L55" i="55"/>
  <c r="J27" i="64" s="1"/>
  <c r="K56" i="55"/>
  <c r="I28" i="64" s="1"/>
  <c r="L56" i="55"/>
  <c r="J28" i="64" s="1"/>
  <c r="K57" i="55"/>
  <c r="I29" i="64" s="1"/>
  <c r="L57" i="55"/>
  <c r="J29" i="64" s="1"/>
  <c r="J50" i="55"/>
  <c r="J51" i="55"/>
  <c r="J52" i="55"/>
  <c r="J53" i="55"/>
  <c r="H25" i="64" s="1"/>
  <c r="J54" i="55"/>
  <c r="J55" i="55"/>
  <c r="H27" i="64" s="1"/>
  <c r="J56" i="55"/>
  <c r="H28" i="64" s="1"/>
  <c r="J57" i="55"/>
  <c r="H29" i="64" s="1"/>
  <c r="J49" i="55"/>
  <c r="K7" i="55"/>
  <c r="L7" i="55"/>
  <c r="K8" i="55"/>
  <c r="L8" i="55"/>
  <c r="K9" i="55"/>
  <c r="L9" i="55"/>
  <c r="K10" i="55"/>
  <c r="L10" i="55"/>
  <c r="K11" i="55"/>
  <c r="L11" i="55"/>
  <c r="K12" i="55"/>
  <c r="L12" i="55"/>
  <c r="K13" i="55"/>
  <c r="L13" i="55"/>
  <c r="K14" i="55"/>
  <c r="L14" i="55"/>
  <c r="K15" i="55"/>
  <c r="L15" i="55"/>
  <c r="J8" i="55"/>
  <c r="J9" i="55"/>
  <c r="J10" i="55"/>
  <c r="J11" i="55"/>
  <c r="J12" i="55"/>
  <c r="J13" i="55"/>
  <c r="J14" i="55"/>
  <c r="J15" i="55"/>
  <c r="J7" i="55"/>
  <c r="F57" i="55"/>
  <c r="J17" i="64" s="1"/>
  <c r="E57" i="55"/>
  <c r="I17" i="64" s="1"/>
  <c r="F56" i="55"/>
  <c r="J16" i="64" s="1"/>
  <c r="E56" i="55"/>
  <c r="I16" i="64" s="1"/>
  <c r="I114" i="64" s="1"/>
  <c r="F55" i="55"/>
  <c r="J15" i="64" s="1"/>
  <c r="E55" i="55"/>
  <c r="I15" i="64" s="1"/>
  <c r="I113" i="64" s="1"/>
  <c r="F54" i="55"/>
  <c r="E54" i="55"/>
  <c r="F53" i="55"/>
  <c r="E53" i="55"/>
  <c r="I13" i="64" s="1"/>
  <c r="F52" i="55"/>
  <c r="E52" i="55"/>
  <c r="F51" i="55"/>
  <c r="E51" i="55"/>
  <c r="F50" i="55"/>
  <c r="E50" i="55"/>
  <c r="F49" i="55"/>
  <c r="E49" i="55"/>
  <c r="D57" i="55"/>
  <c r="H17" i="64" s="1"/>
  <c r="D56" i="55"/>
  <c r="H16" i="64" s="1"/>
  <c r="D55" i="55"/>
  <c r="H15" i="64" s="1"/>
  <c r="D54" i="55"/>
  <c r="D53" i="55"/>
  <c r="H13" i="64" s="1"/>
  <c r="D52" i="55"/>
  <c r="D51" i="55"/>
  <c r="D50" i="55"/>
  <c r="D49" i="55"/>
  <c r="Y8" i="23" s="1"/>
  <c r="E7" i="55"/>
  <c r="F7" i="55"/>
  <c r="E8" i="55"/>
  <c r="F8" i="55"/>
  <c r="E9" i="55"/>
  <c r="F9" i="55"/>
  <c r="E10" i="55"/>
  <c r="F10" i="55"/>
  <c r="E11" i="55"/>
  <c r="F11" i="55"/>
  <c r="E12" i="55"/>
  <c r="F12" i="55"/>
  <c r="E13" i="55"/>
  <c r="F13" i="55"/>
  <c r="E14" i="55"/>
  <c r="F14" i="55"/>
  <c r="E15" i="55"/>
  <c r="F15" i="55"/>
  <c r="D8" i="55"/>
  <c r="D9" i="55"/>
  <c r="D10" i="55"/>
  <c r="D11" i="55"/>
  <c r="D12" i="55"/>
  <c r="D13" i="55"/>
  <c r="D14" i="55"/>
  <c r="D15" i="55"/>
  <c r="B2" i="41"/>
  <c r="B2" i="43"/>
  <c r="B2" i="21"/>
  <c r="B2" i="55"/>
  <c r="B2" i="24"/>
  <c r="B2" i="23"/>
  <c r="B2" i="14"/>
  <c r="B1" i="25"/>
  <c r="B1" i="47"/>
  <c r="B1" i="48"/>
  <c r="B1" i="49"/>
  <c r="B1" i="50"/>
  <c r="B1" i="51"/>
  <c r="B1" i="52"/>
  <c r="B1" i="23"/>
  <c r="B1" i="24"/>
  <c r="B1" i="53"/>
  <c r="B1" i="55"/>
  <c r="B1" i="44"/>
  <c r="B1" i="43"/>
  <c r="B1" i="41"/>
  <c r="B1" i="14"/>
  <c r="I203" i="44"/>
  <c r="J203" i="44"/>
  <c r="K203" i="44"/>
  <c r="AU182" i="44"/>
  <c r="AT182" i="44"/>
  <c r="AQ182" i="44"/>
  <c r="AP182" i="44"/>
  <c r="AO182" i="44"/>
  <c r="AJ182" i="44"/>
  <c r="AI182" i="44"/>
  <c r="AH182" i="44"/>
  <c r="AG182" i="44"/>
  <c r="AE182" i="44"/>
  <c r="AB182" i="44"/>
  <c r="Y182" i="44"/>
  <c r="X182" i="44"/>
  <c r="W182" i="44"/>
  <c r="I182" i="44"/>
  <c r="I189" i="44" s="1"/>
  <c r="I193" i="44" s="1"/>
  <c r="J182" i="44"/>
  <c r="J189" i="44" s="1"/>
  <c r="J193" i="44" s="1"/>
  <c r="K182" i="44"/>
  <c r="AU203" i="44"/>
  <c r="AT203" i="44"/>
  <c r="AQ203" i="44"/>
  <c r="AP203" i="44"/>
  <c r="AO203" i="44"/>
  <c r="AK202" i="44"/>
  <c r="AN202" i="44" s="1"/>
  <c r="AK201" i="44"/>
  <c r="AN201" i="44" s="1"/>
  <c r="AK200" i="44"/>
  <c r="AN200" i="44" s="1"/>
  <c r="AK199" i="44"/>
  <c r="AN199" i="44" s="1"/>
  <c r="AK198" i="44"/>
  <c r="AN198" i="44" s="1"/>
  <c r="AK197" i="44"/>
  <c r="S202" i="44"/>
  <c r="V202" i="44" s="1"/>
  <c r="S201" i="44"/>
  <c r="V201" i="44" s="1"/>
  <c r="S200" i="44"/>
  <c r="S199" i="44"/>
  <c r="V199" i="44" s="1"/>
  <c r="S198" i="44"/>
  <c r="V198" i="44" s="1"/>
  <c r="S197" i="44"/>
  <c r="V197" i="44" s="1"/>
  <c r="S208" i="44"/>
  <c r="V208" i="44" s="1"/>
  <c r="E19" i="53"/>
  <c r="G19" i="53" s="1"/>
  <c r="S15" i="44"/>
  <c r="AK106" i="44"/>
  <c r="AK105" i="44"/>
  <c r="AK104" i="44"/>
  <c r="AK103" i="44"/>
  <c r="AK102" i="44"/>
  <c r="AK101" i="44"/>
  <c r="AK100" i="44"/>
  <c r="AK99" i="44"/>
  <c r="AK98" i="44"/>
  <c r="AK97" i="44"/>
  <c r="AK96" i="44"/>
  <c r="AK95" i="44"/>
  <c r="AK94" i="44"/>
  <c r="AK93" i="44"/>
  <c r="AK92" i="44"/>
  <c r="AK91" i="44"/>
  <c r="AK90" i="44"/>
  <c r="AK89" i="44"/>
  <c r="AK88" i="44"/>
  <c r="AK87" i="44"/>
  <c r="AK86" i="44"/>
  <c r="AK85" i="44"/>
  <c r="AK84" i="44"/>
  <c r="AK83" i="44"/>
  <c r="AK82" i="44"/>
  <c r="AK81" i="44"/>
  <c r="AK80" i="44"/>
  <c r="AK79" i="44"/>
  <c r="AK78" i="44"/>
  <c r="AK77" i="44"/>
  <c r="AK76" i="44"/>
  <c r="AK75" i="44"/>
  <c r="AK74" i="44"/>
  <c r="AK73" i="44"/>
  <c r="AK72" i="44"/>
  <c r="AK71" i="44"/>
  <c r="AK70" i="44"/>
  <c r="AK69" i="44"/>
  <c r="AK68" i="44"/>
  <c r="AK67" i="44"/>
  <c r="AK66" i="44"/>
  <c r="AK65" i="44"/>
  <c r="AK64" i="44"/>
  <c r="AK63" i="44"/>
  <c r="AK62" i="44"/>
  <c r="AK61" i="44"/>
  <c r="AK60" i="44"/>
  <c r="AK59" i="44"/>
  <c r="AK58" i="44"/>
  <c r="AK57" i="44"/>
  <c r="AK56" i="44"/>
  <c r="AK55" i="44"/>
  <c r="I36" i="55" s="1"/>
  <c r="AK54" i="44"/>
  <c r="AK53" i="44"/>
  <c r="AK52" i="44"/>
  <c r="AK51" i="44"/>
  <c r="AK50" i="44"/>
  <c r="AK49" i="44"/>
  <c r="AK48" i="44"/>
  <c r="AK47" i="44"/>
  <c r="AK46" i="44"/>
  <c r="AK45" i="44"/>
  <c r="AK44" i="44"/>
  <c r="AK43" i="44"/>
  <c r="AK42" i="44"/>
  <c r="I41" i="55" s="1"/>
  <c r="AK41" i="44"/>
  <c r="AK40" i="44"/>
  <c r="AK39" i="44"/>
  <c r="AK38" i="44"/>
  <c r="AK37" i="44"/>
  <c r="AK36" i="44"/>
  <c r="AK35" i="44"/>
  <c r="AK34" i="44"/>
  <c r="AK33" i="44"/>
  <c r="I21" i="55" s="1"/>
  <c r="AK32" i="44"/>
  <c r="AK31" i="44"/>
  <c r="AK30" i="44"/>
  <c r="AK29" i="44"/>
  <c r="AK28" i="44"/>
  <c r="AK27" i="44"/>
  <c r="AK26" i="44"/>
  <c r="AK25" i="44"/>
  <c r="I28" i="55" s="1"/>
  <c r="AK24" i="44"/>
  <c r="I25" i="55" s="1"/>
  <c r="AK23" i="44"/>
  <c r="AK22" i="44"/>
  <c r="AK21" i="44"/>
  <c r="AK20" i="44"/>
  <c r="AK19" i="44"/>
  <c r="AK18" i="44"/>
  <c r="AK17" i="44"/>
  <c r="AK16" i="44"/>
  <c r="AK15" i="44"/>
  <c r="AK14" i="44"/>
  <c r="AK13" i="44"/>
  <c r="AK12" i="44"/>
  <c r="AK11" i="44"/>
  <c r="AK7" i="44"/>
  <c r="AG203" i="44"/>
  <c r="AH203" i="44"/>
  <c r="AB203" i="44"/>
  <c r="Y203" i="44"/>
  <c r="X203" i="44"/>
  <c r="W203" i="44"/>
  <c r="L203" i="44"/>
  <c r="L182" i="44"/>
  <c r="O182" i="44"/>
  <c r="G18" i="53"/>
  <c r="O203" i="44"/>
  <c r="P203" i="44"/>
  <c r="Q203" i="44"/>
  <c r="R203" i="44"/>
  <c r="U203" i="44"/>
  <c r="AE203" i="44"/>
  <c r="AI203" i="44"/>
  <c r="AJ203" i="44"/>
  <c r="T10" i="44"/>
  <c r="S11" i="44"/>
  <c r="T11" i="44" s="1"/>
  <c r="S12" i="44"/>
  <c r="S13" i="44"/>
  <c r="S14" i="44"/>
  <c r="S16" i="44"/>
  <c r="S17" i="44"/>
  <c r="S18" i="44"/>
  <c r="S19" i="44"/>
  <c r="S20" i="44"/>
  <c r="S21" i="44"/>
  <c r="S22" i="44"/>
  <c r="S23" i="44"/>
  <c r="S24" i="44"/>
  <c r="S25" i="44"/>
  <c r="C28" i="55" s="1"/>
  <c r="S26" i="44"/>
  <c r="S27" i="44"/>
  <c r="S28" i="44"/>
  <c r="S29" i="44"/>
  <c r="S30" i="44"/>
  <c r="S31" i="44"/>
  <c r="S32" i="44"/>
  <c r="S33" i="44"/>
  <c r="S34" i="44"/>
  <c r="S35" i="44"/>
  <c r="S36" i="44"/>
  <c r="S37" i="44"/>
  <c r="S38" i="44"/>
  <c r="S39" i="44"/>
  <c r="S40" i="44"/>
  <c r="S41" i="44"/>
  <c r="S42" i="44"/>
  <c r="S43" i="44"/>
  <c r="S44" i="44"/>
  <c r="S45" i="44"/>
  <c r="S46" i="44"/>
  <c r="S47" i="44"/>
  <c r="S48" i="44"/>
  <c r="S49" i="44"/>
  <c r="S50" i="44"/>
  <c r="S51" i="44"/>
  <c r="S52" i="44"/>
  <c r="S53" i="44"/>
  <c r="S54" i="44"/>
  <c r="S55" i="44"/>
  <c r="S56" i="44"/>
  <c r="S57" i="44"/>
  <c r="S58" i="44"/>
  <c r="S59" i="44"/>
  <c r="S60" i="44"/>
  <c r="S61" i="44"/>
  <c r="S62" i="44"/>
  <c r="S63" i="44"/>
  <c r="S64" i="44"/>
  <c r="S65" i="44"/>
  <c r="S66" i="44"/>
  <c r="S67" i="44"/>
  <c r="S68" i="44"/>
  <c r="S69" i="44"/>
  <c r="S70" i="44"/>
  <c r="S71" i="44"/>
  <c r="S72" i="44"/>
  <c r="S73" i="44"/>
  <c r="S74" i="44"/>
  <c r="S75" i="44"/>
  <c r="S76" i="44"/>
  <c r="S77" i="44"/>
  <c r="S78" i="44"/>
  <c r="S79" i="44"/>
  <c r="S80" i="44"/>
  <c r="S81" i="44"/>
  <c r="S82" i="44"/>
  <c r="S83" i="44"/>
  <c r="S84" i="44"/>
  <c r="S85" i="44"/>
  <c r="S86" i="44"/>
  <c r="S87" i="44"/>
  <c r="S88" i="44"/>
  <c r="S89" i="44"/>
  <c r="S90" i="44"/>
  <c r="S91" i="44"/>
  <c r="S92" i="44"/>
  <c r="S93" i="44"/>
  <c r="S94" i="44"/>
  <c r="S95" i="44"/>
  <c r="S96" i="44"/>
  <c r="S97" i="44"/>
  <c r="S98" i="44"/>
  <c r="S99" i="44"/>
  <c r="S100" i="44"/>
  <c r="S101" i="44"/>
  <c r="S102" i="44"/>
  <c r="S103" i="44"/>
  <c r="S104" i="44"/>
  <c r="S105" i="44"/>
  <c r="S106" i="44"/>
  <c r="S7" i="44"/>
  <c r="T7" i="44" s="1"/>
  <c r="H114" i="64" l="1"/>
  <c r="I111" i="64"/>
  <c r="K8" i="43"/>
  <c r="K9" i="43" s="1"/>
  <c r="R15" i="43" s="1"/>
  <c r="AE42" i="63"/>
  <c r="AM63" i="55" s="1"/>
  <c r="AP45" i="63"/>
  <c r="J13" i="59" s="1"/>
  <c r="O23" i="43"/>
  <c r="Y63" i="43" s="1"/>
  <c r="I5" i="59"/>
  <c r="P16" i="43"/>
  <c r="P24" i="43" s="1"/>
  <c r="V65" i="43"/>
  <c r="U65" i="43"/>
  <c r="F13" i="61"/>
  <c r="K13" i="61"/>
  <c r="R13" i="61"/>
  <c r="D13" i="61"/>
  <c r="J13" i="61"/>
  <c r="G14" i="59"/>
  <c r="G15" i="59" s="1"/>
  <c r="W66" i="43"/>
  <c r="V62" i="43"/>
  <c r="U62" i="43"/>
  <c r="AM61" i="55"/>
  <c r="AM69" i="55" s="1"/>
  <c r="P23" i="43"/>
  <c r="D93" i="64"/>
  <c r="AS58" i="55"/>
  <c r="J5" i="59"/>
  <c r="R16" i="43"/>
  <c r="R24" i="43" s="1"/>
  <c r="AP41" i="63"/>
  <c r="AS62" i="55" s="1"/>
  <c r="AA62" i="43"/>
  <c r="H7" i="59"/>
  <c r="H10" i="59" s="1"/>
  <c r="C14" i="61"/>
  <c r="AG71" i="55"/>
  <c r="AG72" i="55"/>
  <c r="Z63" i="43"/>
  <c r="Z64" i="43"/>
  <c r="Y64" i="43"/>
  <c r="D43" i="62"/>
  <c r="D44" i="62" s="1"/>
  <c r="AA65" i="43"/>
  <c r="D79" i="64"/>
  <c r="D80" i="64" s="1"/>
  <c r="I27" i="55"/>
  <c r="I24" i="55"/>
  <c r="I26" i="55"/>
  <c r="J113" i="64"/>
  <c r="C36" i="55"/>
  <c r="C24" i="55"/>
  <c r="C41" i="55"/>
  <c r="C27" i="55"/>
  <c r="C21" i="55"/>
  <c r="C26" i="55"/>
  <c r="C25" i="55"/>
  <c r="I115" i="64"/>
  <c r="H111" i="64"/>
  <c r="H115" i="64"/>
  <c r="J115" i="64"/>
  <c r="H113" i="64"/>
  <c r="J114" i="64"/>
  <c r="BD8" i="44"/>
  <c r="AL16" i="44"/>
  <c r="BD16" i="44"/>
  <c r="AL24" i="44"/>
  <c r="BD24" i="44"/>
  <c r="AL32" i="44"/>
  <c r="BD32" i="44"/>
  <c r="AL40" i="44"/>
  <c r="BD40" i="44"/>
  <c r="AL48" i="44"/>
  <c r="BD48" i="44"/>
  <c r="AL56" i="44"/>
  <c r="BD56" i="44"/>
  <c r="AL64" i="44"/>
  <c r="BD64" i="44"/>
  <c r="AL72" i="44"/>
  <c r="BD72" i="44"/>
  <c r="AL80" i="44"/>
  <c r="BD80" i="44"/>
  <c r="AL88" i="44"/>
  <c r="BD88" i="44"/>
  <c r="AL96" i="44"/>
  <c r="BD96" i="44"/>
  <c r="AL104" i="44"/>
  <c r="BD104" i="44"/>
  <c r="AL7" i="44"/>
  <c r="BD7" i="44"/>
  <c r="AL31" i="44"/>
  <c r="BD31" i="44"/>
  <c r="AL55" i="44"/>
  <c r="BD55" i="44"/>
  <c r="AL79" i="44"/>
  <c r="BD79" i="44"/>
  <c r="AL103" i="44"/>
  <c r="BD103" i="44"/>
  <c r="AL9" i="44"/>
  <c r="BD9" i="44"/>
  <c r="AL17" i="44"/>
  <c r="BD17" i="44"/>
  <c r="AL25" i="44"/>
  <c r="BD25" i="44"/>
  <c r="AL33" i="44"/>
  <c r="BD33" i="44"/>
  <c r="AL41" i="44"/>
  <c r="BD41" i="44"/>
  <c r="AL49" i="44"/>
  <c r="BD49" i="44"/>
  <c r="AL57" i="44"/>
  <c r="BD57" i="44"/>
  <c r="AL65" i="44"/>
  <c r="BD65" i="44"/>
  <c r="AL73" i="44"/>
  <c r="BD73" i="44"/>
  <c r="AL81" i="44"/>
  <c r="BD81" i="44"/>
  <c r="AL89" i="44"/>
  <c r="BD89" i="44"/>
  <c r="AL97" i="44"/>
  <c r="BD97" i="44"/>
  <c r="AL105" i="44"/>
  <c r="BD105" i="44"/>
  <c r="AL10" i="44"/>
  <c r="BD10" i="44"/>
  <c r="AL18" i="44"/>
  <c r="BD18" i="44"/>
  <c r="AL26" i="44"/>
  <c r="BD26" i="44"/>
  <c r="AL34" i="44"/>
  <c r="BD34" i="44"/>
  <c r="AL42" i="44"/>
  <c r="BD42" i="44"/>
  <c r="AL50" i="44"/>
  <c r="BD50" i="44"/>
  <c r="AL58" i="44"/>
  <c r="BD58" i="44"/>
  <c r="AL66" i="44"/>
  <c r="BD66" i="44"/>
  <c r="AL74" i="44"/>
  <c r="BD74" i="44"/>
  <c r="AL82" i="44"/>
  <c r="BD82" i="44"/>
  <c r="AL90" i="44"/>
  <c r="BD90" i="44"/>
  <c r="AL98" i="44"/>
  <c r="BD98" i="44"/>
  <c r="AL106" i="44"/>
  <c r="BD106" i="44"/>
  <c r="AL11" i="44"/>
  <c r="BD11" i="44"/>
  <c r="AL19" i="44"/>
  <c r="BD19" i="44"/>
  <c r="AL27" i="44"/>
  <c r="BD27" i="44"/>
  <c r="AL35" i="44"/>
  <c r="BD35" i="44"/>
  <c r="AL43" i="44"/>
  <c r="BD43" i="44"/>
  <c r="AL51" i="44"/>
  <c r="BD51" i="44"/>
  <c r="AL59" i="44"/>
  <c r="BD59" i="44"/>
  <c r="AL67" i="44"/>
  <c r="BD67" i="44"/>
  <c r="AL75" i="44"/>
  <c r="BD75" i="44"/>
  <c r="AL83" i="44"/>
  <c r="BD83" i="44"/>
  <c r="AL91" i="44"/>
  <c r="BD91" i="44"/>
  <c r="AL99" i="44"/>
  <c r="BD99" i="44"/>
  <c r="AL12" i="44"/>
  <c r="BD12" i="44"/>
  <c r="AL20" i="44"/>
  <c r="BD20" i="44"/>
  <c r="AL28" i="44"/>
  <c r="BD28" i="44"/>
  <c r="AL36" i="44"/>
  <c r="BD36" i="44"/>
  <c r="AL44" i="44"/>
  <c r="BD44" i="44"/>
  <c r="AL52" i="44"/>
  <c r="BD52" i="44"/>
  <c r="AL60" i="44"/>
  <c r="BD60" i="44"/>
  <c r="AL68" i="44"/>
  <c r="BD68" i="44"/>
  <c r="AL76" i="44"/>
  <c r="BD76" i="44"/>
  <c r="AL84" i="44"/>
  <c r="BD84" i="44"/>
  <c r="AL92" i="44"/>
  <c r="BD92" i="44"/>
  <c r="AL100" i="44"/>
  <c r="BD100" i="44"/>
  <c r="AL15" i="44"/>
  <c r="BD15" i="44"/>
  <c r="AL39" i="44"/>
  <c r="BD39" i="44"/>
  <c r="AL63" i="44"/>
  <c r="BD63" i="44"/>
  <c r="AL87" i="44"/>
  <c r="BD87" i="44"/>
  <c r="AL13" i="44"/>
  <c r="BD13" i="44"/>
  <c r="AL21" i="44"/>
  <c r="BD21" i="44"/>
  <c r="AL29" i="44"/>
  <c r="BD29" i="44"/>
  <c r="AL37" i="44"/>
  <c r="BD37" i="44"/>
  <c r="AL45" i="44"/>
  <c r="BD45" i="44"/>
  <c r="AL53" i="44"/>
  <c r="BD53" i="44"/>
  <c r="AL61" i="44"/>
  <c r="BD61" i="44"/>
  <c r="AL69" i="44"/>
  <c r="BD69" i="44"/>
  <c r="AL77" i="44"/>
  <c r="BD77" i="44"/>
  <c r="AL85" i="44"/>
  <c r="BD85" i="44"/>
  <c r="AL93" i="44"/>
  <c r="BD93" i="44"/>
  <c r="AL101" i="44"/>
  <c r="BD101" i="44"/>
  <c r="AL23" i="44"/>
  <c r="BD23" i="44"/>
  <c r="AL47" i="44"/>
  <c r="BD47" i="44"/>
  <c r="AL71" i="44"/>
  <c r="BD71" i="44"/>
  <c r="AL95" i="44"/>
  <c r="BD95" i="44"/>
  <c r="AL14" i="44"/>
  <c r="BD14" i="44"/>
  <c r="AL22" i="44"/>
  <c r="BD22" i="44"/>
  <c r="AL30" i="44"/>
  <c r="BD30" i="44"/>
  <c r="AL38" i="44"/>
  <c r="BD38" i="44"/>
  <c r="AL46" i="44"/>
  <c r="BD46" i="44"/>
  <c r="AL54" i="44"/>
  <c r="BD54" i="44"/>
  <c r="AL62" i="44"/>
  <c r="BD62" i="44"/>
  <c r="AL70" i="44"/>
  <c r="BD70" i="44"/>
  <c r="AL78" i="44"/>
  <c r="BD78" i="44"/>
  <c r="AL86" i="44"/>
  <c r="BD86" i="44"/>
  <c r="AL94" i="44"/>
  <c r="BD94" i="44"/>
  <c r="AL102" i="44"/>
  <c r="BD102" i="44"/>
  <c r="AN32" i="44"/>
  <c r="AN49" i="44"/>
  <c r="AN15" i="44"/>
  <c r="AN23" i="44"/>
  <c r="AN31" i="44"/>
  <c r="AN39" i="44"/>
  <c r="AN47" i="44"/>
  <c r="AN55" i="44"/>
  <c r="AN63" i="44"/>
  <c r="AN71" i="44"/>
  <c r="AN79" i="44"/>
  <c r="AN87" i="44"/>
  <c r="AN95" i="44"/>
  <c r="AN103" i="44"/>
  <c r="AN25" i="44"/>
  <c r="AN41" i="44"/>
  <c r="AN73" i="44"/>
  <c r="AN89" i="44"/>
  <c r="AN105" i="44"/>
  <c r="AN18" i="44"/>
  <c r="AN26" i="44"/>
  <c r="AN34" i="44"/>
  <c r="AN42" i="44"/>
  <c r="AN50" i="44"/>
  <c r="AN58" i="44"/>
  <c r="AN66" i="44"/>
  <c r="AN74" i="44"/>
  <c r="AN82" i="44"/>
  <c r="AN90" i="44"/>
  <c r="AN98" i="44"/>
  <c r="AN106" i="44"/>
  <c r="AN8" i="44"/>
  <c r="AN24" i="44"/>
  <c r="AN48" i="44"/>
  <c r="AN72" i="44"/>
  <c r="AN88" i="44"/>
  <c r="AN104" i="44"/>
  <c r="AN19" i="44"/>
  <c r="AN27" i="44"/>
  <c r="AN35" i="44"/>
  <c r="AN43" i="44"/>
  <c r="AN51" i="44"/>
  <c r="AN59" i="44"/>
  <c r="AN67" i="44"/>
  <c r="AN75" i="44"/>
  <c r="AN83" i="44"/>
  <c r="AN91" i="44"/>
  <c r="AN99" i="44"/>
  <c r="AN56" i="44"/>
  <c r="I22" i="55"/>
  <c r="AN33" i="44"/>
  <c r="AN65" i="44"/>
  <c r="AN81" i="44"/>
  <c r="AN97" i="44"/>
  <c r="AN20" i="44"/>
  <c r="AN28" i="44"/>
  <c r="AN36" i="44"/>
  <c r="AN44" i="44"/>
  <c r="AN52" i="44"/>
  <c r="AN60" i="44"/>
  <c r="AN68" i="44"/>
  <c r="AN76" i="44"/>
  <c r="AN84" i="44"/>
  <c r="AN92" i="44"/>
  <c r="AN100" i="44"/>
  <c r="AN16" i="44"/>
  <c r="AN40" i="44"/>
  <c r="AN64" i="44"/>
  <c r="AN80" i="44"/>
  <c r="AN96" i="44"/>
  <c r="AN17" i="44"/>
  <c r="AN57" i="44"/>
  <c r="AN13" i="44"/>
  <c r="AN21" i="44"/>
  <c r="AN29" i="44"/>
  <c r="AN37" i="44"/>
  <c r="AN45" i="44"/>
  <c r="AN53" i="44"/>
  <c r="AN61" i="44"/>
  <c r="AN69" i="44"/>
  <c r="AN77" i="44"/>
  <c r="AN85" i="44"/>
  <c r="AN93" i="44"/>
  <c r="AN101" i="44"/>
  <c r="AN14" i="44"/>
  <c r="AN22" i="44"/>
  <c r="AN30" i="44"/>
  <c r="AN38" i="44"/>
  <c r="AN46" i="44"/>
  <c r="AN54" i="44"/>
  <c r="AN62" i="44"/>
  <c r="AN70" i="44"/>
  <c r="AN78" i="44"/>
  <c r="AN86" i="44"/>
  <c r="AN94" i="44"/>
  <c r="AN102" i="44"/>
  <c r="V101" i="44"/>
  <c r="T101" i="44"/>
  <c r="V77" i="44"/>
  <c r="T77" i="44"/>
  <c r="V61" i="44"/>
  <c r="T61" i="44"/>
  <c r="V29" i="44"/>
  <c r="T29" i="44"/>
  <c r="V100" i="44"/>
  <c r="T100" i="44"/>
  <c r="V60" i="44"/>
  <c r="T60" i="44"/>
  <c r="V91" i="44"/>
  <c r="T91" i="44"/>
  <c r="V8" i="44"/>
  <c r="T8" i="44"/>
  <c r="V58" i="44"/>
  <c r="T58" i="44"/>
  <c r="V105" i="44"/>
  <c r="T105" i="44"/>
  <c r="V97" i="44"/>
  <c r="T97" i="44"/>
  <c r="V89" i="44"/>
  <c r="T89" i="44"/>
  <c r="V81" i="44"/>
  <c r="T81" i="44"/>
  <c r="V73" i="44"/>
  <c r="T73" i="44"/>
  <c r="V65" i="44"/>
  <c r="T65" i="44"/>
  <c r="V57" i="44"/>
  <c r="T57" i="44"/>
  <c r="V49" i="44"/>
  <c r="T49" i="44"/>
  <c r="V41" i="44"/>
  <c r="T41" i="44"/>
  <c r="V33" i="44"/>
  <c r="T33" i="44"/>
  <c r="V25" i="44"/>
  <c r="T25" i="44"/>
  <c r="V17" i="44"/>
  <c r="T17" i="44"/>
  <c r="V85" i="44"/>
  <c r="T85" i="44"/>
  <c r="V53" i="44"/>
  <c r="T53" i="44"/>
  <c r="V12" i="44"/>
  <c r="T12" i="44"/>
  <c r="V99" i="44"/>
  <c r="T99" i="44"/>
  <c r="V75" i="44"/>
  <c r="T75" i="44"/>
  <c r="V59" i="44"/>
  <c r="T59" i="44"/>
  <c r="V43" i="44"/>
  <c r="T43" i="44"/>
  <c r="V27" i="44"/>
  <c r="T27" i="44"/>
  <c r="V106" i="44"/>
  <c r="T106" i="44"/>
  <c r="V74" i="44"/>
  <c r="T74" i="44"/>
  <c r="V42" i="44"/>
  <c r="T42" i="44"/>
  <c r="C22" i="55"/>
  <c r="T9" i="44"/>
  <c r="V104" i="44"/>
  <c r="T104" i="44"/>
  <c r="V64" i="44"/>
  <c r="T64" i="44"/>
  <c r="V16" i="44"/>
  <c r="T16" i="44"/>
  <c r="V93" i="44"/>
  <c r="T93" i="44"/>
  <c r="V69" i="44"/>
  <c r="T69" i="44"/>
  <c r="V45" i="44"/>
  <c r="T45" i="44"/>
  <c r="V37" i="44"/>
  <c r="T37" i="44"/>
  <c r="V21" i="44"/>
  <c r="T21" i="44"/>
  <c r="V92" i="44"/>
  <c r="T92" i="44"/>
  <c r="V76" i="44"/>
  <c r="T76" i="44"/>
  <c r="V44" i="44"/>
  <c r="T44" i="44"/>
  <c r="V15" i="44"/>
  <c r="T15" i="44"/>
  <c r="V98" i="44"/>
  <c r="T98" i="44"/>
  <c r="V90" i="44"/>
  <c r="T90" i="44"/>
  <c r="V66" i="44"/>
  <c r="T66" i="44"/>
  <c r="V34" i="44"/>
  <c r="T34" i="44"/>
  <c r="V18" i="44"/>
  <c r="T18" i="44"/>
  <c r="V88" i="44"/>
  <c r="T88" i="44"/>
  <c r="V72" i="44"/>
  <c r="T72" i="44"/>
  <c r="V48" i="44"/>
  <c r="T48" i="44"/>
  <c r="V40" i="44"/>
  <c r="T40" i="44"/>
  <c r="V24" i="44"/>
  <c r="T24" i="44"/>
  <c r="V103" i="44"/>
  <c r="T103" i="44"/>
  <c r="V95" i="44"/>
  <c r="T95" i="44"/>
  <c r="V87" i="44"/>
  <c r="T87" i="44"/>
  <c r="V79" i="44"/>
  <c r="T79" i="44"/>
  <c r="V71" i="44"/>
  <c r="T71" i="44"/>
  <c r="V63" i="44"/>
  <c r="T63" i="44"/>
  <c r="V55" i="44"/>
  <c r="T55" i="44"/>
  <c r="V47" i="44"/>
  <c r="T47" i="44"/>
  <c r="V39" i="44"/>
  <c r="T39" i="44"/>
  <c r="V31" i="44"/>
  <c r="T31" i="44"/>
  <c r="V23" i="44"/>
  <c r="T23" i="44"/>
  <c r="V14" i="44"/>
  <c r="T14" i="44"/>
  <c r="V84" i="44"/>
  <c r="T84" i="44"/>
  <c r="V68" i="44"/>
  <c r="T68" i="44"/>
  <c r="V52" i="44"/>
  <c r="T52" i="44"/>
  <c r="V36" i="44"/>
  <c r="T36" i="44"/>
  <c r="V28" i="44"/>
  <c r="T28" i="44"/>
  <c r="V20" i="44"/>
  <c r="T20" i="44"/>
  <c r="V83" i="44"/>
  <c r="T83" i="44"/>
  <c r="V67" i="44"/>
  <c r="T67" i="44"/>
  <c r="V51" i="44"/>
  <c r="T51" i="44"/>
  <c r="V35" i="44"/>
  <c r="T35" i="44"/>
  <c r="V19" i="44"/>
  <c r="T19" i="44"/>
  <c r="V82" i="44"/>
  <c r="T82" i="44"/>
  <c r="V50" i="44"/>
  <c r="T50" i="44"/>
  <c r="V26" i="44"/>
  <c r="T26" i="44"/>
  <c r="V96" i="44"/>
  <c r="T96" i="44"/>
  <c r="V80" i="44"/>
  <c r="T80" i="44"/>
  <c r="V56" i="44"/>
  <c r="T56" i="44"/>
  <c r="V32" i="44"/>
  <c r="T32" i="44"/>
  <c r="V102" i="44"/>
  <c r="T102" i="44"/>
  <c r="V94" i="44"/>
  <c r="T94" i="44"/>
  <c r="V86" i="44"/>
  <c r="T86" i="44"/>
  <c r="V78" i="44"/>
  <c r="T78" i="44"/>
  <c r="V70" i="44"/>
  <c r="T70" i="44"/>
  <c r="V62" i="44"/>
  <c r="T62" i="44"/>
  <c r="V54" i="44"/>
  <c r="T54" i="44"/>
  <c r="V46" i="44"/>
  <c r="T46" i="44"/>
  <c r="V38" i="44"/>
  <c r="T38" i="44"/>
  <c r="V30" i="44"/>
  <c r="T30" i="44"/>
  <c r="V22" i="44"/>
  <c r="T22" i="44"/>
  <c r="V13" i="44"/>
  <c r="T13" i="44"/>
  <c r="Q63" i="43"/>
  <c r="Q64" i="43"/>
  <c r="Q65" i="43"/>
  <c r="V11" i="44"/>
  <c r="C35" i="55"/>
  <c r="V10" i="44"/>
  <c r="C23" i="55"/>
  <c r="AN10" i="44"/>
  <c r="I23" i="55"/>
  <c r="AN11" i="44"/>
  <c r="I35" i="55"/>
  <c r="J13" i="64"/>
  <c r="AA13" i="23"/>
  <c r="J25" i="64"/>
  <c r="AD13" i="23"/>
  <c r="C49" i="55"/>
  <c r="D9" i="64" s="1"/>
  <c r="Y18" i="53"/>
  <c r="P20" i="59" s="1"/>
  <c r="P21" i="59" s="1"/>
  <c r="V7" i="44"/>
  <c r="S182" i="44"/>
  <c r="S187" i="44" s="1"/>
  <c r="C7" i="55"/>
  <c r="V9" i="44"/>
  <c r="AN9" i="44"/>
  <c r="Y10" i="23"/>
  <c r="H11" i="64"/>
  <c r="AA10" i="23"/>
  <c r="J11" i="64"/>
  <c r="J23" i="64"/>
  <c r="AB10" i="23"/>
  <c r="H23" i="64"/>
  <c r="J26" i="64"/>
  <c r="J24" i="64"/>
  <c r="J22" i="64"/>
  <c r="AA8" i="23"/>
  <c r="J9" i="64"/>
  <c r="J21" i="64"/>
  <c r="Y11" i="23"/>
  <c r="H12" i="64"/>
  <c r="Z9" i="23"/>
  <c r="I10" i="64"/>
  <c r="Z11" i="23"/>
  <c r="I12" i="64"/>
  <c r="Z12" i="23"/>
  <c r="I14" i="64"/>
  <c r="AB11" i="23"/>
  <c r="H24" i="64"/>
  <c r="AC10" i="23"/>
  <c r="I23" i="64"/>
  <c r="AC8" i="23"/>
  <c r="I21" i="64"/>
  <c r="H39" i="43"/>
  <c r="G39" i="43"/>
  <c r="H9" i="64"/>
  <c r="AA9" i="23"/>
  <c r="J10" i="64"/>
  <c r="AA11" i="23"/>
  <c r="J12" i="64"/>
  <c r="AA12" i="23"/>
  <c r="J14" i="64"/>
  <c r="Y9" i="23"/>
  <c r="H10" i="64"/>
  <c r="Y12" i="23"/>
  <c r="H14" i="64"/>
  <c r="Z8" i="23"/>
  <c r="I9" i="64"/>
  <c r="Z10" i="23"/>
  <c r="I11" i="64"/>
  <c r="AB8" i="23"/>
  <c r="H21" i="64"/>
  <c r="AB12" i="23"/>
  <c r="H26" i="64"/>
  <c r="AB9" i="23"/>
  <c r="H22" i="64"/>
  <c r="AC12" i="23"/>
  <c r="I26" i="64"/>
  <c r="AC11" i="23"/>
  <c r="I24" i="64"/>
  <c r="AC9" i="23"/>
  <c r="I22" i="64"/>
  <c r="U13" i="23"/>
  <c r="T14" i="23"/>
  <c r="T18" i="23" s="1"/>
  <c r="R22" i="59" s="1"/>
  <c r="R23" i="59" s="1"/>
  <c r="Q13" i="23"/>
  <c r="P14" i="23"/>
  <c r="P18" i="23" s="1"/>
  <c r="N22" i="59" s="1"/>
  <c r="N23" i="59" s="1"/>
  <c r="S18" i="53"/>
  <c r="L20" i="59" s="1"/>
  <c r="L21" i="59" s="1"/>
  <c r="AN12" i="44"/>
  <c r="Q33" i="53"/>
  <c r="Y23" i="53"/>
  <c r="R20" i="59" s="1"/>
  <c r="R21" i="59" s="1"/>
  <c r="X33" i="53"/>
  <c r="X38" i="53" s="1"/>
  <c r="C20" i="59"/>
  <c r="F23" i="53"/>
  <c r="H13" i="23"/>
  <c r="L18" i="53"/>
  <c r="M18" i="53" s="1"/>
  <c r="H20" i="59" s="1"/>
  <c r="L13" i="23"/>
  <c r="F31" i="43"/>
  <c r="F39" i="43"/>
  <c r="C68" i="55"/>
  <c r="I68" i="55"/>
  <c r="D20" i="59"/>
  <c r="S203" i="44"/>
  <c r="F30" i="55"/>
  <c r="J10" i="62" s="1"/>
  <c r="E30" i="55"/>
  <c r="I10" i="62" s="1"/>
  <c r="D30" i="55"/>
  <c r="H10" i="62" s="1"/>
  <c r="L189" i="44"/>
  <c r="L193" i="44" s="1"/>
  <c r="K189" i="44"/>
  <c r="V200" i="44"/>
  <c r="V203" i="44" s="1"/>
  <c r="AG189" i="44"/>
  <c r="AG193" i="44" s="1"/>
  <c r="G19" i="59" s="1"/>
  <c r="G21" i="59" s="1"/>
  <c r="AK182" i="44"/>
  <c r="AK187" i="44" s="1"/>
  <c r="AN7" i="44"/>
  <c r="AP189" i="44"/>
  <c r="AP193" i="44" s="1"/>
  <c r="AQ189" i="44"/>
  <c r="AQ193" i="44" s="1"/>
  <c r="I7" i="55"/>
  <c r="AT189" i="44"/>
  <c r="AT193" i="44" s="1"/>
  <c r="AK203" i="44"/>
  <c r="AU189" i="44"/>
  <c r="AU193" i="44" s="1"/>
  <c r="AH189" i="44"/>
  <c r="AH193" i="44" s="1"/>
  <c r="H19" i="59" s="1"/>
  <c r="AO189" i="44"/>
  <c r="AO193" i="44" s="1"/>
  <c r="AN197" i="44"/>
  <c r="AN203" i="44" s="1"/>
  <c r="X189" i="44"/>
  <c r="X193" i="44" s="1"/>
  <c r="Y189" i="44"/>
  <c r="Y193" i="44" s="1"/>
  <c r="AB189" i="44"/>
  <c r="AB193" i="44" s="1"/>
  <c r="W189" i="44"/>
  <c r="W193" i="44" s="1"/>
  <c r="U189" i="44"/>
  <c r="U193" i="44" s="1"/>
  <c r="R189" i="44"/>
  <c r="R193" i="44" s="1"/>
  <c r="F19" i="59" s="1"/>
  <c r="O189" i="44"/>
  <c r="O193" i="44" s="1"/>
  <c r="C19" i="59" s="1"/>
  <c r="AE189" i="44"/>
  <c r="AE193" i="44" s="1"/>
  <c r="AJ189" i="44"/>
  <c r="AJ193" i="44" s="1"/>
  <c r="J19" i="59" s="1"/>
  <c r="P189" i="44"/>
  <c r="P193" i="44" s="1"/>
  <c r="D19" i="59" s="1"/>
  <c r="AI189" i="44"/>
  <c r="AI193" i="44" s="1"/>
  <c r="I19" i="59" s="1"/>
  <c r="I21" i="59" s="1"/>
  <c r="D48" i="43"/>
  <c r="C57" i="55"/>
  <c r="M27" i="59" s="1"/>
  <c r="C56" i="55"/>
  <c r="C55" i="55"/>
  <c r="C54" i="55"/>
  <c r="C53" i="55"/>
  <c r="C52" i="55"/>
  <c r="C51" i="55"/>
  <c r="C50" i="55"/>
  <c r="I57" i="55"/>
  <c r="I56" i="55"/>
  <c r="I55" i="55"/>
  <c r="I54" i="55"/>
  <c r="I53" i="55"/>
  <c r="I52" i="55"/>
  <c r="I51" i="55"/>
  <c r="I50" i="55"/>
  <c r="I49" i="55"/>
  <c r="I15" i="55"/>
  <c r="I14" i="55"/>
  <c r="I13" i="55"/>
  <c r="I12" i="55"/>
  <c r="I11" i="55"/>
  <c r="I10" i="55"/>
  <c r="I9" i="55"/>
  <c r="I8" i="55"/>
  <c r="C15" i="55"/>
  <c r="C14" i="55"/>
  <c r="C13" i="55"/>
  <c r="C12" i="55"/>
  <c r="C11" i="55"/>
  <c r="C10" i="55"/>
  <c r="C9" i="55"/>
  <c r="C8" i="55"/>
  <c r="K64" i="43"/>
  <c r="G64" i="43"/>
  <c r="I76" i="55"/>
  <c r="G63" i="43"/>
  <c r="L58" i="55"/>
  <c r="L60" i="55" s="1"/>
  <c r="K58" i="55"/>
  <c r="K60" i="55" s="1"/>
  <c r="J58" i="55"/>
  <c r="J60" i="55" s="1"/>
  <c r="F58" i="55"/>
  <c r="F60" i="55" s="1"/>
  <c r="E58" i="55"/>
  <c r="E60" i="55" s="1"/>
  <c r="D58" i="55"/>
  <c r="D60" i="55" s="1"/>
  <c r="L44" i="55"/>
  <c r="J17" i="62" s="1"/>
  <c r="K44" i="55"/>
  <c r="I17" i="62" s="1"/>
  <c r="J44" i="55"/>
  <c r="H17" i="62" s="1"/>
  <c r="F44" i="55"/>
  <c r="J11" i="62" s="1"/>
  <c r="E44" i="55"/>
  <c r="I11" i="62" s="1"/>
  <c r="D44" i="55"/>
  <c r="H11" i="62" s="1"/>
  <c r="L30" i="55"/>
  <c r="J16" i="62" s="1"/>
  <c r="K30" i="55"/>
  <c r="I16" i="62" s="1"/>
  <c r="J30" i="55"/>
  <c r="H16" i="62" s="1"/>
  <c r="L16" i="55"/>
  <c r="J15" i="62" s="1"/>
  <c r="K16" i="55"/>
  <c r="I15" i="62" s="1"/>
  <c r="J16" i="55"/>
  <c r="H15" i="62" s="1"/>
  <c r="F16" i="55"/>
  <c r="J9" i="62" s="1"/>
  <c r="E16" i="55"/>
  <c r="I9" i="62" s="1"/>
  <c r="D16" i="55"/>
  <c r="H9" i="62" s="1"/>
  <c r="K63" i="43" l="1"/>
  <c r="H25" i="61"/>
  <c r="H32" i="61" s="1"/>
  <c r="AP42" i="63"/>
  <c r="AS63" i="55" s="1"/>
  <c r="AS61" i="55" s="1"/>
  <c r="AS69" i="55" s="1"/>
  <c r="G23" i="53"/>
  <c r="F20" i="59" s="1"/>
  <c r="F21" i="59" s="1"/>
  <c r="F33" i="53"/>
  <c r="AK185" i="44"/>
  <c r="M15" i="23" s="1"/>
  <c r="C27" i="59"/>
  <c r="C58" i="55"/>
  <c r="P17" i="43"/>
  <c r="P25" i="43" s="1"/>
  <c r="Q24" i="43" s="1"/>
  <c r="AD64" i="43" s="1"/>
  <c r="U66" i="43"/>
  <c r="V66" i="43"/>
  <c r="T182" i="44"/>
  <c r="Y65" i="43"/>
  <c r="Z65" i="43"/>
  <c r="J14" i="61"/>
  <c r="H14" i="59"/>
  <c r="H15" i="59" s="1"/>
  <c r="AG88" i="55"/>
  <c r="Q14" i="61" s="1"/>
  <c r="R14" i="61"/>
  <c r="K14" i="61"/>
  <c r="F14" i="61"/>
  <c r="D14" i="61"/>
  <c r="AA66" i="43"/>
  <c r="Y62" i="43"/>
  <c r="Z62" i="43"/>
  <c r="R17" i="43"/>
  <c r="R25" i="43" s="1"/>
  <c r="S24" i="43" s="1"/>
  <c r="R23" i="43"/>
  <c r="AE62" i="43"/>
  <c r="I7" i="59"/>
  <c r="I10" i="59" s="1"/>
  <c r="C15" i="61"/>
  <c r="AM71" i="55"/>
  <c r="AM72" i="55"/>
  <c r="D49" i="62"/>
  <c r="D50" i="62" s="1"/>
  <c r="AE65" i="43"/>
  <c r="D91" i="64"/>
  <c r="D92" i="64" s="1"/>
  <c r="J59" i="62"/>
  <c r="I61" i="62"/>
  <c r="J112" i="64"/>
  <c r="J60" i="62"/>
  <c r="I108" i="64"/>
  <c r="J61" i="62"/>
  <c r="H108" i="64"/>
  <c r="J111" i="64"/>
  <c r="I112" i="64"/>
  <c r="I109" i="64"/>
  <c r="J107" i="64"/>
  <c r="J109" i="64"/>
  <c r="I110" i="64"/>
  <c r="I107" i="64"/>
  <c r="J110" i="64"/>
  <c r="H109" i="64"/>
  <c r="H59" i="62"/>
  <c r="H60" i="62"/>
  <c r="H110" i="64"/>
  <c r="I59" i="62"/>
  <c r="H61" i="62"/>
  <c r="I60" i="62"/>
  <c r="H112" i="64"/>
  <c r="J108" i="64"/>
  <c r="H107" i="64"/>
  <c r="AL182" i="44"/>
  <c r="BD182" i="44"/>
  <c r="F33" i="43"/>
  <c r="K193" i="44"/>
  <c r="D26" i="64"/>
  <c r="G33" i="59"/>
  <c r="D27" i="64"/>
  <c r="J33" i="59"/>
  <c r="D15" i="64"/>
  <c r="J27" i="59"/>
  <c r="D14" i="64"/>
  <c r="G27" i="59"/>
  <c r="D28" i="64"/>
  <c r="K33" i="59"/>
  <c r="D16" i="64"/>
  <c r="K27" i="59"/>
  <c r="D29" i="64"/>
  <c r="M33" i="59"/>
  <c r="M35" i="59" s="1"/>
  <c r="D22" i="64"/>
  <c r="D33" i="59"/>
  <c r="D10" i="64"/>
  <c r="D27" i="59"/>
  <c r="D23" i="64"/>
  <c r="E33" i="59"/>
  <c r="E35" i="59" s="1"/>
  <c r="D11" i="64"/>
  <c r="E27" i="59"/>
  <c r="E29" i="59" s="1"/>
  <c r="Q14" i="23"/>
  <c r="L40" i="59"/>
  <c r="L41" i="59" s="1"/>
  <c r="D21" i="64"/>
  <c r="C33" i="59"/>
  <c r="C35" i="59" s="1"/>
  <c r="D24" i="64"/>
  <c r="F33" i="59"/>
  <c r="D12" i="64"/>
  <c r="F27" i="59"/>
  <c r="D30" i="64"/>
  <c r="I33" i="59"/>
  <c r="D25" i="64"/>
  <c r="H33" i="59"/>
  <c r="D13" i="64"/>
  <c r="H27" i="59"/>
  <c r="D18" i="64"/>
  <c r="I27" i="59"/>
  <c r="U14" i="23"/>
  <c r="L46" i="59"/>
  <c r="L47" i="59" s="1"/>
  <c r="V182" i="44"/>
  <c r="H20" i="64"/>
  <c r="C29" i="59"/>
  <c r="D17" i="64"/>
  <c r="H32" i="64"/>
  <c r="I20" i="64"/>
  <c r="I32" i="64"/>
  <c r="J20" i="64"/>
  <c r="J32" i="64"/>
  <c r="I20" i="62"/>
  <c r="H20" i="62"/>
  <c r="J14" i="62"/>
  <c r="H14" i="62"/>
  <c r="I14" i="62"/>
  <c r="J20" i="62"/>
  <c r="D18" i="62"/>
  <c r="D12" i="62"/>
  <c r="O18" i="23"/>
  <c r="S18" i="23"/>
  <c r="L23" i="53"/>
  <c r="M23" i="53" s="1"/>
  <c r="J20" i="59" s="1"/>
  <c r="J21" i="59" s="1"/>
  <c r="O58" i="55"/>
  <c r="Y33" i="53"/>
  <c r="Y36" i="53" s="1"/>
  <c r="U58" i="55"/>
  <c r="F35" i="43"/>
  <c r="H21" i="59"/>
  <c r="C21" i="59"/>
  <c r="L14" i="23"/>
  <c r="L18" i="23" s="1"/>
  <c r="J22" i="59" s="1"/>
  <c r="J23" i="59" s="1"/>
  <c r="M13" i="23"/>
  <c r="D21" i="59"/>
  <c r="I13" i="23"/>
  <c r="H14" i="23"/>
  <c r="H18" i="23" s="1"/>
  <c r="F22" i="59" s="1"/>
  <c r="F23" i="59" s="1"/>
  <c r="F49" i="43"/>
  <c r="E33" i="43"/>
  <c r="E49" i="43" s="1"/>
  <c r="D33" i="43"/>
  <c r="D49" i="43" s="1"/>
  <c r="E31" i="43"/>
  <c r="D31" i="43"/>
  <c r="AD14" i="23"/>
  <c r="AD18" i="23" s="1"/>
  <c r="F43" i="43"/>
  <c r="E39" i="43"/>
  <c r="E43" i="43" s="1"/>
  <c r="D39" i="43"/>
  <c r="D43" i="43" s="1"/>
  <c r="AA14" i="23"/>
  <c r="AA18" i="23" s="1"/>
  <c r="I43" i="43"/>
  <c r="Z13" i="23"/>
  <c r="Z14" i="23" s="1"/>
  <c r="Z18" i="23" s="1"/>
  <c r="Y13" i="23"/>
  <c r="I35" i="43"/>
  <c r="I47" i="43"/>
  <c r="AA88" i="55" s="1"/>
  <c r="Q13" i="61" s="1"/>
  <c r="AC13" i="23"/>
  <c r="AC14" i="23" s="1"/>
  <c r="AC18" i="23" s="1"/>
  <c r="AB13" i="23"/>
  <c r="F47" i="43"/>
  <c r="AN182" i="44"/>
  <c r="AK189" i="44"/>
  <c r="I58" i="55"/>
  <c r="I44" i="55"/>
  <c r="D17" i="62" s="1"/>
  <c r="C44" i="55"/>
  <c r="D11" i="62" s="1"/>
  <c r="I30" i="55"/>
  <c r="D16" i="62" s="1"/>
  <c r="C30" i="55"/>
  <c r="I16" i="55"/>
  <c r="D15" i="62" s="1"/>
  <c r="D10" i="62" l="1"/>
  <c r="S185" i="44"/>
  <c r="S186" i="44" s="1"/>
  <c r="K30" i="53"/>
  <c r="M30" i="53" s="1"/>
  <c r="BD185" i="44"/>
  <c r="E8" i="43"/>
  <c r="E9" i="43" s="1"/>
  <c r="AN185" i="44"/>
  <c r="K15" i="23" s="1"/>
  <c r="BD187" i="44"/>
  <c r="I62" i="55"/>
  <c r="AK186" i="44"/>
  <c r="I63" i="55" s="1"/>
  <c r="I61" i="55" s="1"/>
  <c r="D31" i="64" s="1"/>
  <c r="D32" i="64" s="1"/>
  <c r="AD63" i="43"/>
  <c r="Q23" i="43"/>
  <c r="AC65" i="43" s="1"/>
  <c r="Y66" i="43"/>
  <c r="S23" i="43"/>
  <c r="AG64" i="43" s="1"/>
  <c r="Z66" i="43"/>
  <c r="AD65" i="43"/>
  <c r="I14" i="59"/>
  <c r="I15" i="59" s="1"/>
  <c r="J15" i="61"/>
  <c r="AM88" i="55"/>
  <c r="Q15" i="61" s="1"/>
  <c r="F15" i="61"/>
  <c r="R15" i="61"/>
  <c r="K15" i="61"/>
  <c r="D15" i="61"/>
  <c r="AE66" i="43"/>
  <c r="AD62" i="43"/>
  <c r="J7" i="59"/>
  <c r="J10" i="59" s="1"/>
  <c r="AI62" i="43"/>
  <c r="AG62" i="43" s="1"/>
  <c r="C16" i="61"/>
  <c r="AS71" i="55"/>
  <c r="AS72" i="55"/>
  <c r="AH64" i="43"/>
  <c r="AH63" i="43"/>
  <c r="D103" i="64"/>
  <c r="D104" i="64" s="1"/>
  <c r="AI65" i="43"/>
  <c r="D55" i="62"/>
  <c r="D56" i="62" s="1"/>
  <c r="T185" i="44"/>
  <c r="C62" i="55"/>
  <c r="K16" i="23"/>
  <c r="K31" i="53"/>
  <c r="D62" i="62"/>
  <c r="D108" i="64"/>
  <c r="D116" i="64"/>
  <c r="D61" i="62"/>
  <c r="D110" i="64"/>
  <c r="D109" i="64"/>
  <c r="D113" i="64"/>
  <c r="D115" i="64"/>
  <c r="D107" i="64"/>
  <c r="D112" i="64"/>
  <c r="D60" i="62"/>
  <c r="D111" i="64"/>
  <c r="D114" i="64"/>
  <c r="I64" i="62"/>
  <c r="BD189" i="44"/>
  <c r="BD193" i="44" s="1"/>
  <c r="AK193" i="44"/>
  <c r="D6" i="59" s="1"/>
  <c r="F38" i="53"/>
  <c r="H57" i="62"/>
  <c r="H118" i="64"/>
  <c r="J118" i="64"/>
  <c r="I118" i="64"/>
  <c r="J64" i="62"/>
  <c r="H64" i="62"/>
  <c r="F8" i="59"/>
  <c r="Z29" i="53"/>
  <c r="L27" i="59"/>
  <c r="L33" i="59"/>
  <c r="G35" i="59"/>
  <c r="L34" i="59"/>
  <c r="Q18" i="23"/>
  <c r="E9" i="59" s="1"/>
  <c r="M41" i="59"/>
  <c r="H105" i="64"/>
  <c r="D35" i="59"/>
  <c r="G29" i="59"/>
  <c r="L28" i="59"/>
  <c r="U18" i="23"/>
  <c r="F9" i="59" s="1"/>
  <c r="M47" i="59"/>
  <c r="I57" i="62"/>
  <c r="I105" i="64"/>
  <c r="J105" i="64"/>
  <c r="D47" i="43"/>
  <c r="D51" i="43" s="1"/>
  <c r="O69" i="55"/>
  <c r="O62" i="43" s="1"/>
  <c r="AE14" i="23"/>
  <c r="AE18" i="23" s="1"/>
  <c r="AI14" i="23"/>
  <c r="AI18" i="23" s="1"/>
  <c r="U69" i="55"/>
  <c r="S62" i="43" s="1"/>
  <c r="D5" i="59"/>
  <c r="F16" i="43"/>
  <c r="J57" i="62"/>
  <c r="M29" i="59"/>
  <c r="L33" i="53"/>
  <c r="F15" i="43"/>
  <c r="S23" i="53"/>
  <c r="N20" i="59" s="1"/>
  <c r="N21" i="59" s="1"/>
  <c r="R33" i="53"/>
  <c r="R38" i="53" s="1"/>
  <c r="I70" i="55"/>
  <c r="F29" i="59"/>
  <c r="D29" i="59"/>
  <c r="D35" i="43"/>
  <c r="F51" i="43"/>
  <c r="I14" i="23"/>
  <c r="M14" i="23"/>
  <c r="E35" i="43"/>
  <c r="F35" i="59"/>
  <c r="I51" i="43"/>
  <c r="I24" i="43" s="1"/>
  <c r="G43" i="43"/>
  <c r="G51" i="43" s="1"/>
  <c r="G47" i="43"/>
  <c r="H47" i="43"/>
  <c r="H43" i="43"/>
  <c r="H51" i="43" s="1"/>
  <c r="E47" i="43"/>
  <c r="AL187" i="44"/>
  <c r="M16" i="23" l="1"/>
  <c r="M18" i="23" s="1"/>
  <c r="D9" i="59" s="1"/>
  <c r="E30" i="53"/>
  <c r="AL185" i="44"/>
  <c r="V185" i="44"/>
  <c r="G15" i="23"/>
  <c r="I15" i="23"/>
  <c r="AC62" i="43"/>
  <c r="AL186" i="44"/>
  <c r="BD186" i="44"/>
  <c r="AN186" i="44"/>
  <c r="AN187" i="44" s="1"/>
  <c r="AN189" i="44" s="1"/>
  <c r="AN193" i="44" s="1"/>
  <c r="D13" i="59" s="1"/>
  <c r="AG63" i="43"/>
  <c r="AD66" i="43"/>
  <c r="AC63" i="43"/>
  <c r="AC64" i="43"/>
  <c r="D19" i="62"/>
  <c r="D20" i="62" s="1"/>
  <c r="I69" i="55"/>
  <c r="D7" i="59" s="1"/>
  <c r="K65" i="43"/>
  <c r="M31" i="53"/>
  <c r="K29" i="53"/>
  <c r="K18" i="23"/>
  <c r="G30" i="53"/>
  <c r="T186" i="44"/>
  <c r="E31" i="53"/>
  <c r="C63" i="55"/>
  <c r="C61" i="55" s="1"/>
  <c r="C69" i="55" s="1"/>
  <c r="C72" i="55" s="1"/>
  <c r="I16" i="23"/>
  <c r="V186" i="44"/>
  <c r="G16" i="23" s="1"/>
  <c r="AH65" i="43"/>
  <c r="AG65" i="43"/>
  <c r="AG66" i="43"/>
  <c r="AS88" i="55"/>
  <c r="Q16" i="61" s="1"/>
  <c r="J14" i="59"/>
  <c r="J15" i="59" s="1"/>
  <c r="J16" i="61"/>
  <c r="R16" i="61"/>
  <c r="K16" i="61"/>
  <c r="D16" i="61"/>
  <c r="F16" i="61"/>
  <c r="AI66" i="43"/>
  <c r="AH62" i="43"/>
  <c r="L38" i="53"/>
  <c r="T187" i="44"/>
  <c r="N65" i="43"/>
  <c r="N63" i="43"/>
  <c r="N64" i="43"/>
  <c r="N62" i="43"/>
  <c r="M62" i="43"/>
  <c r="O66" i="43"/>
  <c r="S66" i="43"/>
  <c r="R62" i="43"/>
  <c r="R66" i="43" s="1"/>
  <c r="Q62" i="43"/>
  <c r="Q66" i="43" s="1"/>
  <c r="E7" i="59"/>
  <c r="O71" i="55"/>
  <c r="E14" i="59" s="1"/>
  <c r="E15" i="59" s="1"/>
  <c r="Z38" i="53"/>
  <c r="U71" i="55"/>
  <c r="F7" i="59"/>
  <c r="F10" i="59" s="1"/>
  <c r="F17" i="43"/>
  <c r="F25" i="43" s="1"/>
  <c r="C11" i="61"/>
  <c r="C12" i="61"/>
  <c r="F23" i="43"/>
  <c r="O72" i="55"/>
  <c r="F24" i="43"/>
  <c r="I23" i="43"/>
  <c r="S33" i="53"/>
  <c r="S36" i="53" s="1"/>
  <c r="U72" i="55"/>
  <c r="L29" i="59"/>
  <c r="L35" i="59"/>
  <c r="C70" i="55"/>
  <c r="S189" i="44"/>
  <c r="AL189" i="44" s="1"/>
  <c r="AL193" i="44" s="1"/>
  <c r="D8" i="43"/>
  <c r="Q189" i="44"/>
  <c r="Q193" i="44" s="1"/>
  <c r="E19" i="59" s="1"/>
  <c r="E21" i="59" s="1"/>
  <c r="C16" i="55"/>
  <c r="D9" i="62" s="1"/>
  <c r="D59" i="62" s="1"/>
  <c r="C71" i="55" l="1"/>
  <c r="I18" i="23"/>
  <c r="G18" i="23"/>
  <c r="C9" i="59"/>
  <c r="C88" i="55"/>
  <c r="AH66" i="43"/>
  <c r="K62" i="43"/>
  <c r="V187" i="44"/>
  <c r="V189" i="44" s="1"/>
  <c r="V193" i="44" s="1"/>
  <c r="C13" i="59" s="1"/>
  <c r="I71" i="55"/>
  <c r="J10" i="61" s="1"/>
  <c r="AC66" i="43"/>
  <c r="I72" i="55"/>
  <c r="C10" i="61"/>
  <c r="G31" i="53"/>
  <c r="E29" i="53"/>
  <c r="E33" i="53" s="1"/>
  <c r="G33" i="53" s="1"/>
  <c r="M29" i="53"/>
  <c r="K33" i="53"/>
  <c r="M33" i="53" s="1"/>
  <c r="M36" i="53" s="1"/>
  <c r="D8" i="59" s="1"/>
  <c r="D10" i="59" s="1"/>
  <c r="T189" i="44"/>
  <c r="T193" i="44" s="1"/>
  <c r="S193" i="44"/>
  <c r="C6" i="59" s="1"/>
  <c r="N66" i="43"/>
  <c r="M63" i="43"/>
  <c r="M65" i="43"/>
  <c r="M64" i="43"/>
  <c r="K66" i="43"/>
  <c r="E8" i="59"/>
  <c r="E10" i="59" s="1"/>
  <c r="T29" i="53"/>
  <c r="J12" i="61"/>
  <c r="F14" i="59"/>
  <c r="F15" i="59" s="1"/>
  <c r="D9" i="43"/>
  <c r="D16" i="43" s="1"/>
  <c r="U88" i="55"/>
  <c r="Q12" i="61" s="1"/>
  <c r="F12" i="61"/>
  <c r="D12" i="61"/>
  <c r="K12" i="61"/>
  <c r="R12" i="61"/>
  <c r="J11" i="61"/>
  <c r="O88" i="55"/>
  <c r="Q11" i="61" s="1"/>
  <c r="F11" i="61"/>
  <c r="K11" i="61"/>
  <c r="R11" i="61"/>
  <c r="D11" i="61"/>
  <c r="D13" i="62"/>
  <c r="D19" i="64"/>
  <c r="D117" i="64" s="1"/>
  <c r="G65" i="43"/>
  <c r="G24" i="43"/>
  <c r="J62" i="43" s="1"/>
  <c r="G23" i="43"/>
  <c r="I62" i="43" s="1"/>
  <c r="I88" i="55" l="1"/>
  <c r="Q10" i="61" s="1"/>
  <c r="F10" i="61"/>
  <c r="R10" i="61"/>
  <c r="K10" i="61"/>
  <c r="D10" i="61"/>
  <c r="D14" i="59"/>
  <c r="D15" i="59" s="1"/>
  <c r="N29" i="53"/>
  <c r="N38" i="53"/>
  <c r="G29" i="53"/>
  <c r="D14" i="62"/>
  <c r="D57" i="62" s="1"/>
  <c r="D63" i="62"/>
  <c r="M66" i="43"/>
  <c r="J63" i="43"/>
  <c r="J64" i="43"/>
  <c r="J65" i="43"/>
  <c r="T38" i="53"/>
  <c r="C7" i="59"/>
  <c r="C5" i="59"/>
  <c r="D15" i="43"/>
  <c r="D23" i="43" s="1"/>
  <c r="D20" i="64"/>
  <c r="D105" i="64" s="1"/>
  <c r="C9" i="61"/>
  <c r="G62" i="43"/>
  <c r="I64" i="43"/>
  <c r="I65" i="43"/>
  <c r="I63" i="43"/>
  <c r="D64" i="62" l="1"/>
  <c r="D118" i="64"/>
  <c r="T17" i="61"/>
  <c r="F9" i="61"/>
  <c r="F17" i="61" s="1"/>
  <c r="G66" i="43"/>
  <c r="D17" i="43"/>
  <c r="D25" i="43" s="1"/>
  <c r="E23" i="43" s="1"/>
  <c r="E62" i="43" s="1"/>
  <c r="C14" i="59"/>
  <c r="C15" i="59" s="1"/>
  <c r="J9" i="61"/>
  <c r="J17" i="61" s="1"/>
  <c r="R9" i="61"/>
  <c r="R17" i="61" s="1"/>
  <c r="K9" i="61"/>
  <c r="K17" i="61" s="1"/>
  <c r="D9" i="61"/>
  <c r="D17" i="61" s="1"/>
  <c r="C17" i="61"/>
  <c r="Q9" i="61"/>
  <c r="Q17" i="61" s="1"/>
  <c r="J66" i="43"/>
  <c r="I66" i="43"/>
  <c r="H29" i="53" l="1"/>
  <c r="G36" i="53"/>
  <c r="E65" i="43"/>
  <c r="E64" i="43"/>
  <c r="E63" i="43"/>
  <c r="E48" i="43"/>
  <c r="Y14" i="23"/>
  <c r="Y18" i="23" s="1"/>
  <c r="AB14" i="23"/>
  <c r="AB18" i="23" s="1"/>
  <c r="H25" i="53" l="1"/>
  <c r="H38" i="53"/>
  <c r="Z13" i="53"/>
  <c r="Z12" i="53"/>
  <c r="Z25" i="53"/>
  <c r="Z18" i="53"/>
  <c r="T12" i="53"/>
  <c r="T13" i="53"/>
  <c r="T25" i="53"/>
  <c r="T18" i="53"/>
  <c r="N25" i="53"/>
  <c r="N18" i="53"/>
  <c r="N13" i="53"/>
  <c r="C8" i="59"/>
  <c r="C10" i="59" s="1"/>
  <c r="N12" i="53"/>
  <c r="H13" i="53"/>
  <c r="H18" i="53"/>
  <c r="H12" i="53"/>
  <c r="E66" i="43"/>
  <c r="E51" i="43"/>
  <c r="D24" i="43" s="1"/>
  <c r="E24" i="43" s="1"/>
  <c r="F62" i="43" s="1"/>
  <c r="F64" i="43" l="1"/>
  <c r="F65" i="43"/>
  <c r="F63" i="43"/>
  <c r="F66" i="4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Chien, Clinton C</author>
  </authors>
  <commentList>
    <comment ref="D10" authorId="0" shapeId="0" xr:uid="{9FE163C1-55F6-4C43-BFD6-2B0FDBAFB62E}">
      <text>
        <r>
          <rPr>
            <sz val="12"/>
            <color theme="1"/>
            <rFont val="Calibri"/>
            <family val="2"/>
            <scheme val="minor"/>
          </rPr>
          <t>rounding difference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tc={715AFF75-9B2F-4D36-A295-A19CB4DE8EEA}</author>
  </authors>
  <commentList>
    <comment ref="E5" authorId="0" shapeId="0" xr:uid="{715AFF75-9B2F-4D36-A295-A19CB4DE8EEA}">
      <text>
        <t>[Threaded comment]
Your version of Excel allows you to read this threaded comment; however, any edits to it will get removed if the file is opened in a newer version of Excel. Learn more: https://go.microsoft.com/fwlink/?linkid=870924
Comment:
    I added the MS-x.x values (yellow fill with purple text)... otherwise these were blank. I did this confirm these were in the EMWG report, but the report didnt nubmer them at all. we can rename or delete for submission.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<sst xmlns="http://schemas.openxmlformats.org/spreadsheetml/2006/main" count="14233" uniqueCount="2308">
  <si>
    <t>General Instructions for Completing the Tables:</t>
  </si>
  <si>
    <t>SoCalGas</t>
  </si>
  <si>
    <t>&lt;&lt;&lt;&lt;&lt; Input your PA name here. This will appear on every report Cell B2.</t>
  </si>
  <si>
    <t>2024-2031</t>
  </si>
  <si>
    <t>Reference Years for all tabs</t>
  </si>
  <si>
    <t>All currency will be reported to the dollar, i.e., $0.</t>
  </si>
  <si>
    <t>Follow the legend to guide the input of various data requirements.</t>
  </si>
  <si>
    <t>WORKBOOK DROPDOWN MENU CONTROL</t>
  </si>
  <si>
    <r>
      <t xml:space="preserve">Other than </t>
    </r>
    <r>
      <rPr>
        <b/>
        <sz val="12"/>
        <color theme="1"/>
        <rFont val="Calibri"/>
        <family val="2"/>
        <scheme val="minor"/>
      </rPr>
      <t>Tabs 4 and 5</t>
    </r>
    <r>
      <rPr>
        <sz val="12"/>
        <color theme="1"/>
        <rFont val="Calibri"/>
        <family val="2"/>
        <scheme val="minor"/>
      </rPr>
      <t>, do not add rows.  When adding rows, ensure all formulas are copied.</t>
    </r>
  </si>
  <si>
    <t xml:space="preserve">Tab 4 Program Budget is the primary data entry tab.  Most other tabs are calculations using the data from Tab 4 as the source of data.  </t>
  </si>
  <si>
    <t>Target Exempt</t>
  </si>
  <si>
    <t>Program Type</t>
  </si>
  <si>
    <t>New Business Sector</t>
  </si>
  <si>
    <t>Portfolio Segment</t>
  </si>
  <si>
    <t>All tables totals should be recalculated to ensure footing/cross footing accuracy.</t>
  </si>
  <si>
    <t>Yes</t>
  </si>
  <si>
    <t>Core PA</t>
  </si>
  <si>
    <t>Residential</t>
  </si>
  <si>
    <t>Resource Acquisition</t>
  </si>
  <si>
    <t>Be mindful of print area to ensure footnotes are included when added.</t>
  </si>
  <si>
    <t>No</t>
  </si>
  <si>
    <t>Local Third Party</t>
  </si>
  <si>
    <t>Commercial</t>
  </si>
  <si>
    <t>Market Support</t>
  </si>
  <si>
    <t>SW Third Party</t>
  </si>
  <si>
    <t>Industrial</t>
  </si>
  <si>
    <t>Equity</t>
  </si>
  <si>
    <t>Agricultural</t>
  </si>
  <si>
    <t>Codes &amp; Standards</t>
  </si>
  <si>
    <t>Emerging Tech</t>
  </si>
  <si>
    <t>Public</t>
  </si>
  <si>
    <t>Legend - What do the colors mean</t>
  </si>
  <si>
    <t>WE&amp;T</t>
  </si>
  <si>
    <t>Solid Gray, black font - FORMULA</t>
  </si>
  <si>
    <t>Finance</t>
  </si>
  <si>
    <t>Solid Blue, blue font - DATA INPUT CELL</t>
  </si>
  <si>
    <t>OBF Loan Pool</t>
  </si>
  <si>
    <t>Solid Gold, black font - HEADER/INFORMATION NO-INPUT CELL</t>
  </si>
  <si>
    <t>Specific Tab Instructions:</t>
  </si>
  <si>
    <t>ReadMe</t>
  </si>
  <si>
    <t>Populate Cell A2 with PA name, this will populate PA Name on each tab</t>
  </si>
  <si>
    <t>Tab 0</t>
  </si>
  <si>
    <t>Tab is protected, but no password required to unprotect</t>
  </si>
  <si>
    <t>Tab 1</t>
  </si>
  <si>
    <t>Current Year calculations are based on current effective rates.</t>
  </si>
  <si>
    <t>Total Average Annual Bill Savings by Year  ($) =Electric Average Rate (Res and Non-Res)  $/kwh * Total First Year Electric Net Savings KWH + Gas Average Rate
(Res and Non-Res) 
 $/therm * Total First Year Gas Net Savings Therm</t>
  </si>
  <si>
    <t>Total Average Lifecycle Bill Savings  ($) = Electric Average Rate (Res and Non-Res)  $/kwh * Total Lifecycle Electric Net Savings KWH + Gas Average Rate
(Res and Non-Res) 
 $/therm * Total Lifecycle Gas Net Savings Therm</t>
  </si>
  <si>
    <t>Tab 2</t>
  </si>
  <si>
    <t>This Table applies only to the IOU PAs.</t>
  </si>
  <si>
    <t>Each IOU may customize the "Customer Classes"</t>
  </si>
  <si>
    <t>Tab 3.1</t>
  </si>
  <si>
    <t>Summary Table of 3.2</t>
  </si>
  <si>
    <t>Tab 3.2</t>
  </si>
  <si>
    <t>Populate only the blue highlighted cells.  For example, forecasted electric and gas portfolio allocation percentage.</t>
  </si>
  <si>
    <t>Tab 4.1</t>
  </si>
  <si>
    <t>This provides required details by program for 2024-2027</t>
  </si>
  <si>
    <t>This is the primary input sheet for most of the data that feeds the other tables.</t>
  </si>
  <si>
    <t>Please add  rows between rows 7 and 129.  Copy an existing row for adding new rows to ensure all formulas carry over. Check to make sure that the formulas in the subtotal include the added rows.</t>
  </si>
  <si>
    <t>"_PA portion" of Statewide programs must be marked as "Core PA" rather than "Statewide".</t>
  </si>
  <si>
    <t>This is 4% of PA PY Spending Budget Request.</t>
  </si>
  <si>
    <t xml:space="preserve"> EM&amp;V - PA section This can range from 27.5%  up to 40% of the EM&amp;V 4% budget.</t>
  </si>
  <si>
    <t>Pulls from Table 4, EM&amp;V - ED section</t>
  </si>
  <si>
    <t>CEC AB 841 section only applies to the IOU PAs.</t>
  </si>
  <si>
    <t>Consider whether OBF Loan pool is included as part of the PA portfolio or not. Tab 9 may need to be adjusted if it is not.</t>
  </si>
  <si>
    <t>"20XX PA Pre-2020 Uncommitted and Unspent Carryover  Balance" should be entered as a negative value.</t>
  </si>
  <si>
    <t>For each program measure, if the refrigerant is positive and not new contruction, then assume it is low GWP emissions to be reported in the column "Lifecycle Net CO2e from low-GWP Measures".</t>
  </si>
  <si>
    <t>CO2e: is defined as the number of metric tons of CO2 emissions with the same global warming potential as one metric ton of another greenhouse gas.  This is provided in the CET output file.</t>
  </si>
  <si>
    <t>Tab 4.2</t>
  </si>
  <si>
    <t>This provides budgets by sector &amp; segment for 2028-2031</t>
  </si>
  <si>
    <t>Do not delete Hidden column E (appears to be duplicative but feeds the Tab 7 series.</t>
  </si>
  <si>
    <t>Tab 4.3</t>
  </si>
  <si>
    <t>Program Changes added consistent with ABAL tables</t>
  </si>
  <si>
    <t>Please read the instructions tab.</t>
  </si>
  <si>
    <t>Tab 5</t>
  </si>
  <si>
    <t>For Non-IOU PAs: complete on the EM&amp;V and REN/CCA; provide information to your IOU partner for the IOUs share of the commitment.</t>
  </si>
  <si>
    <t>For IOU PA: Input IOU EM&amp;V and IOU commitments.  Incorporate REN/CCA information into the table.  IOU Tab 5 will provide full picture of all committed funds for the IOU/CCA/REN combined portfolios.</t>
  </si>
  <si>
    <t xml:space="preserve">Tab 6 </t>
  </si>
  <si>
    <t>Historical years provie a point of reference for future requests</t>
  </si>
  <si>
    <t>This table is identical for all IOUs.</t>
  </si>
  <si>
    <t>The current input table is the approved table for 2018 onwards.  Any change will need to be requested in the application.</t>
  </si>
  <si>
    <t>Tab 7.1</t>
  </si>
  <si>
    <t>PA Budget 8-Yr Summary by Segement information</t>
  </si>
  <si>
    <t>Tab 7.2</t>
  </si>
  <si>
    <t>PA Budget 8-yr Summary by sector/Segement</t>
  </si>
  <si>
    <t>Tab 7.3</t>
  </si>
  <si>
    <t>PA Budgets details</t>
  </si>
  <si>
    <t>OBF Loan Pool calculation in Column C-H includes OBF Loan Pool as part of the PA Portfolio.  Formulas need to be adjusted to exclude this amount if not appropriate to be part of the PA Portfolio</t>
  </si>
  <si>
    <t>"For CCA &amp; RENS in IOU Service Territory Only" section is the CCA/REN Revenue Request.  Unspent/Uncommitted funds for the CCA/REN is disclosed on the CCA's/REN's BBAL template.</t>
  </si>
  <si>
    <t>Tab 8</t>
  </si>
  <si>
    <t>Cells E13 (2024), K13 (2025), Q13 (2026), &amp; W13 (2027), Admin expenditures for non-PA, non-qualifying Third Party &amp; Partnerships (non-Target Exempt Programs) must be manually populated as the forecast admin expenditures from the "Core PA" program type (Tab 4, Col F).  The PA admin formula in Cell E12 will adjust for this manual entry. Only for 2024-2027</t>
  </si>
  <si>
    <t xml:space="preserve">Non IOU PAs need to complete Table 8 C&amp;T for informational purposes </t>
  </si>
  <si>
    <t>Add footnotes to the files as specific for your PA and update any blue references in the existing footnotes.</t>
  </si>
  <si>
    <t xml:space="preserve">Tabs 9 through 16 </t>
  </si>
  <si>
    <t>These tables are required by D.18-05-041 OP 44.</t>
  </si>
  <si>
    <t>Tab 17</t>
  </si>
  <si>
    <t>Metrics Tab update for targets 2024-2027</t>
  </si>
  <si>
    <t>Tabs 18.1 and 18.2</t>
  </si>
  <si>
    <t xml:space="preserve">Complete to the greatest extent practical. Describe difficulties with any metrics and possible approaches to resolving them. </t>
  </si>
  <si>
    <t>Pa Name:</t>
  </si>
  <si>
    <t>Budget Year:</t>
  </si>
  <si>
    <t>Spending Budget Comparison</t>
  </si>
  <si>
    <t>Tab 7 - PA Spending Budget Request (PA Program and EM&amp;V + CEC AB 841)</t>
  </si>
  <si>
    <t>Difference</t>
  </si>
  <si>
    <t>Revenue Requirement or Cost Recovery Comparison</t>
  </si>
  <si>
    <t>Tab 4 - PA Revenue Requirement Request</t>
  </si>
  <si>
    <t>Tab 7 - PA Revenue Requirement Request (Cost Recovery)</t>
  </si>
  <si>
    <t>Program Budget by Cost Category</t>
  </si>
  <si>
    <t>Admin</t>
  </si>
  <si>
    <t>Mktg</t>
  </si>
  <si>
    <t>DINI</t>
  </si>
  <si>
    <t>DI Incentive</t>
  </si>
  <si>
    <t>Tab 4 - Program Budgets</t>
  </si>
  <si>
    <t>Tab 8 - Caps &amp; Targets</t>
  </si>
  <si>
    <t>Tab 9 - Incentives Column, EE Total</t>
  </si>
  <si>
    <t>Portfolio Budget Total vs Budget by Function Summary Total</t>
  </si>
  <si>
    <t>Cross Cutting</t>
  </si>
  <si>
    <t>Tab 7 - PA Portfolio Budget by Function</t>
  </si>
  <si>
    <t>Tab 9 - PA Portfolio Budget by Function</t>
  </si>
  <si>
    <t>(This Table applies only to the IOU PAs)</t>
  </si>
  <si>
    <t>Table 1 -Bill Payer Impacts  (based on program savings forecasted for the year)</t>
  </si>
  <si>
    <t>Electric Average Rate (Res and Non-Res)  $/kwh</t>
  </si>
  <si>
    <t>Gas Average Rate
(Res and Non-Res) 
 $/therm</t>
  </si>
  <si>
    <t>Total Average Annual Bill Savings by Year  ($)</t>
  </si>
  <si>
    <t>Total Average Lifecycle Bill Savings  ($)</t>
  </si>
  <si>
    <t>Present Rates - System Average *</t>
  </si>
  <si>
    <t>* = Based on 10/1/2021 current effective rates</t>
  </si>
  <si>
    <t xml:space="preserve">Table 2a - Electric Bill Payer Impacts - Current and Proposed Revenues and Rates, Total and Energy Efficiency, by Customer Class </t>
  </si>
  <si>
    <t>Customer Classes</t>
  </si>
  <si>
    <t>2022 Proposed Energy Efficiency Electric Annual Revenue Change 
 $000</t>
  </si>
  <si>
    <t>2022 Proposed Percentage Change In Electric Revenue and Rates</t>
  </si>
  <si>
    <t>2022 Electric 
Average Rate 
$/kWh</t>
  </si>
  <si>
    <t>2022 Energy Efficiency Portion of Electric Average Rate
$/kWh</t>
  </si>
  <si>
    <t>2023 Proposed Energy Efficiency Electric Annual Revenue Change 
 $000</t>
  </si>
  <si>
    <t>2023 Proposed Percentage Change In Electric Revenue and Rates</t>
  </si>
  <si>
    <t>2023 Electric 
Average Rate 
$/kWh</t>
  </si>
  <si>
    <t>2023 Energy Efficiency Portion of Electric Average Rate
$/kWh</t>
  </si>
  <si>
    <t>2024 Proposed Energy Efficiency Electric Annual Revenue Change 
 $000</t>
  </si>
  <si>
    <t>2024 Proposed Percentage Change In Electric Revenue and Rates</t>
  </si>
  <si>
    <t>2024 Electric 
Average Rate 
$/kWh</t>
  </si>
  <si>
    <t>2024 Energy Efficiency Portion of Electric Average Rate
$/kWh</t>
  </si>
  <si>
    <t>2025 Proposed Energy Efficiency Electric Annual Revenue Change 
 $000</t>
  </si>
  <si>
    <t>2025 Proposed Percentage Change In Electric Revenue and Rates</t>
  </si>
  <si>
    <t>2025 Electric 
Average Rate 
$/kWh</t>
  </si>
  <si>
    <t>2025 Energy Efficiency Portion of Electric Average Rate
$/kWh</t>
  </si>
  <si>
    <t>2026 Proposed Energy Efficiency Electric Annual Revenue Change 
 $000</t>
  </si>
  <si>
    <t>2026 Proposed Percentage Change In Electric Revenue and Rates</t>
  </si>
  <si>
    <t>2026 Electric 
Average Rate 
$/kWh</t>
  </si>
  <si>
    <t>2026 Energy Efficiency Portion of Electric Average Rate
$/kWh</t>
  </si>
  <si>
    <t>2027 Proposed Energy Efficiency Electric Annual Revenue Change 
 $000</t>
  </si>
  <si>
    <t>2027 Proposed Percentage Change In Electric Revenue and Rates</t>
  </si>
  <si>
    <t>2027 Electric 
Average Rate 
$/kWh</t>
  </si>
  <si>
    <t>2027 Energy Efficiency Portion of Electric Average Rate
$/kWh</t>
  </si>
  <si>
    <t>2028 Proposed Energy Efficiency Electric Annual Revenue Change 
 $000</t>
  </si>
  <si>
    <t>2028 Proposed Percentage Change In Electric Revenue and Rates</t>
  </si>
  <si>
    <t>2028 Electric 
Average Rate 
$/kWh</t>
  </si>
  <si>
    <t>2028 Energy Efficiency Portion of Electric Average Rate
$/kWh</t>
  </si>
  <si>
    <t>2029 Proposed Energy Efficiency Electric Annual Revenue Change 
 $000</t>
  </si>
  <si>
    <t>2029 Proposed Percentage Change In Electric Revenue and Rates</t>
  </si>
  <si>
    <t>2029 Electric 
Average Rate 
$/kWh</t>
  </si>
  <si>
    <t>2029 Energy Efficiency Portion of Electric Average Rate
$/kWh</t>
  </si>
  <si>
    <t>2030 Proposed Energy Efficiency Electric Annual Revenue Change 
 $000</t>
  </si>
  <si>
    <t>2030 Proposed Percentage Change In Electric Revenue and Rates</t>
  </si>
  <si>
    <t>2030 Electric 
Average Rate 
$/kWh</t>
  </si>
  <si>
    <t>2030 Energy Efficiency Portion of Electric Average Rate
$/kWh</t>
  </si>
  <si>
    <t>2031 Proposed Energy Efficiency Electric Annual Revenue Change 
 $000</t>
  </si>
  <si>
    <t>2031 Proposed Percentage Change In Electric Revenue and Rates</t>
  </si>
  <si>
    <t>2031 Electric 
Average Rate 
$/kWh</t>
  </si>
  <si>
    <t>2031 Energy Efficiency Portion of Electric Average Rate
$/kWh</t>
  </si>
  <si>
    <t>N/A</t>
  </si>
  <si>
    <t xml:space="preserve">Table 2b - Gas Bill Payer Impacts  - Current and Proposed Revenues and Rates, Total and Energy Efficiency, by Customer Class </t>
  </si>
  <si>
    <t>2022 Proposed Energy Efficiency Gas Annual Revenue Change 
 $000</t>
  </si>
  <si>
    <t>2022 Proposed Percentage Change In Gas Revenue and Rates</t>
  </si>
  <si>
    <t>2022 Gas 
Average Rate 
$/Therm</t>
  </si>
  <si>
    <t>2022 Energy Efficiency Portion of Gas Average Rate
$/Therm</t>
  </si>
  <si>
    <t>2023 Proposed Energy Efficiency Gas Annual Revenue Change 
 $000</t>
  </si>
  <si>
    <t>2023 Proposed Percentage Change In Gas Revenue and Rates</t>
  </si>
  <si>
    <t>2023 Gas 
Average Rate 
$/Therm</t>
  </si>
  <si>
    <t>2023 Energy Efficiency Portion of Gas Average Rate
$/Therm</t>
  </si>
  <si>
    <t>2024 Proposed Energy Efficiency Gas Annual Revenue Change 
 $000</t>
  </si>
  <si>
    <t>2024 Proposed Percentage Change In Gas Revenue and Rates</t>
  </si>
  <si>
    <t>2024 Gas 
Average Rate 
$/Therm</t>
  </si>
  <si>
    <t>2024 Energy Efficiency Portion of Gas Average Rate
$/Therm</t>
  </si>
  <si>
    <t>2025 Proposed Energy Efficiency Gas Annual Revenue Change 
 $000</t>
  </si>
  <si>
    <t>2025 Proposed Percentage Change In Gas Revenue and Rates</t>
  </si>
  <si>
    <t>2025 Gas 
Average Rate 
$/Therm</t>
  </si>
  <si>
    <t>2025 Energy Efficiency Portion of Gas Average Rate
$/Therm</t>
  </si>
  <si>
    <t>2026 Proposed Energy Efficiency Gas Annual Revenue Change 
 $000</t>
  </si>
  <si>
    <t>2026 Proposed Percentage Change In Gas Revenue and Rates</t>
  </si>
  <si>
    <t>2026 Gas 
Average Rate 
$/Therm</t>
  </si>
  <si>
    <t>2026 Energy Efficiency Portion of Gas Average Rate
$/Therm</t>
  </si>
  <si>
    <t>2027 Proposed Energy Efficiency Gas Annual Revenue Change 
 $000</t>
  </si>
  <si>
    <t>2027 Proposed Percentage Change In Gas Revenue and Rates</t>
  </si>
  <si>
    <t>2027 Gas 
Average Rate 
$/Therm</t>
  </si>
  <si>
    <t>2027 Energy Efficiency Portion of Gas Average Rate
$/Therm</t>
  </si>
  <si>
    <t>2028 Proposed Energy Efficiency Gas Annual Revenue Change 
 $000</t>
  </si>
  <si>
    <t>2028 Proposed Percentage Change In Gas Revenue and Rates</t>
  </si>
  <si>
    <t>2028 Gas 
Average Rate 
$/Therm</t>
  </si>
  <si>
    <t>2028 Energy Efficiency Portion of Gas Average Rate
$/Therm</t>
  </si>
  <si>
    <t>2029 Proposed Energy Efficiency Gas Annual Revenue Change 
 $000</t>
  </si>
  <si>
    <t>2029 Proposed Percentage Change In Gas Revenue and Rates</t>
  </si>
  <si>
    <t>2029 Gas 
Average Rate 
$/Therm</t>
  </si>
  <si>
    <t>2029 Energy Efficiency Portion of Gas Average Rate
$/Therm</t>
  </si>
  <si>
    <t>2030 Proposed Energy Efficiency Gas Annual Revenue Change 
 $000</t>
  </si>
  <si>
    <t>2030 Proposed Percentage Change In Gas Revenue and Rates</t>
  </si>
  <si>
    <t>2030 Gas 
Average Rate 
$/Therm</t>
  </si>
  <si>
    <t>2030 Energy Efficiency Portion of Gas Average Rate
$/Therm</t>
  </si>
  <si>
    <t>2031 Proposed Energy Efficiency Gas Annual Revenue Change 
 $000</t>
  </si>
  <si>
    <t>2031 Proposed Percentage Change In Gas Revenue and Rates</t>
  </si>
  <si>
    <t>2031 Gas 
Average Rate 
$/Therm</t>
  </si>
  <si>
    <t>2031 Energy Efficiency Portion of Gas Average Rate
$/Therm</t>
  </si>
  <si>
    <t>Core Commercial/Industrial</t>
  </si>
  <si>
    <t>Gas Air Conditioning</t>
  </si>
  <si>
    <t>Gas Engine</t>
  </si>
  <si>
    <t>Non-Core Commercial/Industrial</t>
  </si>
  <si>
    <t>Table 3.1 - PA 2024-2031 Funding Source Summary</t>
  </si>
  <si>
    <t>Spending Budget Request</t>
  </si>
  <si>
    <t>Electric Procurement</t>
  </si>
  <si>
    <t>% Electric</t>
  </si>
  <si>
    <t>Gas</t>
  </si>
  <si>
    <t>% Gas</t>
  </si>
  <si>
    <t>PA Revenue Requirement Request (Cost Recovery)</t>
  </si>
  <si>
    <t>PA (IOU+CCAs+RENs ) Recovery Budget</t>
  </si>
  <si>
    <t>Total</t>
  </si>
  <si>
    <t>8 Year Funding Sources - RENs/CCAs*</t>
  </si>
  <si>
    <t>Year</t>
  </si>
  <si>
    <t>PG&amp;E</t>
  </si>
  <si>
    <t>SDG&amp;E</t>
  </si>
  <si>
    <t>SCE</t>
  </si>
  <si>
    <t>SCG</t>
  </si>
  <si>
    <t>Electric $</t>
  </si>
  <si>
    <t>Gas $</t>
  </si>
  <si>
    <t>* SoCalGas' responsibility based on input from the RENs</t>
  </si>
  <si>
    <t>Table 3 - Budget and Cost Recovery by Funding Source</t>
  </si>
  <si>
    <t>Table 3a - PA Spending Budget Request by Funding Source</t>
  </si>
  <si>
    <t>Source is Table 4</t>
  </si>
  <si>
    <t>Source is Table 7</t>
  </si>
  <si>
    <t>PA EE Programs and EM&amp;V</t>
  </si>
  <si>
    <t>Annual PA Spending Budget Request (Program and EM&amp;V total)</t>
  </si>
  <si>
    <t>PA Spending Budget Request (PA Program and EM&amp;V) (same as row above, used for reference)</t>
  </si>
  <si>
    <t>Table 3b - Budget by Funding Source</t>
  </si>
  <si>
    <t>Portfolio Budget (Before Carryover)</t>
  </si>
  <si>
    <t>2024 Budget</t>
  </si>
  <si>
    <t>2024 %Allocation</t>
  </si>
  <si>
    <t>2025 Budget</t>
  </si>
  <si>
    <t>2025 %Allocation</t>
  </si>
  <si>
    <t>2026 Budget</t>
  </si>
  <si>
    <t>2026 %Allocation</t>
  </si>
  <si>
    <t>2027 Budget</t>
  </si>
  <si>
    <t>2027 %Allocation</t>
  </si>
  <si>
    <t>2028 Budget</t>
  </si>
  <si>
    <t>2028 %Allocation</t>
  </si>
  <si>
    <t>2029 Budget</t>
  </si>
  <si>
    <t>2029 %Allocation</t>
  </si>
  <si>
    <t>2030 Budget</t>
  </si>
  <si>
    <t>2030 %Allocation</t>
  </si>
  <si>
    <t>2031 Budget</t>
  </si>
  <si>
    <t>2031 %Allocation</t>
  </si>
  <si>
    <t>Electric Procurement EE Funds</t>
  </si>
  <si>
    <t>Gas PPP Surcharge Funds</t>
  </si>
  <si>
    <t>Total Funds</t>
  </si>
  <si>
    <t>Table 3c - Revenue Requirement for Cost Recovery by Funding Source</t>
  </si>
  <si>
    <t>2024 Revenue Requirement</t>
  </si>
  <si>
    <t>2024 %Allocation after Carryover adjustment</t>
  </si>
  <si>
    <t>2025 Revenue Requirement</t>
  </si>
  <si>
    <t>2025 %Allocation after Carryover adjustment</t>
  </si>
  <si>
    <t>2026 Revenue Requirement</t>
  </si>
  <si>
    <t>2026 %Allocation after Carryover adjustment</t>
  </si>
  <si>
    <t>2027 Revenue Requirement</t>
  </si>
  <si>
    <t>2027 %Allocation after Carryover adjustment</t>
  </si>
  <si>
    <t>2028 Revenue Requirement</t>
  </si>
  <si>
    <t>2028 %Allocation after Carryover adjustment</t>
  </si>
  <si>
    <t>2029 Revenue Requirement</t>
  </si>
  <si>
    <t>2029 %Allocation after Carryover adjustment</t>
  </si>
  <si>
    <t>2030 Revenue Requirement</t>
  </si>
  <si>
    <t>2030 %Allocation after Carryover adjustment</t>
  </si>
  <si>
    <t>2031 Revenue Requirement</t>
  </si>
  <si>
    <t>2031 %Allocation after Carryover adjustment</t>
  </si>
  <si>
    <t>Table 3d - Unspent/Uncommitted Carryover Funds (in positive $ amounts)</t>
  </si>
  <si>
    <t xml:space="preserve"> Electric</t>
  </si>
  <si>
    <t xml:space="preserve">Total </t>
  </si>
  <si>
    <t>Pre-2020 3</t>
  </si>
  <si>
    <t xml:space="preserve">Pre-2020 </t>
  </si>
  <si>
    <t>Notes on Table 3d</t>
  </si>
  <si>
    <t>Any actual uncommitted/unspent funds for 2023 will be trued-up in the IOU's respective electric and gas PPP annual rates advice letter for 2023.</t>
  </si>
  <si>
    <t>Any unspent/uncommitted funds for 2020, 2021 and 2022 will be assigned to CEC AB 841</t>
  </si>
  <si>
    <r>
      <t xml:space="preserve">Table 3e - Total  Requested Recovery 2024-2027 Portfolio Budgets - Demand Response &amp; Energy Efficiency </t>
    </r>
    <r>
      <rPr>
        <b/>
        <vertAlign val="superscript"/>
        <sz val="11"/>
        <rFont val="Calibri"/>
        <family val="2"/>
        <scheme val="minor"/>
      </rPr>
      <t>1,2</t>
    </r>
  </si>
  <si>
    <t>Demand Response</t>
  </si>
  <si>
    <t>Energy Efficiency</t>
  </si>
  <si>
    <t>Electric Demand Response Funds</t>
  </si>
  <si>
    <t>Electric Energy Efficiency Funds</t>
  </si>
  <si>
    <t>Natural Gas Public Purpose Funds</t>
  </si>
  <si>
    <t>Total Energy Efficiency Funds</t>
  </si>
  <si>
    <r>
      <t xml:space="preserve"> Program Funds - PA </t>
    </r>
    <r>
      <rPr>
        <vertAlign val="superscript"/>
        <sz val="11"/>
        <rFont val="Calibri"/>
        <family val="2"/>
        <scheme val="minor"/>
      </rPr>
      <t>4</t>
    </r>
  </si>
  <si>
    <r>
      <t xml:space="preserve"> Program Funds - REN </t>
    </r>
    <r>
      <rPr>
        <vertAlign val="superscript"/>
        <sz val="11"/>
        <rFont val="Calibri"/>
        <family val="2"/>
        <scheme val="minor"/>
      </rPr>
      <t>5</t>
    </r>
  </si>
  <si>
    <r>
      <t xml:space="preserve"> Program Funds - CCA </t>
    </r>
    <r>
      <rPr>
        <vertAlign val="superscript"/>
        <sz val="11"/>
        <rFont val="Calibri"/>
        <family val="2"/>
        <scheme val="minor"/>
      </rPr>
      <t>5</t>
    </r>
  </si>
  <si>
    <r>
      <t xml:space="preserve"> EM&amp;V </t>
    </r>
    <r>
      <rPr>
        <vertAlign val="superscript"/>
        <sz val="11"/>
        <rFont val="Calibri"/>
        <family val="2"/>
        <scheme val="minor"/>
      </rPr>
      <t>3</t>
    </r>
  </si>
  <si>
    <t>Budget Total</t>
  </si>
  <si>
    <t>Notes:</t>
  </si>
  <si>
    <t xml:space="preserve">1 Authorized budget excludes reductions from past unspent funds, carryover and is consistent with funding approved in D. 09-09-047, D. 12-11-015, D.14-10-046 and D.15-10-028,  D.18-05-041 and D.21-01-004.  </t>
  </si>
  <si>
    <t>2 REN and CCA information provided by all RENS and CCAs.</t>
  </si>
  <si>
    <t>3 SCG's PA EM&amp;V</t>
  </si>
  <si>
    <t>4 Program Funds represents the SCG's PA program budget, excluding EM&amp;V.</t>
  </si>
  <si>
    <t xml:space="preserve">5 Only the IOU completes this line and should be consistent table 7. </t>
  </si>
  <si>
    <t>2024-2027</t>
  </si>
  <si>
    <t>Table 4 – Budget, Spent, Unspent, Carryover Details</t>
  </si>
  <si>
    <t>New/Existing Program #</t>
  </si>
  <si>
    <t>Discontinued Program #</t>
  </si>
  <si>
    <t>Program Name</t>
  </si>
  <si>
    <t xml:space="preserve"> Business Sector</t>
  </si>
  <si>
    <r>
      <t xml:space="preserve">Pre-2020 Unspent/Uncommitted EE Funds </t>
    </r>
    <r>
      <rPr>
        <b/>
        <vertAlign val="superscript"/>
        <sz val="11"/>
        <rFont val="Calibri"/>
        <family val="2"/>
        <scheme val="minor"/>
      </rPr>
      <t>6</t>
    </r>
  </si>
  <si>
    <t>2021 Authorized Budget</t>
  </si>
  <si>
    <t>2021 Forecasted Unspent/ Uncommitted Funds as of 9/30/2021</t>
  </si>
  <si>
    <t>2021 Budget Spent as of 9/30/2021</t>
  </si>
  <si>
    <t>2022 Proposed Budget</t>
  </si>
  <si>
    <t>2023 Proposed Budget</t>
  </si>
  <si>
    <t>Administrative</t>
  </si>
  <si>
    <t>Marketing/ Outreach</t>
  </si>
  <si>
    <t>Direct Implementation Non-Incentive</t>
  </si>
  <si>
    <t>Incentive/ Rebate</t>
  </si>
  <si>
    <t>2024 PA Spending Budget Request</t>
  </si>
  <si>
    <t>Percent Change from Prior Year</t>
  </si>
  <si>
    <t xml:space="preserve">PA Pre-2024 Uncommitted and Unspent Carryover  Balance </t>
  </si>
  <si>
    <t>2024 PA Revenue Requirement Request (Cost Recovery)</t>
  </si>
  <si>
    <t>First Year Net KWH</t>
  </si>
  <si>
    <t>First Year Net KW</t>
  </si>
  <si>
    <t>First Year Net Therms</t>
  </si>
  <si>
    <t>First Year Net Electric CO2e</t>
  </si>
  <si>
    <t>First Year Net Gas CO2e</t>
  </si>
  <si>
    <t>Lifecycle Net KWH</t>
  </si>
  <si>
    <t>Lifecycle Net Therms</t>
  </si>
  <si>
    <t>Lifecycle Net Electric CO2e</t>
  </si>
  <si>
    <t>Lifecycle Net Gas CO2e</t>
  </si>
  <si>
    <t>Lifecycle Net CO2e from low-GWP Measures</t>
  </si>
  <si>
    <t>Incentive/Rebate</t>
  </si>
  <si>
    <t>2025 PA Spending Budget Request</t>
  </si>
  <si>
    <t>2025 PA Revenue Requirement Request (Cost Recovery)</t>
  </si>
  <si>
    <t>2026 PA Spending Budget Request</t>
  </si>
  <si>
    <t>2026 PA Revenue Requirement Request (Cost Recovery)</t>
  </si>
  <si>
    <t>2027 PA Spending Budget Request</t>
  </si>
  <si>
    <t>2027 PA Revenue Requirement Request (Cost Recovery)</t>
  </si>
  <si>
    <t>SCG_SW_NC_NonRes_Ag_mixed_PA</t>
  </si>
  <si>
    <t>AG-SW-NonRes New Construction Program-PA</t>
  </si>
  <si>
    <t xml:space="preserve"> -   </t>
  </si>
  <si>
    <t xml:space="preserve">  -    </t>
  </si>
  <si>
    <t>SCG_SW_CSA_Appl_PA</t>
  </si>
  <si>
    <t>C&amp;S-SW-Appliance Standards Advocacy Program-PA</t>
  </si>
  <si>
    <t>SCG_SW_CSA_Bldg_PA</t>
  </si>
  <si>
    <t>C&amp;S-SW-Building Codes Advocacy Program-PA</t>
  </si>
  <si>
    <t>SCG_SW_CSA_Natl_PA</t>
  </si>
  <si>
    <t>C&amp;S-SW-Federal Codes Advocacy Program-PA</t>
  </si>
  <si>
    <t>SCG3910</t>
  </si>
  <si>
    <t>CC-Nonresidential Calculated Incentive Program</t>
  </si>
  <si>
    <t>SCG3911</t>
  </si>
  <si>
    <t>CC-Nonresidential Deemed Incentive Program</t>
  </si>
  <si>
    <t>SCG3813</t>
  </si>
  <si>
    <t>COM-Savings By Design Program</t>
  </si>
  <si>
    <t>SCG_SW_MCWH_PA</t>
  </si>
  <si>
    <t>COM-SW-Midstream Commercial Water Heating Program-PA</t>
  </si>
  <si>
    <t>SCG_SW_NC_NonRes_Com_mixed_PA</t>
  </si>
  <si>
    <t>COM-SW-NonRes New Construction Program-PA</t>
  </si>
  <si>
    <t>SCG_SW_FS_PA</t>
  </si>
  <si>
    <t>COM-SW-Point of Sale Food Service Program-PA</t>
  </si>
  <si>
    <t>SCG_SW_HVAC_Up_Com_PA</t>
  </si>
  <si>
    <t>COM-SW-HVAC Upstream Commercial-PA</t>
  </si>
  <si>
    <t>SCG_SW_ETP_Gas_PA</t>
  </si>
  <si>
    <t>ET-SW-Gas Emerging Technologies Program-PA</t>
  </si>
  <si>
    <t>SCG3735</t>
  </si>
  <si>
    <t>FIN-On-Bill Financing</t>
  </si>
  <si>
    <t>SCG_SW_NC_NonRes_Ind_mixed_PA</t>
  </si>
  <si>
    <t>IND-SW-NonRes New Construction Program-PA</t>
  </si>
  <si>
    <t>SCG3912</t>
  </si>
  <si>
    <t>PUB-Regional Energy Pathways</t>
  </si>
  <si>
    <t>SCG3913</t>
  </si>
  <si>
    <t>PUB-REN Fiscal Management &amp; Coordination</t>
  </si>
  <si>
    <t>SCG_SW_IP_Gov_PA</t>
  </si>
  <si>
    <t>PUB-SW-Institutional Partnership-Government-PA</t>
  </si>
  <si>
    <t>SCG_SW_IP_Colleges_PA</t>
  </si>
  <si>
    <t>PUB-SW-Institutional Partnership-Colleges-PA</t>
  </si>
  <si>
    <t>SCG_SW_NC_NonRes_Pub_mixed_PA</t>
  </si>
  <si>
    <t>PUB-SW-NonRes New Construction Program-PA</t>
  </si>
  <si>
    <t>SCG_SW_WP_PA</t>
  </si>
  <si>
    <t>PUB-SW-Water/Wastewater Pumping Program-PA</t>
  </si>
  <si>
    <t>SCG3701</t>
  </si>
  <si>
    <t>RES-Energy Advisor Program</t>
  </si>
  <si>
    <t>SCG3702</t>
  </si>
  <si>
    <t>RES-Residential Energy Efficiency Program</t>
  </si>
  <si>
    <t>SCG3707</t>
  </si>
  <si>
    <t>RES-Residential New Construction Program</t>
  </si>
  <si>
    <t>SCG_SW_HVAC_QIQM_PA</t>
  </si>
  <si>
    <t>RES-SW-HVAC QI/QM Program-PA</t>
  </si>
  <si>
    <t>SCG_SW_NC_Res_mixed_PA</t>
  </si>
  <si>
    <t>RES-SW-New Construction Program-PA</t>
  </si>
  <si>
    <t>SCG_SW_NC_NonRes_Res_mixed_PA</t>
  </si>
  <si>
    <t>RES-SW-NonRes New Construction Program-PA</t>
  </si>
  <si>
    <t>SCG_SW_PLA_PA</t>
  </si>
  <si>
    <t>RES-SW-Plug Load and Appliance Program-PA</t>
  </si>
  <si>
    <t>SCG_SW_HVAC_Up_Res_PA</t>
  </si>
  <si>
    <t>RES-SW-HVAC Upstream Residential-PA</t>
  </si>
  <si>
    <t>SCG3729</t>
  </si>
  <si>
    <t>WE&amp;T-Integrated Energy Efficiency Training Program</t>
  </si>
  <si>
    <t>SCG_SW_WET_Work_PA</t>
  </si>
  <si>
    <t>WE&amp;T-SW-WE&amp;T Career and Workforce Readiness Program-PA</t>
  </si>
  <si>
    <t xml:space="preserve"> $-   </t>
  </si>
  <si>
    <t>SCG_SW_WET_CC_PA</t>
  </si>
  <si>
    <t>WE&amp;T-SW-WE&amp;T Career Connections Program-PA</t>
  </si>
  <si>
    <t>SCG3890</t>
  </si>
  <si>
    <t>AG-Agricultural Energy Efficiency Program</t>
  </si>
  <si>
    <t>SCG3901</t>
  </si>
  <si>
    <t>CC-Energy Program Outreach</t>
  </si>
  <si>
    <t>SCG3909</t>
  </si>
  <si>
    <t>CC-Nonresidential Energy Advisor (Program)</t>
  </si>
  <si>
    <t>SCG3887</t>
  </si>
  <si>
    <t>COM-Commercial-BEST (Resource Aquisition)</t>
  </si>
  <si>
    <t>SCG3834</t>
  </si>
  <si>
    <t>COM-LADWP Direct Install Program</t>
  </si>
  <si>
    <t>SCG3892</t>
  </si>
  <si>
    <t>COM-Large Commercial Energy Efficiency Program</t>
  </si>
  <si>
    <t>SCG3898</t>
  </si>
  <si>
    <t>COM-Nonresidential Behavioral Program</t>
  </si>
  <si>
    <t>SCG3891</t>
  </si>
  <si>
    <t>COM-Service RCx Large Commercial Program</t>
  </si>
  <si>
    <t>SCG3937</t>
  </si>
  <si>
    <r>
      <t>COM-Small and Medium Commercial EE Program (Equity)</t>
    </r>
    <r>
      <rPr>
        <vertAlign val="superscript"/>
        <sz val="11"/>
        <color rgb="FF0000FF"/>
        <rFont val="Calibri"/>
        <family val="2"/>
        <scheme val="minor"/>
      </rPr>
      <t>7</t>
    </r>
  </si>
  <si>
    <t>SCG3882</t>
  </si>
  <si>
    <t>COM-Small and Medium Commercial EE Program (Resource Aquisition)</t>
  </si>
  <si>
    <t>SCG3900</t>
  </si>
  <si>
    <t>IND-Industrial EE Solicitation</t>
  </si>
  <si>
    <t>SCG3899</t>
  </si>
  <si>
    <t>PUB-Large Pulic Sector EE Solicitation</t>
  </si>
  <si>
    <t>SCG3886</t>
  </si>
  <si>
    <t>PUB-Public Direct Install Program</t>
  </si>
  <si>
    <t>SCG3833</t>
  </si>
  <si>
    <t>RES-Burbank Water &amp; Power Home Upgrade Program</t>
  </si>
  <si>
    <t>SCG3861</t>
  </si>
  <si>
    <t>RES-Community Language Efficiency Outreach Program</t>
  </si>
  <si>
    <t>SCG3884</t>
  </si>
  <si>
    <t>RES-Comprehensive Mobile Home Program</t>
  </si>
  <si>
    <t>SCG3764</t>
  </si>
  <si>
    <t>WE&amp;T-Educational Outreach Program</t>
  </si>
  <si>
    <t>SCG3831</t>
  </si>
  <si>
    <t>RES-EE Kit Delivery Program</t>
  </si>
  <si>
    <t>SCG3829</t>
  </si>
  <si>
    <t>RES-Marketplace</t>
  </si>
  <si>
    <t>SCG3936</t>
  </si>
  <si>
    <t>RES-Multifamily Energy Alliance Program (Equity)</t>
  </si>
  <si>
    <t>SCG3889</t>
  </si>
  <si>
    <t>RES-Multifamily Energy Alliance Program (Resource Aquisition)</t>
  </si>
  <si>
    <t>SCG3888</t>
  </si>
  <si>
    <t>RES-Multifamily Space and Water Heating Controls Program</t>
  </si>
  <si>
    <t>SCG3705</t>
  </si>
  <si>
    <t>RES-Multifamily Whole Building Program (Equity)</t>
  </si>
  <si>
    <t>SCG3938</t>
  </si>
  <si>
    <t>RES-Multifamily Whole Building Program (Resource Aquisition)</t>
  </si>
  <si>
    <t>SCG3832</t>
  </si>
  <si>
    <t>RES-Pasadena Water &amp; Power Home Upgrade Program</t>
  </si>
  <si>
    <t>SCG3935</t>
  </si>
  <si>
    <t>RES-Residential Advanced Clean Energy Program (Equity)</t>
  </si>
  <si>
    <t>SCG3883</t>
  </si>
  <si>
    <t>RES-Residential Advanced Clean Energy Program (Resource Acquisition)</t>
  </si>
  <si>
    <t>SCG3824</t>
  </si>
  <si>
    <t>RES-Residential Behavioral Program</t>
  </si>
  <si>
    <t>SCG3885</t>
  </si>
  <si>
    <t>RES-Residential Mobile Home Program</t>
  </si>
  <si>
    <t>SCG3771</t>
  </si>
  <si>
    <t>SOL-IDEEA365 (new IDEEA365 solicitations)</t>
  </si>
  <si>
    <t>SCG3760</t>
  </si>
  <si>
    <t xml:space="preserve">WE&amp;T-HERS Rater Training Program </t>
  </si>
  <si>
    <t>SCG3830</t>
  </si>
  <si>
    <t>WE&amp;T-Retail Partner Training Program</t>
  </si>
  <si>
    <t>SCG_SW_NC_NonRes_Ag_mixed</t>
  </si>
  <si>
    <t>AG-SW-NonRes New Construction Program</t>
  </si>
  <si>
    <t>SCG_SW_CSA_Appl</t>
  </si>
  <si>
    <t>C&amp;S-SW-Appliance Standards Advocacy Program</t>
  </si>
  <si>
    <t>SCG_SW_CSA_Bldg</t>
  </si>
  <si>
    <t>C&amp;S-SW-Building Codes Advocacy Program</t>
  </si>
  <si>
    <t>SCG_SW_CSA_Natl</t>
  </si>
  <si>
    <t>C&amp;S-SW-Federal Codes Advocacy Program</t>
  </si>
  <si>
    <t>SCG_SW_MCWH</t>
  </si>
  <si>
    <t>COM-SW-Midstream Commercial Water Heating Program</t>
  </si>
  <si>
    <t>SCG_SW_NC_NonRes_Com_mixed</t>
  </si>
  <si>
    <t>COM-SW-NonRes New Construction Program</t>
  </si>
  <si>
    <t>SCG_SW_FS</t>
  </si>
  <si>
    <t>COM-SW-Point of Sale Food Service Program</t>
  </si>
  <si>
    <t>SCG_SW_HVAC_Up_Com</t>
  </si>
  <si>
    <t>COM-SW-HVAC Upstream Commercial</t>
  </si>
  <si>
    <t>SCG_SW_ETP_Gas</t>
  </si>
  <si>
    <t>ET-SW-Gas Emerging Technologies Program</t>
  </si>
  <si>
    <t>SCG_SW_NC_NonRes_Ind_mixed</t>
  </si>
  <si>
    <t>IND-SW-NonRes New Construction Program</t>
  </si>
  <si>
    <t>SCG_SW_IP_Gov</t>
  </si>
  <si>
    <t>PUB-SW-Institutional Partnership-Government</t>
  </si>
  <si>
    <t>SCG_SW_IP_Colleges</t>
  </si>
  <si>
    <t>PUB-SW-Institutional Partnership-Colleges</t>
  </si>
  <si>
    <t>SCG_SW_NC_NonRes_Pub_mixed</t>
  </si>
  <si>
    <t>PUB-SW-NonRes New Construction Program</t>
  </si>
  <si>
    <t>SCG_SW_WP</t>
  </si>
  <si>
    <t>PUB-SW-Water/Wastewater Pumping Program</t>
  </si>
  <si>
    <t>SCG_SW_HVAC_QIQM</t>
  </si>
  <si>
    <t>RES-SW-HVAC QI/QM Program</t>
  </si>
  <si>
    <t>SCG_SW_NC_Res_mixed</t>
  </si>
  <si>
    <t>RES-SW-New Construction Program</t>
  </si>
  <si>
    <t>SCG_SW_NC_NonRes_Res_mixed</t>
  </si>
  <si>
    <t>RES-SW-NonRes New Construction Program</t>
  </si>
  <si>
    <t>SCG_SW_PLA</t>
  </si>
  <si>
    <t>RES-SW-Plug Load and Appliance Program</t>
  </si>
  <si>
    <t>SCG_SW_HVAC_Up_Res</t>
  </si>
  <si>
    <t>RES-SW-HVAC Upstream Residential</t>
  </si>
  <si>
    <t>SCG_SW_WET_Work</t>
  </si>
  <si>
    <t>WE&amp;T-SW-WE&amp;T Career and Workforce Readiness Program</t>
  </si>
  <si>
    <t>SCG_SW_WET_CC</t>
  </si>
  <si>
    <t>WE&amp;T-SW-WE&amp;T Career Connections Program</t>
  </si>
  <si>
    <t xml:space="preserve">   -     </t>
  </si>
  <si>
    <t>SCG3714</t>
  </si>
  <si>
    <t>IND-Strategic Energy Management</t>
  </si>
  <si>
    <t>SCG3939</t>
  </si>
  <si>
    <t>COM-Strategic Energy Management</t>
  </si>
  <si>
    <t>SCG3940</t>
  </si>
  <si>
    <r>
      <t>COM-Commercial-BEST (Equity)</t>
    </r>
    <r>
      <rPr>
        <vertAlign val="superscript"/>
        <sz val="11"/>
        <color rgb="FF0000FF"/>
        <rFont val="Calibri"/>
        <family val="2"/>
        <scheme val="minor"/>
      </rPr>
      <t>7</t>
    </r>
  </si>
  <si>
    <t>SCG3941</t>
  </si>
  <si>
    <t>CC-Sustainability Studio</t>
  </si>
  <si>
    <t>Programs in 2021 ABAL filing but not in Application:</t>
  </si>
  <si>
    <t>SCG3706</t>
  </si>
  <si>
    <t>RES-Residential HVAC Upstream</t>
  </si>
  <si>
    <t>SCG3708</t>
  </si>
  <si>
    <t>COM-Energy Advisor</t>
  </si>
  <si>
    <t>SCG3710</t>
  </si>
  <si>
    <t>COM-Calculated Incentives</t>
  </si>
  <si>
    <t>SCG3711</t>
  </si>
  <si>
    <t>COM-Deemed Incentives</t>
  </si>
  <si>
    <t>SCG3713</t>
  </si>
  <si>
    <t>IND-Energy Advisor</t>
  </si>
  <si>
    <t>SCG3715</t>
  </si>
  <si>
    <t>IND-Calculated Incentives</t>
  </si>
  <si>
    <t>SCG3716</t>
  </si>
  <si>
    <t>IND-Deemed Incentives</t>
  </si>
  <si>
    <t>SCG3717</t>
  </si>
  <si>
    <t>AG-Energy Advisor</t>
  </si>
  <si>
    <t>SCG3719</t>
  </si>
  <si>
    <t>AG-Calculated Incentives</t>
  </si>
  <si>
    <t>SCG3720</t>
  </si>
  <si>
    <t>AG-Deemed Incentives</t>
  </si>
  <si>
    <t>SCG3721</t>
  </si>
  <si>
    <t>ET-SW-Technology Development Support</t>
  </si>
  <si>
    <t>SCG3722</t>
  </si>
  <si>
    <t>ET-SW-Technology Assessment Support</t>
  </si>
  <si>
    <t>SCG3723</t>
  </si>
  <si>
    <t>ET-SW-Technology Introduction Support</t>
  </si>
  <si>
    <t>SCG3726</t>
  </si>
  <si>
    <t>C&amp;S-Compliance Enhancement</t>
  </si>
  <si>
    <t>SCG3727</t>
  </si>
  <si>
    <t>C&amp;S-Reach Codes</t>
  </si>
  <si>
    <t>SCG3728</t>
  </si>
  <si>
    <t>C&amp;S-Planning Coordination</t>
  </si>
  <si>
    <t>SCG3730</t>
  </si>
  <si>
    <t>WE&amp;T-SW-Connections</t>
  </si>
  <si>
    <t>SCG3738</t>
  </si>
  <si>
    <t>PUB-SW-CA Department of Corrections Partnership</t>
  </si>
  <si>
    <t>SCG3739</t>
  </si>
  <si>
    <t>PUB-SW- California Community College Partnership</t>
  </si>
  <si>
    <t>SCG3740</t>
  </si>
  <si>
    <t>PUB-SW-UC/CSU/IOU Partnership</t>
  </si>
  <si>
    <t>SCG3741</t>
  </si>
  <si>
    <t>PUB-SW-State of CA/IOU Partnership</t>
  </si>
  <si>
    <t>SCG3742</t>
  </si>
  <si>
    <t>PUB-LA Co Partnership</t>
  </si>
  <si>
    <t>SCG3746</t>
  </si>
  <si>
    <t>PUB-Santa Barbara Co Partnership</t>
  </si>
  <si>
    <t>SCG3747</t>
  </si>
  <si>
    <t>PUB-South Bay Cities Partnership</t>
  </si>
  <si>
    <t>SCG3748</t>
  </si>
  <si>
    <t>PUB-San Luis Obispo Co Partnership</t>
  </si>
  <si>
    <t>SCG3749</t>
  </si>
  <si>
    <t>PUB-San Joaquin Valley Partnership</t>
  </si>
  <si>
    <t>SCG3750</t>
  </si>
  <si>
    <t>PUB-Orange County Cities Partnership</t>
  </si>
  <si>
    <t>SCG3754</t>
  </si>
  <si>
    <t>PUB-Ventura County Partnership</t>
  </si>
  <si>
    <t>SCG3755</t>
  </si>
  <si>
    <t>PUB-Energy Efficiency Pilots</t>
  </si>
  <si>
    <t>SCG3757</t>
  </si>
  <si>
    <t>IND-Small Industrial Facility Upgrades</t>
  </si>
  <si>
    <t>SCG3765</t>
  </si>
  <si>
    <t>RES-Manufactured Mobile Home</t>
  </si>
  <si>
    <t>SCG3773</t>
  </si>
  <si>
    <t>PUB-Public Sector Resource</t>
  </si>
  <si>
    <t>SCG3774</t>
  </si>
  <si>
    <t>PUB-LG Regional Resource</t>
  </si>
  <si>
    <t>SCG3776</t>
  </si>
  <si>
    <t>PUB-Gateway Cities Partnership</t>
  </si>
  <si>
    <t>SCG3777</t>
  </si>
  <si>
    <t>PUB-San Gabriel Valley COG Partnership</t>
  </si>
  <si>
    <t>SCG3779</t>
  </si>
  <si>
    <t>PUB-West Side Community Energy Partnership</t>
  </si>
  <si>
    <t>SCG3783</t>
  </si>
  <si>
    <t>PUB-Western Riverside Energy Partnership</t>
  </si>
  <si>
    <t>SCG3793</t>
  </si>
  <si>
    <t>COM-SW-Instant Rebates! Foodservice POS</t>
  </si>
  <si>
    <t>SCG3802</t>
  </si>
  <si>
    <t>PUB-San Bernardino Regional Energy Partnership</t>
  </si>
  <si>
    <t>SCG3809</t>
  </si>
  <si>
    <t>COM-AB793-CEMTL Program</t>
  </si>
  <si>
    <t>SCG3810</t>
  </si>
  <si>
    <t>RES-AB793-REMTS Program</t>
  </si>
  <si>
    <t>SCG3814</t>
  </si>
  <si>
    <t>COM-SW-Midstream Water Heating</t>
  </si>
  <si>
    <t>SCG3815</t>
  </si>
  <si>
    <t>PUB-Calculated Incentives</t>
  </si>
  <si>
    <t>SCG3816</t>
  </si>
  <si>
    <t>PUB-Deemed Incentives</t>
  </si>
  <si>
    <t>SCG3823</t>
  </si>
  <si>
    <t>RES-SW-HVAC QI/QM</t>
  </si>
  <si>
    <t>SCG3825</t>
  </si>
  <si>
    <t>COM-HVAC QI/QM</t>
  </si>
  <si>
    <t>SCG3835</t>
  </si>
  <si>
    <t>COM-Pasadena Direct Install</t>
  </si>
  <si>
    <t>SCG3836</t>
  </si>
  <si>
    <t>RES-LADWP HVAC</t>
  </si>
  <si>
    <t>SCG3843</t>
  </si>
  <si>
    <t>RES-SF Solicitation</t>
  </si>
  <si>
    <t>SCG3844</t>
  </si>
  <si>
    <t>RES-MF Solicitation</t>
  </si>
  <si>
    <t>SCG3845</t>
  </si>
  <si>
    <t>COM-Small/Medium Solicitaton</t>
  </si>
  <si>
    <t>SCG3846</t>
  </si>
  <si>
    <t>PUB-Small/Medium Solicitation</t>
  </si>
  <si>
    <t>SCG_SW_NC_NonRes</t>
  </si>
  <si>
    <t xml:space="preserve">COM-SW-New Construction </t>
  </si>
  <si>
    <t>SCG_SW_NC_Res_PA</t>
  </si>
  <si>
    <t xml:space="preserve">RES-SW-New Construction-PA </t>
  </si>
  <si>
    <t>SCG_SW_NC_NonRes_PA</t>
  </si>
  <si>
    <t xml:space="preserve">COM-SW-New Construction-PA </t>
  </si>
  <si>
    <t>SCG3865</t>
  </si>
  <si>
    <t>AG-Agricultural Solicitation</t>
  </si>
  <si>
    <t>SCG3866</t>
  </si>
  <si>
    <t>COM-Large Commercial Solicitation</t>
  </si>
  <si>
    <t>SCG3867</t>
  </si>
  <si>
    <t>RES-Manufactured Homes Solicitation</t>
  </si>
  <si>
    <t>SCG_SW_HVAC_Up</t>
  </si>
  <si>
    <t>Upstream HVAC (Commercial &amp; Residential)</t>
  </si>
  <si>
    <t>SCG_SW_HVAC_Up_PA</t>
  </si>
  <si>
    <t>Upstream HVAC-PA (Commercial &amp; Residential)</t>
  </si>
  <si>
    <t>Programs in 2022-23 BBAL filing but not in Application:</t>
  </si>
  <si>
    <t>RES-HVAC QI/QM</t>
  </si>
  <si>
    <t>RES-SW-New Construction-PA</t>
  </si>
  <si>
    <t>COM-SW-Upstream HVAC</t>
  </si>
  <si>
    <t>COM-SW-Upstream HVAC-PA</t>
  </si>
  <si>
    <t>PUB-California Community College Partnership</t>
  </si>
  <si>
    <t>PUB-UC/CSU/IOU Partnership</t>
  </si>
  <si>
    <t>PA PROGRAM TOTAL</t>
  </si>
  <si>
    <r>
      <t xml:space="preserve">EM&amp;V (PA &amp; ED Portions) Total </t>
    </r>
    <r>
      <rPr>
        <b/>
        <vertAlign val="superscript"/>
        <sz val="11"/>
        <rFont val="Calibri"/>
        <family val="2"/>
        <scheme val="minor"/>
      </rPr>
      <t>5</t>
    </r>
  </si>
  <si>
    <t>EM&amp;V - PA</t>
  </si>
  <si>
    <t>EM&amp;V - ED</t>
  </si>
  <si>
    <t>EM&amp;V TOTAL</t>
  </si>
  <si>
    <t>PA Program and EM&amp;V Total</t>
  </si>
  <si>
    <t>PA Spending Budget Request (PA Program and EM&amp;V)</t>
  </si>
  <si>
    <t xml:space="preserve">Financing Pilot Programs </t>
  </si>
  <si>
    <t>SCG3737</t>
  </si>
  <si>
    <t> </t>
  </si>
  <si>
    <t>FIN-SW-New Financing Offerings</t>
  </si>
  <si>
    <t>Financing Pilot Programs Total</t>
  </si>
  <si>
    <t>ME&amp;O &amp; ESA</t>
  </si>
  <si>
    <r>
      <t>ME&amp;O</t>
    </r>
    <r>
      <rPr>
        <vertAlign val="superscript"/>
        <sz val="11"/>
        <rFont val="Calibri"/>
        <family val="2"/>
        <scheme val="minor"/>
      </rPr>
      <t>1</t>
    </r>
  </si>
  <si>
    <t>ESA</t>
  </si>
  <si>
    <t>Notes: (PA to add as needed, e.g., relevant advice letter references, decision references and any other needed explanations.)</t>
  </si>
  <si>
    <t>1 ME&amp;O not applicable to SoCalGas</t>
  </si>
  <si>
    <t>2 2021 Authorized budgets are based on budget filings and do not reflect fundshifts</t>
  </si>
  <si>
    <t>3 Costs reflected are DSMBA costs.</t>
  </si>
  <si>
    <t>4 CPUC has not approved ESA budgets for 2027 and beyond</t>
  </si>
  <si>
    <t xml:space="preserve">5 EM&amp;V costs only includes IOU's Total EM&amp;V budget (PA + ED). </t>
  </si>
  <si>
    <t>6 PAs have the option of inputting by program or by total</t>
  </si>
  <si>
    <t>7 This cost effective program is categorized as Resource Acquisition, however it is primary purpose is to support HTR, underserved, and DAC customers.</t>
  </si>
  <si>
    <t>2028-2031</t>
  </si>
  <si>
    <t>Sector Name</t>
  </si>
  <si>
    <t>2023 Baseline Percentage Change</t>
  </si>
  <si>
    <t>2028 PA Spending Budget Request</t>
  </si>
  <si>
    <t>2029 PA Spending Budget Request</t>
  </si>
  <si>
    <t>2030 PA Spending Budget Request</t>
  </si>
  <si>
    <t>2031 PA Spending Budget Request</t>
  </si>
  <si>
    <t>C&amp;S</t>
  </si>
  <si>
    <t>EM&amp;V</t>
  </si>
  <si>
    <t>PA Spending Budget Request (PA Program and EM&amp;V Total)</t>
  </si>
  <si>
    <t>CEC AB 841 Program Budget--IOU PA only</t>
  </si>
  <si>
    <t>Applicable Annual % of difference between funding limitation &amp; 2020 EE ABAL budget 3</t>
  </si>
  <si>
    <t xml:space="preserve">IOU 2020 and Beyond Uncommitted and Unspent Carryover  Balance </t>
  </si>
  <si>
    <t>CEC AB 841 Total</t>
  </si>
  <si>
    <t>PA Spending Budget Request (PA Program and EM&amp;V + CEC AB 841)</t>
  </si>
  <si>
    <t>2 Excludes RENs</t>
  </si>
  <si>
    <t xml:space="preserve">Table 4.3– 2024 and Beyond Program Changes </t>
  </si>
  <si>
    <t>Table 4.3.1 - Programs to be closed with the disposition of 2024-2031 EE Application</t>
  </si>
  <si>
    <t>PA Justification</t>
  </si>
  <si>
    <t>Third Party Implementer or Core</t>
  </si>
  <si>
    <t>Statewide or Local</t>
  </si>
  <si>
    <t>Programs to be closed with the disposition of 2024-2031 EE Application</t>
  </si>
  <si>
    <t>% change</t>
  </si>
  <si>
    <t>2021 (Q3) Claimed TRC</t>
  </si>
  <si>
    <t>2022 Filed TRC</t>
  </si>
  <si>
    <t>2023 Filed TRC</t>
  </si>
  <si>
    <t>2024 Filed TSB</t>
  </si>
  <si>
    <t>2025 Filed TSB</t>
  </si>
  <si>
    <t>2021 Budget</t>
  </si>
  <si>
    <t>2022 Budget</t>
  </si>
  <si>
    <t>2023 Budget</t>
  </si>
  <si>
    <t>Year Program Started</t>
  </si>
  <si>
    <t>For existing third party implemented programs, MM/YY Program was due to sunset prior to PY 2024 and Beyond Application planning and new 3P contracting</t>
  </si>
  <si>
    <t>For existing third party implemented programs, MM/YY Program is extended to as a result of PY 2024 and Beyond Application planning and timing for new 3P contracts' ramp up</t>
  </si>
  <si>
    <t>Table 4.3.2 - Programs to be closed upon completion of commitments</t>
  </si>
  <si>
    <t>Programs to be Closed with the Disposition of 2024-2031 Application</t>
  </si>
  <si>
    <t>2020 Claimed TRC</t>
  </si>
  <si>
    <t>For existing third party implemented programs, MM/YY Program was due to sunset prior to PY 2024 and Beyond Application planning and new 3P contracts ramp up.</t>
  </si>
  <si>
    <t>Program closing upon completion of commitments due to launch of statewide residential new construction program.</t>
  </si>
  <si>
    <t>Core</t>
  </si>
  <si>
    <t>Local</t>
  </si>
  <si>
    <t>SCG3707: RES-Residential New Construction</t>
  </si>
  <si>
    <t>Program closing upon completion of commitments due to launch of statewide nonresidential new construction program.</t>
  </si>
  <si>
    <t>SCG3813: COM-Savings By Design</t>
  </si>
  <si>
    <t>Program closing upon completion of commitments due to launch of various local third-party programs for commercial, industrial, agriculture, and public sectors.</t>
  </si>
  <si>
    <t>SCG3910: CC-Nonresidential Calculated Incentives</t>
  </si>
  <si>
    <t>Table 4.3.3 - Programs with reduced budgets (&gt;40% budget decrease), to continue in 2024 and beyond</t>
  </si>
  <si>
    <t>PA justification</t>
  </si>
  <si>
    <t>Third party implementer or Core</t>
  </si>
  <si>
    <t>Statewide</t>
  </si>
  <si>
    <t>Programs with reduced budgets (&gt;40% budget decrease)</t>
  </si>
  <si>
    <t>2022 Filed TSB</t>
  </si>
  <si>
    <t>2023 Filed TSB</t>
  </si>
  <si>
    <t>Year program started</t>
  </si>
  <si>
    <t>For existing third party implemented programs, MM/YY Program is extended to as a result of PY 2024- and beyond planning and timing for new 3P contracts ramp up , or mark "NEW 3P" program if program is result of  3P solicitation process per D1801004.</t>
  </si>
  <si>
    <t>Table 4.3.4 - Programs with enhanced budgets (&gt;40% budget increase)</t>
  </si>
  <si>
    <t>Programs with enhanced budgets (&gt;40% budget increase)</t>
  </si>
  <si>
    <t>2023 Filed budget</t>
  </si>
  <si>
    <t>2024 Filed Budget</t>
  </si>
  <si>
    <t>2024 Filed TRC</t>
  </si>
  <si>
    <t>For existing third party implemented programs, MM/YY Program was due to sunset prior to PY 2024-2031 Application planning and new 3P contracting</t>
  </si>
  <si>
    <t>For existing third party implemented programs, MM/YY Program is extended to as a result of PY 2024-2031  Appliation planning and timing for new 3P contracts ramp up , or mark "NEW 3P" program if program is result of  3P solicitation process per D1801004.</t>
  </si>
  <si>
    <t>Ramp-up of statewide program</t>
  </si>
  <si>
    <t>Third-party</t>
  </si>
  <si>
    <t>SCG_SW_CSA_Appl: C&amp;S-SW-Appliance Standards Advocacy Program</t>
  </si>
  <si>
    <t>The inclusion of annual budgets does not imply or guarantee that the current third party's contract will be extended.</t>
  </si>
  <si>
    <t>SCG_SW_IP_Gov: PUB-SW-Institutional Partnerships - Government</t>
  </si>
  <si>
    <t>SCG_SW_NC_NonRes_Ind_mixed: IND-SW-New Construction - Nonresidential - Mixed Fuel
SCG_SW_NC_NonRes_Pub_mixed: PUB-SW-New Construction - Nonresidential - Mixed Fuel
SCG_SW_NC_NonRes_Res_mixed: RES-SW-New Construction - Nonresidential - Mixed Fuel</t>
  </si>
  <si>
    <t>247%
234%
243%</t>
  </si>
  <si>
    <t>$237,418
$56,578
$160,267</t>
  </si>
  <si>
    <t>$981,974
$184,193
$600,387</t>
  </si>
  <si>
    <t>1.58
1.31
1.41</t>
  </si>
  <si>
    <t>$586,724
$132,215
$388,692</t>
  </si>
  <si>
    <t>$1,696,654
$286,551
$991,058</t>
  </si>
  <si>
    <t>1.04
0.8
0.89</t>
  </si>
  <si>
    <t>Expansion of program based on sector and portfolio goals and explicit budget dedicated to equity classified customers.</t>
  </si>
  <si>
    <t>SCG3705: RES-Multifamily Whole Building Program (Equity)
SCG3938: RES-Multifamily Whole Building Program (Resource Aquisition)</t>
  </si>
  <si>
    <t>$5,301,395
$3,155,659</t>
  </si>
  <si>
    <t>$2,567,333
$2,150,346</t>
  </si>
  <si>
    <t>0.36
0.53</t>
  </si>
  <si>
    <t>Expansion of strategic energy management based on success of current program.</t>
  </si>
  <si>
    <t>SCG3714: IND-Strategic Energy Management</t>
  </si>
  <si>
    <t>Program budget includes incentives to allow customers to receive rebates when purchasing equipment.</t>
  </si>
  <si>
    <t>SCG3829: RES-Marketplace</t>
  </si>
  <si>
    <t>Expansion of budget to expand reach and program activities.</t>
  </si>
  <si>
    <t>SCG3830: WE&amp;T-Retail Partner Training Program</t>
  </si>
  <si>
    <t>Small expansion of program based on PA costs.</t>
  </si>
  <si>
    <t>SCG3834: COM-LADWP Direct Install Program</t>
  </si>
  <si>
    <t>Expansion of program based on sector and portfolio goals including installation of most-efficient equipment.</t>
  </si>
  <si>
    <t>SCG3861: RES-Community Language Efficiency Outreach Program</t>
  </si>
  <si>
    <t>SCG3882: COM-Small and Medium Commercial EE Program (Resource Aquisition)
SCG3937: COM-Small and Medium Commercial EE Program (Equity)</t>
  </si>
  <si>
    <t>$1,901,070
$2,269,158</t>
  </si>
  <si>
    <t>$1,672,504
$2,731,408</t>
  </si>
  <si>
    <t>0.89
1.24</t>
  </si>
  <si>
    <t>SCG3883: RES-Residential Advanced Clean Energy Program (Resource)
SCG3935: RES-Residential Advanced Clean Energy Program (Equity)</t>
  </si>
  <si>
    <t>$2,777,809
$3,325,745</t>
  </si>
  <si>
    <t>$1,567,518
$1,368,129</t>
  </si>
  <si>
    <t>0.58
0.43</t>
  </si>
  <si>
    <t>SCG3884: RES-Comprehensive Mobile Home Program</t>
  </si>
  <si>
    <t>SCG3885: RES-Residential Mobile Home Program</t>
  </si>
  <si>
    <t>SCG3887: COM-Commercial-BEST (Resource Aquisition)
SCG3940: COM-Commercial-BEST (Equity)</t>
  </si>
  <si>
    <t>$1,920,301
$2,917,863</t>
  </si>
  <si>
    <t>$3,135,075
$4,183,610</t>
  </si>
  <si>
    <t>1.42
1.47</t>
  </si>
  <si>
    <t>Small expansion of program based on sector and portfolio goals and PA costs.</t>
  </si>
  <si>
    <t>SCG3888: RES-Multifamily Space and Water Heating Controls Program</t>
  </si>
  <si>
    <t>SCG3889: RES-Multifamily Energy Alliance Program (Resource Aquisition)
SCG3936: RES-Multifamily Energy Alliance Program (Equity)</t>
  </si>
  <si>
    <t>$2,173,084
$2,173,076</t>
  </si>
  <si>
    <t>$1,229,530
$554,569</t>
  </si>
  <si>
    <t>0.45
0.2</t>
  </si>
  <si>
    <t>Table 4.3.5 - Programs that are new in 2024 and Beyond</t>
  </si>
  <si>
    <t>Programs that are new in 2024 or beyond</t>
  </si>
  <si>
    <t>Start year Filed TSB</t>
  </si>
  <si>
    <t>Start year Filed TRC</t>
  </si>
  <si>
    <t>Start Year Budget</t>
  </si>
  <si>
    <t>MM/YY program to start</t>
  </si>
  <si>
    <t>MM/YY Program is due to sunset; and flag as "NEW 3P" program if program is result of  3P solicitation process per D1801004</t>
  </si>
  <si>
    <t>SoCalGas is seeking to expand strategic energy management to the commercial sector to realize the benefits from the industrial strategic energy management programs.</t>
  </si>
  <si>
    <t>SCG3939: COM-Strategic Energy Management</t>
  </si>
  <si>
    <t>New 3P</t>
  </si>
  <si>
    <t>As SoCalGas’ Sustainability Mission in Aspire 2045 plan moves into implementation, the Sustainable Studio accelerates the interdisciplinary innovative solutions to create a sustainable and regenerative healthy build environment. SoCalGas’ portfolio lacks a program that explores integrated sustainable solutions, therefore the Sustainable Studio will be the catalyst to change SoCalGas’ program offerings. The Sustainable Studio’s ethos is to change the status quo of SoCalGas’ program offerings and to stop climate change and reduce GHG emissions, thus improving customer's wellness and health.</t>
  </si>
  <si>
    <t>SCG3941: CC-Sustainability Studio</t>
  </si>
  <si>
    <t>Table 4.3.6 - Programs with Third-Party Contracts that Sunset during 2024-2027</t>
  </si>
  <si>
    <t>Programs with Third-Party Contracts that Sunset in 2024-2027</t>
  </si>
  <si>
    <t>Third-Party Contracts that sunset during PY 2024-2027</t>
  </si>
  <si>
    <t>Contract Expiration Date</t>
  </si>
  <si>
    <t>Identify contract terms and/or limits on extensions</t>
  </si>
  <si>
    <t xml:space="preserve">Is third-party contract anticipateded to be renewed, recompeted, or unknown? </t>
  </si>
  <si>
    <t>Proposed target date to reopen solicitation for competition or new market opportunity</t>
  </si>
  <si>
    <t>AG-Agriculture Energy Efficiency Program</t>
  </si>
  <si>
    <t>Y</t>
  </si>
  <si>
    <t>None</t>
  </si>
  <si>
    <t>TBD</t>
  </si>
  <si>
    <t>SW</t>
  </si>
  <si>
    <t>COM-SW-Point of Sale Food Service</t>
  </si>
  <si>
    <t>COM-SW-Midstream Commercial Water Heating</t>
  </si>
  <si>
    <t>ET-SW-Emerging Technologies, Gas</t>
  </si>
  <si>
    <t>*Program list is based on executed contracts that have contract expirataion dates between 2024-2027 as of the filing date of this application.</t>
  </si>
  <si>
    <t>Table 5 - Committed Energy Efficiency Program Funding - Funds Not Yet Spent as of 9/31/2021</t>
  </si>
  <si>
    <t xml:space="preserve">Committed funds but not yet spent </t>
  </si>
  <si>
    <t>Electric Procurement Funds</t>
  </si>
  <si>
    <t>Category **</t>
  </si>
  <si>
    <t>2017 to date EM&amp;V Funds</t>
  </si>
  <si>
    <t>2017 to date Program Funds - Utility</t>
  </si>
  <si>
    <t>2017 to date Program Funds - REN</t>
  </si>
  <si>
    <t>2017 to date Program Funds - CCA</t>
  </si>
  <si>
    <t>2018 to date EM&amp;V Funds</t>
  </si>
  <si>
    <t>2018 to date Program Funds - Utility</t>
  </si>
  <si>
    <t>2018 to date Program Funds - REN</t>
  </si>
  <si>
    <t>2018 to date Program Funds - CCA</t>
  </si>
  <si>
    <t>2019 to date EM&amp;V Funds</t>
  </si>
  <si>
    <t>2019 to date Program Funds - Utility</t>
  </si>
  <si>
    <t>2019 to date Program Funds - REN</t>
  </si>
  <si>
    <t>2019 to date Program Funds - CCA</t>
  </si>
  <si>
    <t>2020 to date EM&amp;V Funds</t>
  </si>
  <si>
    <t>2020 to date Program Funds - Utility</t>
  </si>
  <si>
    <t>2020 to date Program Funds - REN</t>
  </si>
  <si>
    <t>2020 to date Program Funds - CCA</t>
  </si>
  <si>
    <t>2021 to date EM&amp;V Funds</t>
  </si>
  <si>
    <t>2021 to date Program Funds - Utility</t>
  </si>
  <si>
    <t>2021 to date Program Funds - REN</t>
  </si>
  <si>
    <t>2021 to date Program Funds - CCA</t>
  </si>
  <si>
    <t>** For Non-IOU PAs: complete on the EM&amp;V and REN/CCA; provide information to your IOU partner for the IOUs share of the commitment.</t>
  </si>
  <si>
    <t>Contract Options</t>
  </si>
  <si>
    <t>Extend/Renew</t>
  </si>
  <si>
    <t>Table 6 - Statewide Programs (Identifcal For All IOUs)</t>
  </si>
  <si>
    <t>Rebid</t>
  </si>
  <si>
    <t>(Col D)*(IOU 'Electric Proportional Share' from INPUT TABLE) +
[(1-Col D)*(IOU 'Gas Proportional Share' from INPUT TABLE)]</t>
  </si>
  <si>
    <t>Col D</t>
  </si>
  <si>
    <t>Col E</t>
  </si>
  <si>
    <t>Col F</t>
  </si>
  <si>
    <t>Col G</t>
  </si>
  <si>
    <t xml:space="preserve">Statewide Program* </t>
  </si>
  <si>
    <t>Program Segement</t>
  </si>
  <si>
    <t>Lead IOU</t>
  </si>
  <si>
    <t>2021 Program Contract Budget
(Total for all IOUs)**</t>
  </si>
  <si>
    <t>2022 Program Contract Budget
(Total for all IOUs)**</t>
  </si>
  <si>
    <t>2023 Program Contract Budget
(Total for all IOUs)**</t>
  </si>
  <si>
    <t>2024 Program Contract Budget
(Total for all IOUs)**</t>
  </si>
  <si>
    <t>2025 Program Contract Budget
(Total for all IOUs)**</t>
  </si>
  <si>
    <t>2026 Program Contract Budget
(Total for all IOUs)**</t>
  </si>
  <si>
    <t>2027 Program Contract Budget
(Total for all IOUs)**</t>
  </si>
  <si>
    <t>Expected or Actual Contract Execution Date
(MM/YYYY)***</t>
  </si>
  <si>
    <t>Expected Contract End Date (MM/YYYY)</t>
  </si>
  <si>
    <t>Expect to Extend/Renew, or Rebid contract? (a)</t>
  </si>
  <si>
    <t>Percent Electric</t>
  </si>
  <si>
    <r>
      <t>Combined (Electric &amp; Gas) Proportional Contribution to Contract Cost per Load-Share</t>
    </r>
    <r>
      <rPr>
        <sz val="11"/>
        <rFont val="Calibri"/>
        <family val="2"/>
        <scheme val="minor"/>
      </rPr>
      <t xml:space="preserve">
(Either as reflected in co-funding agreement, or expected in co-funding agreement. Funding share may be within +/-20% of Target per formula in row 1 above)</t>
    </r>
  </si>
  <si>
    <t>Total Contract Expenditures 2018-2021 **</t>
  </si>
  <si>
    <t>Total IOU Administrative Expenditures 2018-2021A</t>
  </si>
  <si>
    <r>
      <t>2022 IOU Administrative Budget</t>
    </r>
    <r>
      <rPr>
        <b/>
        <vertAlign val="superscript"/>
        <sz val="11"/>
        <rFont val="Calibri"/>
        <family val="2"/>
        <scheme val="minor"/>
      </rPr>
      <t>A</t>
    </r>
  </si>
  <si>
    <r>
      <t>2023 IOU Administrative Budget</t>
    </r>
    <r>
      <rPr>
        <b/>
        <vertAlign val="superscript"/>
        <sz val="11"/>
        <rFont val="Calibri"/>
        <family val="2"/>
        <scheme val="minor"/>
      </rPr>
      <t>A</t>
    </r>
  </si>
  <si>
    <r>
      <t>2024 IOU Administrative Budget</t>
    </r>
    <r>
      <rPr>
        <b/>
        <vertAlign val="superscript"/>
        <sz val="11"/>
        <rFont val="Calibri"/>
        <family val="2"/>
        <scheme val="minor"/>
      </rPr>
      <t>A</t>
    </r>
  </si>
  <si>
    <r>
      <t>2025 IOU Administrative Budget</t>
    </r>
    <r>
      <rPr>
        <b/>
        <vertAlign val="superscript"/>
        <sz val="11"/>
        <rFont val="Calibri"/>
        <family val="2"/>
        <scheme val="minor"/>
      </rPr>
      <t>A</t>
    </r>
  </si>
  <si>
    <r>
      <t>2026 IOU Administrative Budget</t>
    </r>
    <r>
      <rPr>
        <b/>
        <vertAlign val="superscript"/>
        <sz val="11"/>
        <rFont val="Calibri"/>
        <family val="2"/>
        <scheme val="minor"/>
      </rPr>
      <t>A</t>
    </r>
  </si>
  <si>
    <r>
      <t>2027 IOU Administrative Budget</t>
    </r>
    <r>
      <rPr>
        <b/>
        <vertAlign val="superscript"/>
        <sz val="11"/>
        <rFont val="Calibri"/>
        <family val="2"/>
        <scheme val="minor"/>
      </rPr>
      <t>A</t>
    </r>
  </si>
  <si>
    <t>WET Career and Workforce Readiness</t>
  </si>
  <si>
    <t>SW New Construction Res - All Electric</t>
  </si>
  <si>
    <t>SW New Construction Res - Mixed Fuel</t>
  </si>
  <si>
    <t>SW New Construction NonRes - All Electric</t>
  </si>
  <si>
    <t>SW New Construction NonRes - Mixed Fuel</t>
  </si>
  <si>
    <t>State Appliance Standards Advocacy</t>
  </si>
  <si>
    <t>State Building Codes Advocacy</t>
  </si>
  <si>
    <t>National Codes &amp; Standards Advocacy</t>
  </si>
  <si>
    <t>Institutional Partnerships: DGS &amp; DoC</t>
  </si>
  <si>
    <t>WET Career Connections</t>
  </si>
  <si>
    <t>Water/wastewater pumping</t>
  </si>
  <si>
    <t>Lighting (Upstream)</t>
  </si>
  <si>
    <t xml:space="preserve">  $-  </t>
  </si>
  <si>
    <t xml:space="preserve">  $                           - </t>
  </si>
  <si>
    <t>ETP, electric</t>
  </si>
  <si>
    <t>Institutional Partnerships, UC/CSU/CCC</t>
  </si>
  <si>
    <t>ETP, gas</t>
  </si>
  <si>
    <t>Food Service POS</t>
  </si>
  <si>
    <t>Midstream Comm Water Heating</t>
  </si>
  <si>
    <t>Res HVAC QI/QM</t>
  </si>
  <si>
    <t>Plug Load and Appliance</t>
  </si>
  <si>
    <t>Upstream HVAC (Comm + Res)</t>
  </si>
  <si>
    <t>Upstream HVAC Comm</t>
  </si>
  <si>
    <t xml:space="preserve"> $                                  -</t>
  </si>
  <si>
    <t xml:space="preserve"> $                               -</t>
  </si>
  <si>
    <t xml:space="preserve"> $                        -</t>
  </si>
  <si>
    <t xml:space="preserve"> $                           -</t>
  </si>
  <si>
    <t>Upstream HVAC Res</t>
  </si>
  <si>
    <t xml:space="preserve"> $                  -</t>
  </si>
  <si>
    <t>(a) Based upon performance of the program, Lead PA will determine whether to extend/renew, rebid or terminate contract</t>
  </si>
  <si>
    <t xml:space="preserve">*Modify rows as needed to reflect consolidation or division of a program category per solicitation approach or contracts. Ultimately there should be one line per executed 3P contract. </t>
  </si>
  <si>
    <t>**The contract budget  or signed contract amount for a given year accounts for the anticipated launch date of the program. Program contract budgets reflect third party implementation contract values and expenditures. Estimated values for year end 2021.</t>
  </si>
  <si>
    <t>^ Administrative budgets for statewide programs are IOU specific and are filed under separate program IDs. They include all non-contract program expenditures which cover coordination, support and management. Estimate for year end 2021.  This does not include any contract implementation cost.</t>
  </si>
  <si>
    <t>***Launch date assumes that the signed contracts filed via AL are approved by ED in 90-days, where applicable.</t>
  </si>
  <si>
    <t>BP Decision (D.18-05-041): OP 23. The 25 percent requirement for statewide funding articulated in D.16-08-019 shall be calculated as a proportion of the utility program administrator’s total portfolio budget, including evaluation, measurement, and verification funding, but excluding funding allocated to other program administrators for other (non-statewide) programs. The percentage requirement for statewide program funding for the Southern California Gas Company shall be reduced to 15 percent, but remain 25 percent for the other utility program administrators consistent with D.16-08-019.</t>
  </si>
  <si>
    <t>INPUT TABLE: DO NOT MODIFY</t>
  </si>
  <si>
    <t>IOU</t>
  </si>
  <si>
    <t>Percent PPP Electric</t>
  </si>
  <si>
    <t>Percent PPP Gas</t>
  </si>
  <si>
    <t>Electric Proportional Share</t>
  </si>
  <si>
    <t>Gas Proportional Share</t>
  </si>
  <si>
    <t>ADVICE LETTER 3268-E-A/2701-G-A</t>
  </si>
  <si>
    <t>(San Diego Gas &amp; Electric Company - U902 M)</t>
  </si>
  <si>
    <t>ADVICE LETTER 5346-G-A</t>
  </si>
  <si>
    <t>(Southern California Gas Company - U904 G)</t>
  </si>
  <si>
    <t>ADVICE LETTER 3861-E-A</t>
  </si>
  <si>
    <t>(Southern California Edison Company - U338 E)</t>
  </si>
  <si>
    <t>ADVICE LETTER 5373-E-A/4009-G-A</t>
  </si>
  <si>
    <t>(Pacific Gas &amp; Electric Company – U39 M)</t>
  </si>
  <si>
    <t xml:space="preserve">Table 7.1 - PA 2024-2031 Budget Savings By Segment </t>
  </si>
  <si>
    <t>Segment</t>
  </si>
  <si>
    <t>Requested Budget</t>
  </si>
  <si>
    <t>TSB</t>
  </si>
  <si>
    <t>TRC</t>
  </si>
  <si>
    <t>PAC</t>
  </si>
  <si>
    <t>kWh</t>
  </si>
  <si>
    <t>kW</t>
  </si>
  <si>
    <t>Therms</t>
  </si>
  <si>
    <t>First Year Net Elec CO2e</t>
  </si>
  <si>
    <t>TOTAL Portfolio</t>
  </si>
  <si>
    <t>8-Yr Total</t>
  </si>
  <si>
    <t>2024-2027 Total</t>
  </si>
  <si>
    <t xml:space="preserve">Table 7.2 - PA 2024-2031 Budget Savings By Sector </t>
  </si>
  <si>
    <t>Sector</t>
  </si>
  <si>
    <t xml:space="preserve">   -   </t>
  </si>
  <si>
    <t xml:space="preserve">  -  </t>
  </si>
  <si>
    <t>Codes &amp; Stds</t>
  </si>
  <si>
    <t xml:space="preserve"> - </t>
  </si>
  <si>
    <t>Table 7.3 - PA 2024-2031 Budget Savings By Sector and Segment</t>
  </si>
  <si>
    <t xml:space="preserve"> PY2024 FORECAST ENERGY SAVINGS (Net)</t>
  </si>
  <si>
    <t xml:space="preserve"> PY2025 FORECAST ENERGY SAVINGS (Net)</t>
  </si>
  <si>
    <t xml:space="preserve"> PY2026 FORECAST ENERGY SAVINGS (Net)</t>
  </si>
  <si>
    <t xml:space="preserve"> PY2027 FORECAST ENERGY SAVINGS (Net)</t>
  </si>
  <si>
    <t xml:space="preserve"> PY2028 FORECAST ENERGY SAVINGS (Net)</t>
  </si>
  <si>
    <t xml:space="preserve"> PY2029 FORECAST ENERGY SAVINGS (Net)</t>
  </si>
  <si>
    <t xml:space="preserve"> PY2030 FORECAST ENERGY SAVINGS (Net)</t>
  </si>
  <si>
    <t xml:space="preserve"> PY2031 FORECAST ENERGY SAVINGS (Net)</t>
  </si>
  <si>
    <t>Line</t>
  </si>
  <si>
    <t>Program Year (PY) 2024 Budget</t>
  </si>
  <si>
    <t>PA forecast kWh</t>
  </si>
  <si>
    <t>PA forecast kW</t>
  </si>
  <si>
    <t>PA forecast therms (MM)</t>
  </si>
  <si>
    <t>Program Year (PY) 2025 Budget</t>
  </si>
  <si>
    <t>Program Year (PY) 2026 Budget</t>
  </si>
  <si>
    <t>Program Year (PY) 2027 Budget</t>
  </si>
  <si>
    <t>Program Year (PY) 2028 Budget</t>
  </si>
  <si>
    <t>Program Year (PY) 2029 Budget</t>
  </si>
  <si>
    <t>Program Year (PY) 2030 Budget</t>
  </si>
  <si>
    <t>Program Year (PY) 2031 Budget</t>
  </si>
  <si>
    <t>Row Notes--Delete for Final Submittal</t>
  </si>
  <si>
    <t xml:space="preserve">DO NOT CHANGE ANYTHING ON THE TABLE TO ALLOW ED TO MATCH ALL ENTIRES ON </t>
  </si>
  <si>
    <t>THE TABLES ACROSS ALL PAs.</t>
  </si>
  <si>
    <t>PA Subtotal (does not include ESA budget and savings)</t>
  </si>
  <si>
    <t>Do not include ESA budget</t>
  </si>
  <si>
    <t>Forecasted Total System Benefit (TSB)</t>
  </si>
  <si>
    <t>Informational Only (D.21-05-031, p.53)</t>
  </si>
  <si>
    <t>Forecasted Total Resource Cost (TRC)</t>
  </si>
  <si>
    <t>We will also require the program administrators to show the TRC and program administrator cost (PAC) ratios for all segments of the portfolio, separately and combined, including separately showing the portfolio cost-effectiveness with and without the C&amp;S segment of the portfolio. The 1.0 TRC threshold requirement applies to the resource acquisition portion of the portfolio without consideration of Codes and Standards programs. Cost-effectiveness ratios shall also be calculated on only the resource acquisition portion of the portfolio, and must exceed 1.0 on a forecast basis.   (D.21-05-031, p.22 &amp; 53)</t>
  </si>
  <si>
    <t>Forecasted Portfolio Administrator Cost (PAC)</t>
  </si>
  <si>
    <t>Portfolio</t>
  </si>
  <si>
    <t>CPUC Savings Goal ( w/o C&amp;S)</t>
  </si>
  <si>
    <t>Forecast savings as % of CPUC Savings Goal (w/o C&amp;S)</t>
  </si>
  <si>
    <t>Total EM&amp;V 5</t>
  </si>
  <si>
    <t>This is 4% of PA PY Spending Budget Request  Row 9.</t>
  </si>
  <si>
    <t>8a</t>
  </si>
  <si>
    <t>PA EM&amp;V</t>
  </si>
  <si>
    <t>Pulls from Table 4, EM&amp;V - PA section</t>
  </si>
  <si>
    <t>8b</t>
  </si>
  <si>
    <t>ED EM&amp;V</t>
  </si>
  <si>
    <t>Forecasted Ratepayer Impact Measure (RIM)</t>
  </si>
  <si>
    <t>Codes and Standards</t>
  </si>
  <si>
    <r>
      <t>PA Spending Budget Request</t>
    </r>
    <r>
      <rPr>
        <b/>
        <vertAlign val="superscript"/>
        <sz val="11"/>
        <rFont val="Calibri"/>
        <family val="2"/>
        <scheme val="minor"/>
      </rPr>
      <t>1</t>
    </r>
  </si>
  <si>
    <t>Line 4 + Line 7 + Line 8</t>
  </si>
  <si>
    <r>
      <t>(LESS) PA Pre-2020 Uncommitted and Unspent Carryover  Balance</t>
    </r>
    <r>
      <rPr>
        <b/>
        <vertAlign val="superscript"/>
        <sz val="11"/>
        <rFont val="Calibri"/>
        <family val="2"/>
        <scheme val="minor"/>
      </rPr>
      <t>2</t>
    </r>
  </si>
  <si>
    <t>Applies only to pre-2020 uncommitted &amp; unspent funds consistent with D.21-01-004.</t>
  </si>
  <si>
    <t>PA Revenue Requirement Request (Cost Recovery) 3</t>
  </si>
  <si>
    <t>Line 9 - Line 10 + Line 12</t>
  </si>
  <si>
    <t>% of Equity and Market Support Program Budgets to PA Spending Budget Request (not to Exceed 30%)</t>
  </si>
  <si>
    <t>PA Authorized Budget Cap (D.18-05-041) - NOT APPLICABLE to THIS APPLICATION</t>
  </si>
  <si>
    <t>As approved by D.18-05-041 and requested in BP application.</t>
  </si>
  <si>
    <t>ONLY IOU COMPLETES THIS SECTION - For CCA &amp; RENS in IOU Service Territory Only</t>
  </si>
  <si>
    <t>For IOU use only.  CCAs and RENs should only be for the portion that belongs to that specific IOU. Information Source are RENs.</t>
  </si>
  <si>
    <t>REN  Budget Recovery Request</t>
  </si>
  <si>
    <t>Sum of all RENs.  If there are new RENS, they will be added to the list. All IOUs will report the same list.</t>
  </si>
  <si>
    <t>13a</t>
  </si>
  <si>
    <t xml:space="preserve">   BayREN  PY Budget Recovery Request  (excl. REN Uncommitted/Unspent Carryover)</t>
  </si>
  <si>
    <t>If not applicable put $0</t>
  </si>
  <si>
    <t>13b</t>
  </si>
  <si>
    <t xml:space="preserve">   SoCalREN  PY Budget Recovery Request  (excl. REN Uncommitted/Unspent Carryover)</t>
  </si>
  <si>
    <t>13c</t>
  </si>
  <si>
    <t xml:space="preserve">   3C-REN  PY Budget Recovery Request  (excl. REN Uncommitted/Unspent Carryover)</t>
  </si>
  <si>
    <t>13d</t>
  </si>
  <si>
    <t xml:space="preserve">   I-REN  PY Budget Recovery Request  (excl. REN Uncommitted/Unspent Carryover)</t>
  </si>
  <si>
    <t>13e</t>
  </si>
  <si>
    <t>CCA  Budget Recovery Request</t>
  </si>
  <si>
    <t>For IOU use only.  CCAs and RENs should only be for the portion that belongs to that specific IOU. Information Source are  CCAs.</t>
  </si>
  <si>
    <t>14a</t>
  </si>
  <si>
    <t xml:space="preserve">   MCE PY Budget Recovery Request  (excl. REN Uncommitted/Unspent Carryover)</t>
  </si>
  <si>
    <t>14b</t>
  </si>
  <si>
    <t xml:space="preserve">   Redwood Coast Energy Authority (excl. REN Uncommitted/Unspent Carryover)</t>
  </si>
  <si>
    <t>14c</t>
  </si>
  <si>
    <t xml:space="preserve">   San Jose Clean Energy (excl. REN Uncommitted/Unspent Carryover)</t>
  </si>
  <si>
    <t>14d</t>
  </si>
  <si>
    <t>14e</t>
  </si>
  <si>
    <t>Total PA  (IOU+CCAs+RENs ) Recovery Budget4</t>
  </si>
  <si>
    <t>Total amount to be requested in IOU's PPP advice letter for their programs, RENs and CCAs in their service territory, Line 15+ Line 21 + Line 22.  For RENS &amp; CCAs, this should equal line 15.</t>
  </si>
  <si>
    <t>1 This is the IOU's requested EE Portfolio budget.  This is the budget  by which the  Statewide Program compliance budget requirement of 25% will be measured.</t>
  </si>
  <si>
    <t xml:space="preserve">2 In recognition of the Proposed Decision for Energy Efficiency Actions to Enhance Summer 2022 and 2023 Electric Reliability, SoCalGas has input zero for its unspent and uncommitted funds carryover balance. SoCalGas intends to reserve its balance of unspent and uncommitted funds for 2022 and 2023 reliability program applications.e year in which the ABAL is filed. </t>
  </si>
  <si>
    <t>5 The amount of funds to be collected (cost recovery) for the PA EE Program Year = Line 9 - Line 10</t>
  </si>
  <si>
    <t>4 Total amount to be requested in IOU's PPP advice letter for their programs, RENs and CCAs in their service territory, Line 11+ Line 13 + Line 14</t>
  </si>
  <si>
    <t>5 For IOUs, EM&amp;V costs only includes IOU's Total EM&amp;V budget (PA + ED) and does not include REN or CCAs EM&amp;V budget.</t>
  </si>
  <si>
    <t xml:space="preserve">6 REN Budget Recovery Request is based on estimated Inter-IOU co-funding and such REN Budget Recovery Request amount will be finalized and updated in the true-up Advice Letter upon approval of REN's budget requests.   </t>
  </si>
  <si>
    <t>Table 8 - Caps &amp; Targets</t>
  </si>
  <si>
    <t>2024 Energy Efficiency Cap And Target Expenditure Projections</t>
  </si>
  <si>
    <t>2025 Energy Efficiency Cap And Target Expenditure Projections</t>
  </si>
  <si>
    <t>2026 Energy Efficiency Cap And Target Expenditure Projections</t>
  </si>
  <si>
    <t>2027 Energy Efficiency Cap And Target Expenditure Projections</t>
  </si>
  <si>
    <t>Expenditures</t>
  </si>
  <si>
    <t>Cap &amp; Target Performance</t>
  </si>
  <si>
    <t>Budget Category</t>
  </si>
  <si>
    <t>Total Portfolio</t>
  </si>
  <si>
    <r>
      <t xml:space="preserve">Percent of Budget </t>
    </r>
    <r>
      <rPr>
        <b/>
        <vertAlign val="superscript"/>
        <sz val="11"/>
        <rFont val="Calibri"/>
        <family val="2"/>
        <scheme val="minor"/>
      </rPr>
      <t>8</t>
    </r>
  </si>
  <si>
    <t>Cap %</t>
  </si>
  <si>
    <t>Target %</t>
  </si>
  <si>
    <t>Administrative Costs</t>
  </si>
  <si>
    <r>
      <t>PA</t>
    </r>
    <r>
      <rPr>
        <vertAlign val="superscript"/>
        <sz val="11"/>
        <rFont val="Calibri"/>
        <family val="2"/>
        <scheme val="minor"/>
      </rPr>
      <t xml:space="preserve"> 1</t>
    </r>
  </si>
  <si>
    <r>
      <t xml:space="preserve">Non-PA Third Party &amp; Partnership </t>
    </r>
    <r>
      <rPr>
        <vertAlign val="superscript"/>
        <sz val="11"/>
        <rFont val="Calibri"/>
        <family val="2"/>
        <scheme val="minor"/>
      </rPr>
      <t>2</t>
    </r>
  </si>
  <si>
    <r>
      <t xml:space="preserve">PA &amp; Non-PA Target Exempt Programs </t>
    </r>
    <r>
      <rPr>
        <vertAlign val="superscript"/>
        <sz val="11"/>
        <rFont val="Calibri"/>
        <family val="2"/>
        <scheme val="minor"/>
      </rPr>
      <t>3</t>
    </r>
  </si>
  <si>
    <r>
      <t>Marketing and Outreach Costs</t>
    </r>
    <r>
      <rPr>
        <b/>
        <vertAlign val="superscript"/>
        <sz val="11"/>
        <rFont val="Calibri"/>
        <family val="2"/>
        <scheme val="minor"/>
      </rPr>
      <t xml:space="preserve"> 4</t>
    </r>
  </si>
  <si>
    <t>Marketing &amp; Outreach</t>
  </si>
  <si>
    <r>
      <t xml:space="preserve">Statewide Marketing &amp; Outreach </t>
    </r>
    <r>
      <rPr>
        <vertAlign val="superscript"/>
        <sz val="11"/>
        <rFont val="Calibri"/>
        <family val="2"/>
        <scheme val="minor"/>
      </rPr>
      <t>5</t>
    </r>
  </si>
  <si>
    <t xml:space="preserve">Direct Implementation Costs </t>
  </si>
  <si>
    <r>
      <t>Direct Implementation Target Exempt Programs (Non Incentives and Non Rebates)</t>
    </r>
    <r>
      <rPr>
        <vertAlign val="superscript"/>
        <sz val="11"/>
        <rFont val="Calibri"/>
        <family val="2"/>
        <scheme val="minor"/>
      </rPr>
      <t xml:space="preserve"> 3</t>
    </r>
  </si>
  <si>
    <r>
      <t xml:space="preserve">EM&amp;V Costs (PA and Energy Division) </t>
    </r>
    <r>
      <rPr>
        <b/>
        <vertAlign val="superscript"/>
        <sz val="11"/>
        <rFont val="Calibri"/>
        <family val="2"/>
        <scheme val="minor"/>
      </rPr>
      <t>6,7</t>
    </r>
  </si>
  <si>
    <t>12a</t>
  </si>
  <si>
    <t>12b</t>
  </si>
  <si>
    <r>
      <t xml:space="preserve">Total Portfolio Budget (includes PA Program and EM&amp;V Budget + SW ME&amp;O) </t>
    </r>
    <r>
      <rPr>
        <b/>
        <vertAlign val="superscript"/>
        <sz val="11"/>
        <rFont val="Calibri"/>
        <family val="2"/>
        <scheme val="minor"/>
      </rPr>
      <t>8</t>
    </r>
  </si>
  <si>
    <r>
      <t xml:space="preserve">PA Spending Budget Request (PA Program and EM&amp;V) </t>
    </r>
    <r>
      <rPr>
        <b/>
        <vertAlign val="superscript"/>
        <sz val="11"/>
        <rFont val="Calibri"/>
        <family val="2"/>
        <scheme val="minor"/>
      </rPr>
      <t>9</t>
    </r>
  </si>
  <si>
    <r>
      <t xml:space="preserve">Total Third-Party Implementer Contracts + CEC AB 841 (as defined per D.16-08-019, OP 10) </t>
    </r>
    <r>
      <rPr>
        <b/>
        <vertAlign val="superscript"/>
        <sz val="11"/>
        <rFont val="Calibri"/>
        <family val="2"/>
        <scheme val="minor"/>
      </rPr>
      <t>10, 11</t>
    </r>
  </si>
  <si>
    <t>Administrative Costs with GRC Loaders 12</t>
  </si>
  <si>
    <t>PA with GRC Loaders</t>
  </si>
  <si>
    <t>PA Spending Budget Request with GRC Loaders</t>
  </si>
  <si>
    <t>1.  10% cap requirement based on D. 09-09-047 is set for IOU only.</t>
  </si>
  <si>
    <t>2.  New Third party program definition per D.16-08-019, OP 10. For Row 3 of this table, the "Third Party &amp; Partnership" administrative costs under the "Non-Third Party Qualifying Costs" column are costs for programs that met the old Third Party definition prior to the transition to the new third party definition.</t>
  </si>
  <si>
    <t>3.  Target Exempt Programs are Non-Resource Programs which include: Emerging Technologies, Workforce Education &amp; Training, Strategic Energy Resources (SER) program, 3P Placeholder for Public LGPs, and Codes &amp; Standards programs (excluding Building Codes Advocacy, Appliance Standards Advocacy and National Standards Advocacy).</t>
  </si>
  <si>
    <t>4.  Statewide Marketing &amp; Outreach (SW ME&amp;O) is excluded from the Marketing and Outreach cost target calculation per D.13-12-038, at p. 82.</t>
  </si>
  <si>
    <t>5.  Statewide ME&amp;O does not apply to SoCalGas' Application</t>
  </si>
  <si>
    <t>6.  For IOUs, EM&amp;V costs only includes IOU's Total EM&amp;V budget (PA + ED) and does not include REN or CCAs EM&amp;V budget. EM&amp;V budgets for RENs &amp; CCAs are reflected in their budgets.</t>
  </si>
  <si>
    <t xml:space="preserve">7.  The EM&amp;V percentage is based on PA's total portfolio budget, which excludes SWME&amp;O, RENs, CCAs and CEC AB 841.  </t>
  </si>
  <si>
    <t>8.  As directed in the Energy Efficiency Policy Manual Version 5 July 2013, page 92, this total includes SW ME&amp;O and excludes REN and CCA budgets and is the denominator used to calculate the IOU PA Admin, Marketing, and Direct Implementation Non-Incentives percentages.</t>
  </si>
  <si>
    <t>9.  SWME&amp;O is not applicable to SoCalGas</t>
  </si>
  <si>
    <t>10. IOU PA's percentage for Third-Party Implementer Contracts uses Line 14 as its denominator.</t>
  </si>
  <si>
    <t>11.  IOU's Third-Party Implementer Contracts (as defined per D.16-08-019, OP 10) includes third-party contract and incentive budgets and statewide qualifying contract and incentive budgets.</t>
  </si>
  <si>
    <t>12.  This subtable provides Administrative costs and percentages including GRC loaders, which are not part of this Application.</t>
  </si>
  <si>
    <t>FUNCTION DEFINITIONS</t>
  </si>
  <si>
    <t>Aggregated Category</t>
  </si>
  <si>
    <t>Definition</t>
  </si>
  <si>
    <t>Functional Category</t>
  </si>
  <si>
    <t>Detailed Definition</t>
  </si>
  <si>
    <t>Policy, Strategy, and Regulatory Reporting Compliance</t>
  </si>
  <si>
    <r>
      <t>Includes</t>
    </r>
    <r>
      <rPr>
        <b/>
        <sz val="11"/>
        <color rgb="FF000000"/>
        <rFont val="Calibri"/>
        <family val="2"/>
        <scheme val="minor"/>
      </rPr>
      <t xml:space="preserve"> p</t>
    </r>
    <r>
      <rPr>
        <sz val="11"/>
        <color rgb="FF000000"/>
        <rFont val="Calibri"/>
        <family val="2"/>
        <scheme val="minor"/>
      </rPr>
      <t>olicy, strategy, compliance, audits and regulatory support</t>
    </r>
  </si>
  <si>
    <t>Planning &amp; Compliance</t>
  </si>
  <si>
    <t>DSM Goal Planning; lead legislative review/positioning; policy support on reg proceedings; portfolio optimization; end use-market strategy; DSM lead for PRP, DRP, ES; locational targeting; audit support; SOX certifications; developing control plans; developing action plans; continuous monitoring; inspections; program/product QA/QC; decision compliance oversight/tracking; data requests; policies &amp; procedures</t>
  </si>
  <si>
    <t>Company Regulatory Support</t>
  </si>
  <si>
    <t>Case management for EE proceedings</t>
  </si>
  <si>
    <t>Program management</t>
  </si>
  <si>
    <t>Includes labor, contracts, admin costs for program design, program implementation, product and channel management for all sectors</t>
  </si>
  <si>
    <t>Program Management &amp; Delivery</t>
  </si>
  <si>
    <t>Market Segment &amp; Locational Resource programs; Business Core &amp; Finance Programs; Large Power DR Programs; Non-Res HVAC &amp; Technical Services; Program Integration &amp; Optimization; Residential EE &amp; DR  Programs (incl. Res HVAC QI); IQP &amp; Economic Assistance Programs; Mass Market DR Programs; Education &amp; Information Products &amp; Services; Energy Leader Partnerships; Institutional &amp; Federal Partnerships; REN Coordination; Strategic Plan Support; Energy/Water Program Mgt; Service Level Agreement Tracking</t>
  </si>
  <si>
    <t>Product Management</t>
  </si>
  <si>
    <t>Manage end-to-end new products and services (P&amp;S) intake, evaluation, and launch process; develop and facilitate  P&amp;S governance teams, coordination of all sub-process owners, stakeholders, and technical resources required to evaluate and launch new products; evaluate and launch new services and OOR opportunities; develop external partnerships &amp; strategic alliances; work with various companies and associations to help advance standards, products, and tech.; work with external experts to help reduce SCE costs to deliver new prog. and products; develop and launch new customer technologies, products, services for residential and business customers; conduct customer pilots of new technologies and programs; lead customer field demonstrations of new technologies and products; align new P&amp;S to savings programs/incentives; develop new programs/incentives in support of savings goals</t>
  </si>
  <si>
    <t>Channel Management</t>
  </si>
  <si>
    <t>Contract Management</t>
  </si>
  <si>
    <t>Budget forecasting, spend tracking, invoice processing, and contract management with vendors and suppliers; Regulatory support for ME&amp;O activities</t>
  </si>
  <si>
    <t>Engineering Services</t>
  </si>
  <si>
    <t>Includes engineering, project management, and contracts associated with workpaper development and pre/post sales project technical reviews and design assistance</t>
  </si>
  <si>
    <t>Custom project support</t>
  </si>
  <si>
    <t>Management of Emerging Products projects; Customized reviews; LCR/RFO support; Ex-ante review management; Technical policy support; Technical assessments; Workpapers; Tool development; End use subject matter expertise</t>
  </si>
  <si>
    <t>Deemed workpapers</t>
  </si>
  <si>
    <t>Project management</t>
  </si>
  <si>
    <t>Customer Application/Rebate and Incentive Processing</t>
  </si>
  <si>
    <t>Costs associated with application management and rebate and incentive processing (deemed and custom)</t>
  </si>
  <si>
    <t>Rebate &amp; Application Processing</t>
  </si>
  <si>
    <t>Inspections</t>
  </si>
  <si>
    <t>Costs associated with project inspections</t>
  </si>
  <si>
    <t>Portfolio Analytics</t>
  </si>
  <si>
    <t>Includes  analytics support, including internal performance reporting and external reporting</t>
  </si>
  <si>
    <t>Data analytics</t>
  </si>
  <si>
    <t>Data development for programs, products and services; Standard and ad hoc data extracts for internal and external clients ; Database management; CPUC, CAISO reporting; Data reconciliation; E3 support ; Compliance filing support; Funding Oversight; ESPI support; Program Results Data &amp; Performance</t>
  </si>
  <si>
    <t>EM&amp;V expenditures</t>
  </si>
  <si>
    <t>EM&amp;V Studies</t>
  </si>
  <si>
    <t>Program and product review; manage evaluation studies</t>
  </si>
  <si>
    <t>EM&amp;V Forecasting</t>
  </si>
  <si>
    <t>EE lead for LTPP and IEPR; market potential study; integration w/ procurement planning; CPUC Demand Analysis Working Group</t>
  </si>
  <si>
    <t>ME&amp;O</t>
  </si>
  <si>
    <t>Costs associated with utility EE marketing; no statewide; focus on outsourced portion</t>
  </si>
  <si>
    <t>Marketing</t>
  </si>
  <si>
    <t>Customer Programs, Products, and Services Marketing; Digital Product Development; Digital Content &amp; Optimization</t>
  </si>
  <si>
    <t>Customer insights</t>
  </si>
  <si>
    <t>Voice of the Customer; Customer satisfaction study measurement and  analysis (JD Power, SDS); Customer testing/research</t>
  </si>
  <si>
    <t>Account Management / Sales</t>
  </si>
  <si>
    <t>Costs associated with account rep energy efficiency sales functions</t>
  </si>
  <si>
    <t>Account Management</t>
  </si>
  <si>
    <t>IT</t>
  </si>
  <si>
    <t>IT project specific costs and regular O&amp;M</t>
  </si>
  <si>
    <t>IT - project specific</t>
  </si>
  <si>
    <t>Projects and minor enhancements.  Includes project management/business integration ("PMO/BID").  Excluded: maintenance (which SCE defines as when something goes down, normal batch processing, verifying interfaces, etc.).</t>
  </si>
  <si>
    <t>IT - regular O&amp;M</t>
  </si>
  <si>
    <t>Call Center</t>
  </si>
  <si>
    <t>Costs associated with call center staff fielding EE program questions</t>
  </si>
  <si>
    <t>Incentives</t>
  </si>
  <si>
    <t>Costs of rebate and incentive payments to customers</t>
  </si>
  <si>
    <t>PORTFOLIO SUMMARY</t>
  </si>
  <si>
    <t>2020 EE Portfolio Expenditures</t>
  </si>
  <si>
    <t>2024 EE Portfolio Budget</t>
  </si>
  <si>
    <t>2025 EE Portfolio Budget</t>
  </si>
  <si>
    <t>2026 EE Portfolio Budget</t>
  </si>
  <si>
    <t>2027 EE Portfolio Budget</t>
  </si>
  <si>
    <t>2020 EE Portfolio Savings</t>
  </si>
  <si>
    <t>2024 EE Portfolio Forecasted Savings</t>
  </si>
  <si>
    <t>2025 EE Portfolio Forecasted Savings</t>
  </si>
  <si>
    <t>2026 EE Portfolio Forecasted Savings</t>
  </si>
  <si>
    <t>2027 EE Portfolio Forecasted Savings</t>
  </si>
  <si>
    <t>Labor</t>
  </si>
  <si>
    <t>Non-Labor (excl. Incentives)</t>
  </si>
  <si>
    <t>KWH</t>
  </si>
  <si>
    <t>KW</t>
  </si>
  <si>
    <t>THERMS</t>
  </si>
  <si>
    <t>Cross Cutting*</t>
  </si>
  <si>
    <t>Total Sector Budget</t>
  </si>
  <si>
    <t>EM&amp;V-PA</t>
  </si>
  <si>
    <t>EM&amp;V-ED</t>
  </si>
  <si>
    <t>OBF - Loan Pool**</t>
  </si>
  <si>
    <t>* Cross Cutting Sector includes Codes &amp; Standards, Emerging Technologies, Workforce Education &amp; Training, and On-Bill Financing.</t>
  </si>
  <si>
    <t>** For SDG&amp;E and SoCalGas the loan pool is not part of the authorized EE portfolio budget and is collected and tracked through a separate balancing account.</t>
  </si>
  <si>
    <t>PORTFOLIO STAFFING</t>
  </si>
  <si>
    <t>Functional Group</t>
  </si>
  <si>
    <t xml:space="preserve">2020 EE Portfolio FTE </t>
  </si>
  <si>
    <t xml:space="preserve">2022 EE Portfolio FTE </t>
  </si>
  <si>
    <t xml:space="preserve">2023 EE Portfolio FTE </t>
  </si>
  <si>
    <t xml:space="preserve">2024 EE Portfolio FTE </t>
  </si>
  <si>
    <t xml:space="preserve">2025 EE Portfolio FTE </t>
  </si>
  <si>
    <t xml:space="preserve">2026 EE Portfolio FTE </t>
  </si>
  <si>
    <t xml:space="preserve">2027 EE Portfolio FTE </t>
  </si>
  <si>
    <t>Program Management</t>
  </si>
  <si>
    <t>Customer Application/Rebate/Incentive Processing</t>
  </si>
  <si>
    <t>Customer Project Inspections</t>
  </si>
  <si>
    <t>ME&amp;O (Local)</t>
  </si>
  <si>
    <t>FTE is equal to productive labor of 1677 hour per year.</t>
  </si>
  <si>
    <t>RESIDENTIAL BUDGET DETAIL</t>
  </si>
  <si>
    <t>Cost Element</t>
  </si>
  <si>
    <t>2022 EE Portfolio Budget</t>
  </si>
  <si>
    <t>2023 EE Portfolio Budget</t>
  </si>
  <si>
    <t>Labor(1)</t>
  </si>
  <si>
    <t>Engineering services</t>
  </si>
  <si>
    <t>Labor Total</t>
  </si>
  <si>
    <t>Non-Labor</t>
  </si>
  <si>
    <r>
      <t xml:space="preserve">Third-Party Implementer </t>
    </r>
    <r>
      <rPr>
        <sz val="11"/>
        <rFont val="Calibri"/>
        <family val="2"/>
        <scheme val="minor"/>
      </rPr>
      <t>(as defined per D.16-08-019, OP 10)</t>
    </r>
  </si>
  <si>
    <t>Local/Government Partnerships Contracts</t>
  </si>
  <si>
    <t>Other Contracts</t>
  </si>
  <si>
    <t xml:space="preserve">    Program Implementation</t>
  </si>
  <si>
    <t xml:space="preserve">    Policy, Strategy, and Regulatory Reporting Compliance</t>
  </si>
  <si>
    <t xml:space="preserve">    Program Management</t>
  </si>
  <si>
    <t xml:space="preserve">    Engineering services</t>
  </si>
  <si>
    <t xml:space="preserve">    Customer Application/Rebate/Incentive Processing</t>
  </si>
  <si>
    <t xml:space="preserve">    Customer Project Inspections</t>
  </si>
  <si>
    <t xml:space="preserve">    Portfolio Analytics</t>
  </si>
  <si>
    <t xml:space="preserve">    ME&amp;O (Local)</t>
  </si>
  <si>
    <t xml:space="preserve">    Account Management / Sales</t>
  </si>
  <si>
    <t xml:space="preserve">    IT</t>
  </si>
  <si>
    <t xml:space="preserve">    Call Center</t>
  </si>
  <si>
    <t>Facilities</t>
  </si>
  <si>
    <t>Incentives--(PA-implemented and Other Contracts Program Implementation) Programs</t>
  </si>
  <si>
    <t>Incentives--Third Party Program  (as defined per D.16-08-019, OP 10)</t>
  </si>
  <si>
    <t>Non-Labor Total</t>
  </si>
  <si>
    <t>Residential Total</t>
  </si>
  <si>
    <t>Other (collected through GRC) (2)</t>
  </si>
  <si>
    <t>Labor Overheads</t>
  </si>
  <si>
    <t>(1) Labor costs recovered via DSMBA.</t>
  </si>
  <si>
    <t>(2) These costs are collected through GRC D.19-09-051</t>
  </si>
  <si>
    <t>COMMERCIAL BUDGET DETAIL</t>
  </si>
  <si>
    <t xml:space="preserve">Local/Government Partnerships Contracts </t>
  </si>
  <si>
    <t>Commercial Total (5)</t>
  </si>
  <si>
    <t>INDUSTRIAL BUDGET DETAIL</t>
  </si>
  <si>
    <t>Industrial Total (5)</t>
  </si>
  <si>
    <t>AGRICULTURAL BUDGET DETAIL</t>
  </si>
  <si>
    <t>Agricultural Total (5)</t>
  </si>
  <si>
    <t>PUBLIC SECTOR BUDGET DETAIL</t>
  </si>
  <si>
    <t>Public Sector</t>
  </si>
  <si>
    <t>Public Sector Total (5)</t>
  </si>
  <si>
    <t>CROSS -CUTTING BUDGET DETAIL</t>
  </si>
  <si>
    <t>Cross-Cutting</t>
  </si>
  <si>
    <t>Cross-Cutting Total (5)</t>
  </si>
  <si>
    <t>BP Metrics</t>
  </si>
  <si>
    <t>Table 9: Metrics Compliance Filing</t>
  </si>
  <si>
    <t>Index</t>
  </si>
  <si>
    <t>PA</t>
  </si>
  <si>
    <t>AttA Page</t>
  </si>
  <si>
    <t>AttA Order</t>
  </si>
  <si>
    <t>Method Code</t>
  </si>
  <si>
    <t>Units of Measurement</t>
  </si>
  <si>
    <t>Metric Type</t>
  </si>
  <si>
    <t>Metric/
Indicator</t>
  </si>
  <si>
    <t>Business Plan Att A Description</t>
  </si>
  <si>
    <t>Metric</t>
  </si>
  <si>
    <t>[Previous] Baseline Year</t>
  </si>
  <si>
    <t>[Previous] Baseline Number</t>
  </si>
  <si>
    <t>[Previous] Baseline Num</t>
  </si>
  <si>
    <t>[Previous] Baseline Denom</t>
  </si>
  <si>
    <t>2017 Achievements</t>
  </si>
  <si>
    <t xml:space="preserve">2018 Achievements </t>
  </si>
  <si>
    <t xml:space="preserve">2019 Achievements </t>
  </si>
  <si>
    <t>Short Term Annual Targets (2018-2020)</t>
  </si>
  <si>
    <t>Mid Term Annual Targets
 (2021-2023)</t>
  </si>
  <si>
    <t>Long Term Annual Target 
(2024-2025)</t>
  </si>
  <si>
    <t>2020
 Basseline Year</t>
  </si>
  <si>
    <t>Baseline Numerator</t>
  </si>
  <si>
    <t>Baseline Denominator</t>
  </si>
  <si>
    <t>Target 2021- 2023 Cumulative</t>
  </si>
  <si>
    <t>Target 2024</t>
  </si>
  <si>
    <t xml:space="preserve"> Target 2025</t>
  </si>
  <si>
    <t xml:space="preserve"> Target 2026</t>
  </si>
  <si>
    <t xml:space="preserve"> Target 2027</t>
  </si>
  <si>
    <t>Methodology</t>
  </si>
  <si>
    <t>Key Definitions</t>
  </si>
  <si>
    <t xml:space="preserve">Proxy Explanation
</t>
  </si>
  <si>
    <t>A03</t>
  </si>
  <si>
    <t>PL1</t>
  </si>
  <si>
    <t>G</t>
  </si>
  <si>
    <t>MT CO2eq</t>
  </si>
  <si>
    <t>GHG</t>
  </si>
  <si>
    <t>RSF2-G - Greenhouse gasses (MT CO2eq) Net kWh savings, reported on an annual basis</t>
  </si>
  <si>
    <t xml:space="preserve">CO2-equivalent of net annual therm savings </t>
  </si>
  <si>
    <t xml:space="preserve">Portfolio Level (PL)– All Sectors </t>
  </si>
  <si>
    <t>Per CEDARS</t>
  </si>
  <si>
    <t>A02</t>
  </si>
  <si>
    <t>S1</t>
  </si>
  <si>
    <t>First year annual kW gross</t>
  </si>
  <si>
    <t>S1: Energy Savings</t>
  </si>
  <si>
    <t>PL1-S1- First year annual and lifecycle ex‐ante (pre‐evaluation) gas, electric, and demand savings (gross and net)</t>
  </si>
  <si>
    <t>First year annual kW net</t>
  </si>
  <si>
    <t>First year annual kWh gross</t>
  </si>
  <si>
    <t>First year annual kWh net</t>
  </si>
  <si>
    <t>First year annual Therm gross</t>
  </si>
  <si>
    <t>First year annual Therm net</t>
  </si>
  <si>
    <t>Lifecycle ex-ante kW gross</t>
  </si>
  <si>
    <t>Lifecycle ex-ante kW net</t>
  </si>
  <si>
    <t>Lifecycle ex-ante kWh gross</t>
  </si>
  <si>
    <t>Lifecycle ex-ante kWh net</t>
  </si>
  <si>
    <t>Lifecycle ex-ante Therm gross</t>
  </si>
  <si>
    <t>Lifecycle ex-ante Therm net</t>
  </si>
  <si>
    <t>PL2</t>
  </si>
  <si>
    <t>S3</t>
  </si>
  <si>
    <t>S3: DAC Savings</t>
  </si>
  <si>
    <t>PL2-S3- First year annual and lifecycle ex‐ante (pre‐evaluation) gas, electric, and demand savings (gross and net) in disadvantaged communities</t>
  </si>
  <si>
    <t>First year annual kW gross in Disadvantaged Communities</t>
  </si>
  <si>
    <t>First year annual kW net in Disadvantaged Communities</t>
  </si>
  <si>
    <t>First year annual kWh gross in Disadvantaged Communities</t>
  </si>
  <si>
    <t>First year annual kWh net in Disadvantaged Communities</t>
  </si>
  <si>
    <t>First year annual Therm gross in Disadvantaged Communities</t>
  </si>
  <si>
    <t>D.18-05-041: DAC = Bill accounts in census tracts corresponding to census tracts in the top quartile of CalEnviroScreen 3.0 scores.</t>
  </si>
  <si>
    <t>First year annual Therm net in Disadvantaged Communities</t>
  </si>
  <si>
    <t>Lifecycle ex-ante kW gross in Disadvantaged Communities</t>
  </si>
  <si>
    <t>Lifecycle ex-ante kW net in Disadvantaged Communities</t>
  </si>
  <si>
    <t>Lifecycle ex-ante kWh gross in Disadvantaged Communities</t>
  </si>
  <si>
    <t>Lifecycle ex-ante kWh net in Disadvantaged Communities</t>
  </si>
  <si>
    <t>Lifecycle ex-ante Therm gross in Disadvantaged Communities</t>
  </si>
  <si>
    <t>Lifecycle ex-ante Therm net in Disadvantaged Communities</t>
  </si>
  <si>
    <t>PL3</t>
  </si>
  <si>
    <t xml:space="preserve">S4 </t>
  </si>
  <si>
    <t>S4: Hard to reach markets</t>
  </si>
  <si>
    <t>PL3-S4 - First year annual and lifecycle ex‐ante (pre‐evaluation) gas, electric, and demand savings (gross and net) in hard‐to‐reach markets</t>
  </si>
  <si>
    <t>First year annual kW gross in Hard-to-Reach Markets</t>
  </si>
  <si>
    <t>First year annual kW net in Hard-to-Reach Markets</t>
  </si>
  <si>
    <t>First year annual kWh gross in Hard-to-Reach Markets</t>
  </si>
  <si>
    <t>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t>
  </si>
  <si>
    <t>PL4</t>
  </si>
  <si>
    <t>LC</t>
  </si>
  <si>
    <t>PAC Levelized Cost ($/kW)</t>
  </si>
  <si>
    <t>Cost per unit saved</t>
  </si>
  <si>
    <t>PL4-LC - Levelized cost of energy efficiency per kWh, therm and kW (use both TRC and PAC)</t>
  </si>
  <si>
    <t>PAC Levelized Cost ($/kWh)</t>
  </si>
  <si>
    <t>PAC Levelized Cost ($/therm)</t>
  </si>
  <si>
    <t>Dividing total PAC cost by Life Cylce tost</t>
  </si>
  <si>
    <t>TRC Levelized Cost ($/kW)</t>
  </si>
  <si>
    <t>TRC Levelized Cost ($/kWh)</t>
  </si>
  <si>
    <t>TRC Levelized Cost ($/therm)</t>
  </si>
  <si>
    <t>Dividing total TRC cost by Life Cylce tost</t>
  </si>
  <si>
    <t>RSF1</t>
  </si>
  <si>
    <t>RSF1-S1-First year annual and lifecycle ex‐ante (pre‐evaluation) gas, electric, and demand savings (gross and net) for Single Family Customers</t>
  </si>
  <si>
    <t>Residential (RSF)</t>
  </si>
  <si>
    <t>RSF2</t>
  </si>
  <si>
    <t>RSF2-GGreenhouse gasses (MT CO2eq) Net therm savings, reported on an annual basis</t>
  </si>
  <si>
    <t>CO2-equivalent of net annual therm savings</t>
  </si>
  <si>
    <t>Definition: Single family are defined as bill account on GR rates, with dwelling code of single family home or single family dwelling.</t>
  </si>
  <si>
    <t>RSF3</t>
  </si>
  <si>
    <t>D1-D</t>
  </si>
  <si>
    <t>Lifecycle NET kW</t>
  </si>
  <si>
    <t>D1: Depth of interventions Per downstream participant</t>
  </si>
  <si>
    <t>RSF3-D1D - Average savings per participant in both opt‐in and opt‐out programs (broken down by downstream, midstream and upstream, as feasible)</t>
  </si>
  <si>
    <t>Average lifecycle ex-ante kW net savings per participant - Opt-in - Downstream</t>
  </si>
  <si>
    <t>Lifecycle NET kWh</t>
  </si>
  <si>
    <t>Average lifecycle ex-ante kWh net savings per participant - Opt-in - Downstream</t>
  </si>
  <si>
    <t>Lifecycle NET Therms</t>
  </si>
  <si>
    <t>Average lifecycle ex-ante Therm net savings per participant - Opt-in - Downstream</t>
  </si>
  <si>
    <t xml:space="preserve">D1D: Downstream methodology- Numerator: Total downstream savings claimedDenominator: Total number of downstream participants </t>
  </si>
  <si>
    <t xml:space="preserve">Per ED: “Energy savings” = lifecycle NET savings. </t>
  </si>
  <si>
    <t>D1-M</t>
  </si>
  <si>
    <t>D1: Depth of interventions Per midstream participant</t>
  </si>
  <si>
    <t>RSF3-D1M - Average savings per participant in both opt‐in and opt‐out programs (broken down by downstream, midstream and upstream, as feasible)</t>
  </si>
  <si>
    <t>Average lifecycle ex-ante kW net savings per participant - Opt-in - Midstream</t>
  </si>
  <si>
    <t>Average lifecycle ex-ante kWh net savings per participant - Opt-in - Midstream</t>
  </si>
  <si>
    <t>Average lifecycle ex-ante Therm net savings per participant - Opt-in - Midstream</t>
  </si>
  <si>
    <t>D1M: Midstream methodology – Numerator: Total midstream savings claimed Denominator: number of midstream equipment rebated * Single family participation rate for PLA</t>
  </si>
  <si>
    <t>Per ED: “Energy savings” = lifecycle NET savings.</t>
  </si>
  <si>
    <t>D1-O</t>
  </si>
  <si>
    <t>D1: Depth of interventions Per opt out participant</t>
  </si>
  <si>
    <t>RSF3-D1O - Average savings per participant in both opt‐in and opt‐out programs (broken down by downstream, midstream and upstream, as feasible)</t>
  </si>
  <si>
    <t>Average lifecycle ex-ante kW net savings per participant - Opt-out</t>
  </si>
  <si>
    <t>Average lifecycle ex-ante kWh net savings per participant - Opt-out</t>
  </si>
  <si>
    <t>Average lifecycle ex-ante Therm net savings per participant - Opt-out</t>
  </si>
  <si>
    <t>D1O Methodology: Only ex post savings can be claimed. Per participant savings will be calculated in the EM&amp;V study.</t>
  </si>
  <si>
    <t>D1O Key Definitions: 1) The only opt-out program is the Home Energy Report using social norming through neighborhood comparisons 2) Per ED: “Energy savings” = lifecycle NET savings.</t>
  </si>
  <si>
    <t>D1-U</t>
  </si>
  <si>
    <t>D1: Depth of interventions Per upstream participant</t>
  </si>
  <si>
    <t>RSF3-D1U- Average savings per participant in both opt‐in and opt‐out programs (broken down by downstream, midstream and upstream, as feasible)</t>
  </si>
  <si>
    <t>Average lifecycle ex-ante kW net savings per participant - Opt-in - Upstream</t>
  </si>
  <si>
    <t>Average lifecycle ex-ante kWh net savings per participant - Opt-in - Upstream</t>
  </si>
  <si>
    <t>Average lifecycle ex-ante Therm net savings per participant - Opt-in - Upstream</t>
  </si>
  <si>
    <t>D1M: Upstream methodology – Numerator: Total upstream savings claimed Denominator: number of upstream equipment rebated * Single family participation rate for PLA</t>
  </si>
  <si>
    <t>RSF4</t>
  </si>
  <si>
    <t>P1</t>
  </si>
  <si>
    <t>Percent</t>
  </si>
  <si>
    <t>P1: Penetration of energy efficiency programs in the eligible market Percent of Participation</t>
  </si>
  <si>
    <t>RSF-P1Percent of participation relative to eligible population</t>
  </si>
  <si>
    <t>Percent of participation relative to eligible population</t>
  </si>
  <si>
    <t>P1 Methodology: Numerator: Number of downstream participants) Denominator: total number of service accounts in the sector</t>
  </si>
  <si>
    <t>Definition: "Eligible population" refers to Total number of service accounts in sector/segment, excluding CARE. "Participation" is defined as the first instance of participation, should a customer participate more than once or participate in multiple programs in the calendar year. PAs also need to have enough information about a customer to determine if the customer is in the eligible population and service territory.</t>
  </si>
  <si>
    <t>P3</t>
  </si>
  <si>
    <t>P3: Penetration of energy efficiency programs in the eligible market - DAC</t>
  </si>
  <si>
    <t>RSF-P3 - Percent of participation in disadvantaged communities</t>
  </si>
  <si>
    <t>Percent of participation in disadvantaged communities</t>
  </si>
  <si>
    <t>Numerator: Number of participants in disadvantaged communities.Denominator: Total number of customers in disadvantaged communities.</t>
  </si>
  <si>
    <t>P4</t>
  </si>
  <si>
    <t>P4: Penetration of energy efficiency programs in the HTR market</t>
  </si>
  <si>
    <t>RSF-P4 - Percent of participation by customers defined as “hard‐to‐reach”</t>
  </si>
  <si>
    <t>Percent of participation by customers defined as “hard‐to‐reach”</t>
  </si>
  <si>
    <t>P4 Methodology:Numerator: number of participants in HTR geographic areaDenominator: Total number of service accounts in HTR geographic area</t>
  </si>
  <si>
    <t>RSF5</t>
  </si>
  <si>
    <t>RSF-LC -  Levelized cost of energy efficiency per kWh, therm and kW (use both TRC and PAC)</t>
  </si>
  <si>
    <t>RSF6i</t>
  </si>
  <si>
    <t>EI1</t>
  </si>
  <si>
    <t>Kbtu/Sqft</t>
  </si>
  <si>
    <t>Energy intensity per SF household</t>
  </si>
  <si>
    <t>Indicator</t>
  </si>
  <si>
    <t>RSF-EI1(Indicator) - Average energy use intensity of single family homes (average usage per household – not adjusted)</t>
  </si>
  <si>
    <t>Average first year annual kWh gross per household</t>
  </si>
  <si>
    <t>N/A - Indicator</t>
  </si>
  <si>
    <t>Not Available</t>
  </si>
  <si>
    <t xml:space="preserve">Numerator: Total energy used in sectorDenominator:  number of service accounts </t>
  </si>
  <si>
    <t>Definition: Household refers to a service account</t>
  </si>
  <si>
    <t>RMF1</t>
  </si>
  <si>
    <t>S1-IU</t>
  </si>
  <si>
    <t>RMF-S1-First year annual and lifecycle ex‐ante (pre‐evaluation) gas, electric, and demand savings (gross and net) for multifamily customers (in‐unit, common area, and master metered accounts)</t>
  </si>
  <si>
    <t>First year annual kW gross - In Unit</t>
  </si>
  <si>
    <t>Residential Sector – Multi-family (RMF)</t>
  </si>
  <si>
    <t>First year annual kW net - In Unit</t>
  </si>
  <si>
    <t>First year annual kWh gross - In Unit</t>
  </si>
  <si>
    <t>First year annual kWh net - In Unit</t>
  </si>
  <si>
    <t>First year annual Therm gross - In Unit</t>
  </si>
  <si>
    <t>Savings calculated using CET.</t>
  </si>
  <si>
    <t>A multi-family unit. Designated by a unique billing account under rate GR and location code (LC_CD) = B, C, D (&gt;= 2 units)</t>
  </si>
  <si>
    <t>First year annual Therm net - In Unit</t>
  </si>
  <si>
    <t>Lifecycle ex-ante kW gross - In Unit</t>
  </si>
  <si>
    <t>Lifecycle ex-ante kW net - In Unit</t>
  </si>
  <si>
    <t>Lifecycle ex-ante kWh gross - In Unit</t>
  </si>
  <si>
    <t>Lifecycle ex-ante kWh net - In Unit</t>
  </si>
  <si>
    <t>Lifecycle ex-ante Therm gross - In Unit</t>
  </si>
  <si>
    <t>Lifecycle ex-ante Therm net - In Unit</t>
  </si>
  <si>
    <t>S1-MM</t>
  </si>
  <si>
    <t>First year annual kW gross - Master Metereed</t>
  </si>
  <si>
    <t>First year annual kW net - Master Metered</t>
  </si>
  <si>
    <t>First year annual kWh gross - Master Metered</t>
  </si>
  <si>
    <t>First year annual kWh net - Master Metered</t>
  </si>
  <si>
    <t>First year annual Therm gross - Master Metered</t>
  </si>
  <si>
    <t>AL 3826. Natural gas procurement for MF accomodations supply Baseline uses through one meter. Such as service will be billed under rates designated for GM-E, GM-BE or GM-BEC, as appropriate.</t>
  </si>
  <si>
    <t>First year annual Therm net - Master Metered</t>
  </si>
  <si>
    <t>Lifecycle ex-ante kW gross - Master Metered</t>
  </si>
  <si>
    <t>Lifecycle ex-ante kW net - Master Metered</t>
  </si>
  <si>
    <t>Lifecycle ex-ante kWh gross - Master Metered</t>
  </si>
  <si>
    <t>Lifecycle ex-ante kWh net - Master Metered</t>
  </si>
  <si>
    <t>Lifecycle ex-ante Therm gross - Master Metered</t>
  </si>
  <si>
    <t>Lifecycle ex-ante Therm net - Master Metered</t>
  </si>
  <si>
    <t>SI-CA</t>
  </si>
  <si>
    <t>First year annual kW gross - Common Area</t>
  </si>
  <si>
    <t>First year annual kW net - Common Area</t>
  </si>
  <si>
    <t>First year annual kWh gross - Common Area</t>
  </si>
  <si>
    <t>First year annual kWh net - Common Area</t>
  </si>
  <si>
    <t>First year annual Therm gross - Common Area</t>
  </si>
  <si>
    <t>AL 3826. Natural gas supplied through a single meter to common facilities only, will be billed under rates GM-C, GM-BC or GM-BCC, as appropriate.</t>
  </si>
  <si>
    <t>First year annual Therm net - Common Area</t>
  </si>
  <si>
    <t>Lifecycle ex-ante kW gross - Common Area</t>
  </si>
  <si>
    <t>Lifecycle ex-ante kW net - Common Area</t>
  </si>
  <si>
    <t>Lifecycle ex-ante kWh gross - Common Area</t>
  </si>
  <si>
    <t>Lifecycle ex-ante kWh net - Common Area</t>
  </si>
  <si>
    <t>Lifecycle ex-ante Therm gross - Common Area</t>
  </si>
  <si>
    <t>Lifecycle ex-ante Therm net - Common Area</t>
  </si>
  <si>
    <t>RMF2</t>
  </si>
  <si>
    <t>RMF-G Greenhouse gasses (MT CO2eq) Net therm savings, reported on an annual basis</t>
  </si>
  <si>
    <t>Definition: Multi-family refers to any buliding or property with at least two residential housing units.</t>
  </si>
  <si>
    <t>A04</t>
  </si>
  <si>
    <t>RMF3</t>
  </si>
  <si>
    <t>D3a</t>
  </si>
  <si>
    <t>D3: Depth of interventions per building</t>
  </si>
  <si>
    <t>RMF-D3 - Energy savings (kWh, kw, therms) per project (building)</t>
  </si>
  <si>
    <t>Lifecycle ex-ante kW net per project (building)</t>
  </si>
  <si>
    <t>Lifecycle ex-ante kWh net per project (building)</t>
  </si>
  <si>
    <t>Lifecycle ex-ante Therm net per project (building)</t>
  </si>
  <si>
    <t>D3 Methodology:Numerator: Total Savings claimed for MF building retrofitsDenominator: Number of buildings that have been retrofitted, per application (assumed 7.4 units per building (CALMAC http://www.calmac.org/publications/MFEER_Process_Evaluation_FINAL_130415.pdf))</t>
  </si>
  <si>
    <t>D3 Key Definitions: Project applications are made at the property level (premise ID and service account number) not the building level; building information will be used as is available on project applications“Energy savings” = Lifecycle NET savings</t>
  </si>
  <si>
    <t>D4</t>
  </si>
  <si>
    <t>D4: Depth of interventions per property</t>
  </si>
  <si>
    <t>RMF-D4 - Average savings per participant Savings per project (property)</t>
  </si>
  <si>
    <t>Lifecycle ex-ante kW net per project (property)</t>
  </si>
  <si>
    <t>Lifecycle ex-ante kWh net per project (property)</t>
  </si>
  <si>
    <t>Lifecycle ex-ante Therm net per project (property)</t>
  </si>
  <si>
    <t>D4 Methodology:Numerator - Total downstream savings Denominator - number of participating properties (i.e., premise ID x service account}</t>
  </si>
  <si>
    <t>D4 Definition: “Project (property)” is defined by a unique project ID. “Energy savings” = Lifecycle NET savings</t>
  </si>
  <si>
    <t>D5</t>
  </si>
  <si>
    <t>D5: Depth of interventions Per square foot</t>
  </si>
  <si>
    <t>RMF-D5 Energy savings (kWh, kw, therms) per square foot</t>
  </si>
  <si>
    <t>Lifecycle ex-ante kW net per square foot</t>
  </si>
  <si>
    <t>Lifecycle ex-ante kWh net per square foot</t>
  </si>
  <si>
    <t>Lifecycle ex-ante Therm net per square foot</t>
  </si>
  <si>
    <t>D5 Methodology: [Numerator] Total downstream savings [Denominator] Total MF square foot per Assessor data</t>
  </si>
  <si>
    <t>RMF4</t>
  </si>
  <si>
    <t>P1-P</t>
  </si>
  <si>
    <t>RMF-P1P Percent of participation relative to eligible population (by unit, and property)</t>
  </si>
  <si>
    <t>Percent of participation relative to eligible population by property</t>
  </si>
  <si>
    <t xml:space="preserve">P1 Methodology: Numerator: Number of downstream participating properties (unique project ID) Denominator: total number of properties (unique service account) in the sector. </t>
  </si>
  <si>
    <t>Participation is defined as the first instance of participation, should a customer participate more than once or participate in multiple programs in the calendar year. PAs also need to have enough information about a customer to determine if the customer is in the eligible population and service territory.</t>
  </si>
  <si>
    <t>P1-U</t>
  </si>
  <si>
    <t>RMF-P1U Percent of participation relative to eligible population (by unit, and property)</t>
  </si>
  <si>
    <t>Percent of participation relative to eligible population by unit</t>
  </si>
  <si>
    <t xml:space="preserve">P1 Methodology:  Numerator: Number of downstream participating MF units (unique service account = "unit") Denominator: total number of units (service accounts) in the sector. </t>
  </si>
  <si>
    <t>P2</t>
  </si>
  <si>
    <t>P2: Penetration of energy efficiency programs in terms of square feet of eligible population</t>
  </si>
  <si>
    <t>RMF-P2 - Percent of square feet of eligible population participating (by property)</t>
  </si>
  <si>
    <t xml:space="preserve"> Percent of square feet of eligible population participating (by property)</t>
  </si>
  <si>
    <t>P2 Methodology: Numerator: # service accounts participating X average sqft/service account)Denominator: Square footage of all eligible accounts (per Assessor)</t>
  </si>
  <si>
    <t>P3: DAC</t>
  </si>
  <si>
    <t>RMF-P3 - Percent of participation in disadvantaged communities</t>
  </si>
  <si>
    <t>Numerator: Number of participants (service accounts) in disadvantaged communities.Denominator: Total number of customers (service accounts) in disadvantaged communities.</t>
  </si>
  <si>
    <t>D.18-05-041: DAC = Bill accounts in census tract corresponding to the top quartile of CalEnviroScreen 3.0 scores.</t>
  </si>
  <si>
    <t>P4: HTR</t>
  </si>
  <si>
    <t>RMF-P4 Percent of participation by customers defined as “hard‐to‐reach”</t>
  </si>
  <si>
    <t xml:space="preserve"> Percent of participation by customers defined as “hard‐to‐reach”</t>
  </si>
  <si>
    <t>RMF5</t>
  </si>
  <si>
    <t>B1</t>
  </si>
  <si>
    <t>B1: MF Benchmarking Penetration</t>
  </si>
  <si>
    <t>RMF-B1 - Percent of benchmarked multi‐family properties relative to the eligible population</t>
  </si>
  <si>
    <t>Percent of benchmarked multi‐family properties relative to the eligible population</t>
  </si>
  <si>
    <t>Total benchmarked units in RMF sectorTotal number of service account in RMF sectorBenchmarked via Portfolio Manager2019 MF with 17 or units MUST Benchmark</t>
  </si>
  <si>
    <t>B6</t>
  </si>
  <si>
    <t>B6: Benchmarking of HTR Properties</t>
  </si>
  <si>
    <t>B6(RMF) - Percent of benchmarking by properties defined as “hard‐to‐reach”</t>
  </si>
  <si>
    <t>Percent of benchmarking by properties defined as “hard‐to‐reach”</t>
  </si>
  <si>
    <t>Benchmarking per Portfolio Manager. Service accounts in HTR market</t>
  </si>
  <si>
    <t>RMF6</t>
  </si>
  <si>
    <t>RMF-LC -  Levelized cost of energy efficiency per kWh, therm and kW (use both TRC and PAC)</t>
  </si>
  <si>
    <t>RMF7i</t>
  </si>
  <si>
    <t>EI2</t>
  </si>
  <si>
    <t>KBtu/unit</t>
  </si>
  <si>
    <t>Energy Intensity per MF unit</t>
  </si>
  <si>
    <t>RMF-E12[Indicator] - and Average energy use intensity of multifamily units. including in‐unit accounts)</t>
  </si>
  <si>
    <t>Average Kbtu per per unit</t>
  </si>
  <si>
    <t>Numerator: Total usage of Res MF sectorDenominator: total units (service accounts) in Res MF sector</t>
  </si>
  <si>
    <t>EI3</t>
  </si>
  <si>
    <t>KBtu/sqft</t>
  </si>
  <si>
    <t>Energy Intensity per MF unit square foot</t>
  </si>
  <si>
    <t xml:space="preserve">RMF-E13[Indicator] Average energy use intensity of multifamily buildings (average usage per square foot – not adjusted </t>
  </si>
  <si>
    <t>Average KBtu per square foot</t>
  </si>
  <si>
    <t>Numerator: Total usage of Res MF sectorDenominator: average number of units in MF buiilding times average square footage of MF units</t>
  </si>
  <si>
    <t>A05</t>
  </si>
  <si>
    <t>C1</t>
  </si>
  <si>
    <t>C-S1 - First year annual and lifecycle ex‐ante (pre‐evaluation) gas, electric, and demand savings (gross and net)</t>
  </si>
  <si>
    <t xml:space="preserve">Commercial Sector (C) </t>
  </si>
  <si>
    <t>per CEDARS</t>
  </si>
  <si>
    <t>Excludes public accounts.</t>
  </si>
  <si>
    <t>S2</t>
  </si>
  <si>
    <t>Percent first year annual kW gross</t>
  </si>
  <si>
    <t>S2: Percent Overall Sectoral Savings</t>
  </si>
  <si>
    <t>C-S2 - First year annual and lifecycle ex‐ante (pre‐evaluation) gas, electric, and demand savings (gross and net) as a percentage of overall sectoral usage</t>
  </si>
  <si>
    <t>Percent first year annual kW net</t>
  </si>
  <si>
    <t>Percent first year annual kWh gross</t>
  </si>
  <si>
    <t>Percent first year annual kWh net</t>
  </si>
  <si>
    <t>Percent first year annual Therm gross</t>
  </si>
  <si>
    <t>S2 Methodology:Numerator = Metric C1 Denominator = Total sectoral usage, from PA billing database</t>
  </si>
  <si>
    <t>Percent first year annual Therm net</t>
  </si>
  <si>
    <t>Percent lifecycle ex-ante kW gross</t>
  </si>
  <si>
    <t>Percent lifecycle ex-ante kW net</t>
  </si>
  <si>
    <t>Percent lifecycle ex-ante kWh gross</t>
  </si>
  <si>
    <t>Percent lifecycle ex-ante kWh net</t>
  </si>
  <si>
    <t>Percent lifecycle ex-ante Therm gross</t>
  </si>
  <si>
    <t>Percent lifecycle ex-ante Therm net</t>
  </si>
  <si>
    <t>C2</t>
  </si>
  <si>
    <t>C-GGreenhouse gasses (MT CO2eq) Net kWh savings, reported on an annual basis</t>
  </si>
  <si>
    <t>C3</t>
  </si>
  <si>
    <t>D2</t>
  </si>
  <si>
    <t>Percent lifecycle gross kW</t>
  </si>
  <si>
    <t>D2: Depth of  interventions by project</t>
  </si>
  <si>
    <t>Energy savings (gross kWh, therms) as a fraction of total project consumption.</t>
  </si>
  <si>
    <t>Percent lifecycle gross kWh</t>
  </si>
  <si>
    <t>Percent lifecycle gross Therms</t>
  </si>
  <si>
    <t>D2 Methodology (ED Ok)**Numerator: Energy savings claimed for project**Denominator: Energy Usage Baseline on application, against which project savings is calculated.</t>
  </si>
  <si>
    <t>For compliance filing, denominator is equal to participant energy consumption.</t>
  </si>
  <si>
    <t>C4</t>
  </si>
  <si>
    <t>P1L</t>
  </si>
  <si>
    <t>•C-P1M•Percent of participation relative to eligiblepopulation for small, medium, and large customers</t>
  </si>
  <si>
    <t>Percent of participation relative to eligible population for large customers</t>
  </si>
  <si>
    <t xml:space="preserve">P1 Methodology: Numerator: Number of downstream participating (service accounts) Denominator: total number (service accounts) in the sector. </t>
  </si>
  <si>
    <t>P1M</t>
  </si>
  <si>
    <t>Percent of participation relative to eligible population for medium customers</t>
  </si>
  <si>
    <t>P1S</t>
  </si>
  <si>
    <t>•C-P1LPercent of participation relative to eligiblepopulation for small, medium, and large customers</t>
  </si>
  <si>
    <t>Percent of participation relative to eligible population for small customers</t>
  </si>
  <si>
    <t>C-P2 - Percent of square feet of eligible population</t>
  </si>
  <si>
    <t>Percent of square feet of eligible population</t>
  </si>
  <si>
    <t>P2 Methodology: From Commercial Saturation Study (CalmacID CPU0077.01 ).  Numerator: SoCalGas assigns the indoor square feet for each participating bill account by the CSS average square feet using their 2-digit NAICS  Denominator: Total commercial accounts by 2-digit NAICS multiplied by the average indoor square feet by their respective subtotals by 2-digit NAICS.</t>
  </si>
  <si>
    <t>In summary, the square feet of SoCalGas' commercial space is weighted by the number of commercial customers we serve. As a check for using this method, SoCalGas' estimated total commercial square feet is about 22% of the state from the 2006 CEUS results.</t>
  </si>
  <si>
    <t>Since the CSS study includes only the electric utilities, SoCalGas uses SCE's result as a proxy.</t>
  </si>
  <si>
    <t>C-P4- Percent of participation by customers defined as “hard‐to‐reach”</t>
  </si>
  <si>
    <t xml:space="preserve">P4 Methodology:Numerator: number of participants in HTR geographic areaDenominator: Total number of service accounts in HTR geographic area. </t>
  </si>
  <si>
    <t>C5</t>
  </si>
  <si>
    <t>B2</t>
  </si>
  <si>
    <t>Square Footage of Commercial Benchmarking Penetration</t>
  </si>
  <si>
    <t>C-B2 - Percent of benchmarked square feet of eligible population</t>
  </si>
  <si>
    <t>Percent of benchmarked square feet of eligible population</t>
  </si>
  <si>
    <t>B5L</t>
  </si>
  <si>
    <t>Benchmarking Penetration for Commercial Sector</t>
  </si>
  <si>
    <t>B5(C)L Percent of benchmarked customers relative to eligible population for large customers</t>
  </si>
  <si>
    <t>Percent of benchmarked customers relative to eligible population for large customers</t>
  </si>
  <si>
    <t>Methodology: Numerator: Number of large commercial customers that have been benchmarked on Portfolio ManagerDenominator: Total number of commercial customer accounts.</t>
  </si>
  <si>
    <t>For benchmarking metrics, size of customer should be defined in line with AB 802 regulations (by square footage, not usage). If the PA territory overlaps a city with benchmarking ordinance, then use their size thresholds for reporting.</t>
  </si>
  <si>
    <t>B5M</t>
  </si>
  <si>
    <t>B5(C)M  Percent of benchmarked customers relative to eligible population for medium customers</t>
  </si>
  <si>
    <t>Percent of benchmarked customers relative to eligible population for medium customers</t>
  </si>
  <si>
    <t>Methodology: Numerator: Number of  Medium commercial customers that have been benchmarked on Portfolio ManagerDenominator: Total number of commercial customer accounts.</t>
  </si>
  <si>
    <t>B5S</t>
  </si>
  <si>
    <t>B5(C)SPercent of benchmarked customers relative to eligible population for small  customers</t>
  </si>
  <si>
    <t>Percent of benchmarked customers relative to eligible population for small  customers</t>
  </si>
  <si>
    <t>Methodology: Numerator: Number of Small commercial customers that have been benchmarked on Portfolio ManagerDenominator: Total number of commercial customer accounts.</t>
  </si>
  <si>
    <t>B6(C) - Percent of benchmarking by customers defined as “hard‐to‐reach”</t>
  </si>
  <si>
    <t>Percent of benchmarking by customers defined as “hard‐to‐reach”</t>
  </si>
  <si>
    <t>Benchmarking per Portfolio Manager. Service accounts x premise IDs in HTR marketProxy, if characteristics other than size and geo location aren’t known, develop proxy using just size and geo location.</t>
  </si>
  <si>
    <t>C6</t>
  </si>
  <si>
    <t>C-LC -  Levelized cost of energy efficiency per kWh, therm and kW (use both TRC and PAC)</t>
  </si>
  <si>
    <t>Dividing total PAC cost by Life Cycle therm</t>
  </si>
  <si>
    <t>Dividing total TRC cost by Life Cycle therm</t>
  </si>
  <si>
    <t>A06</t>
  </si>
  <si>
    <t>C7i</t>
  </si>
  <si>
    <t>N1</t>
  </si>
  <si>
    <t>NMEC</t>
  </si>
  <si>
    <t>C-N1[Indicator] Fraction of total projects utilizing Normalized Metered Energy Consumption (NMEC) to estimate savings</t>
  </si>
  <si>
    <t>Percent of total projects utilizing Normalized Metered Energy Consumption (NMEC) to estimate savings</t>
  </si>
  <si>
    <t>Per CAEECC meeting: “Fraction of total custom projects utilizing NMEC to estimate savings”.Data from CMPA (Custom Measure and Project Archive)</t>
  </si>
  <si>
    <t>N2</t>
  </si>
  <si>
    <t>C-N2[Indicator] Fraction of total savings (gross kWh and therm) derived from NMEC analysis</t>
  </si>
  <si>
    <t>Percent of total savings (gross kWh and therm) derived from NMEC analysis</t>
  </si>
  <si>
    <t>Per CAEECC Meeting: “Fraction of total custom savings derived from NMEC analysis”.Data from CMPA.</t>
  </si>
  <si>
    <t>C8i</t>
  </si>
  <si>
    <t>CS</t>
  </si>
  <si>
    <t>Satisfaction</t>
  </si>
  <si>
    <t>C-CS[Indicator] Improvement in customer satisfaction</t>
  </si>
  <si>
    <t>Percent Improvement in customer satisfaction</t>
  </si>
  <si>
    <t>Per CAEECC Meeting: M&amp;E will develop and field a consistent survey instrument annually.</t>
  </si>
  <si>
    <t>TS</t>
  </si>
  <si>
    <t>C-TS[Indicator] Improvement in trade ally satisfaction</t>
  </si>
  <si>
    <t>Percent Improvement in trade ally satisfaction</t>
  </si>
  <si>
    <t>C9i</t>
  </si>
  <si>
    <t>F1</t>
  </si>
  <si>
    <t>Investment in energy efficiency</t>
  </si>
  <si>
    <t>C-F - [Indicator] Fraction of total investments made by ratepayers and private capital</t>
  </si>
  <si>
    <t>Percent of total investments made by ratepayers and private capital</t>
  </si>
  <si>
    <t>C-F: Per CAEECC meeting and ED Numerator: Total IncentiveDenominator: Total Project cost</t>
  </si>
  <si>
    <t>P-S1 - First year annual and lifecycle ex‐ante (pre‐evaluation) gas, electric, and demand savings (gross and net) across Public Sector programs</t>
  </si>
  <si>
    <t>Public Sector (P)</t>
  </si>
  <si>
    <t>SoCalGas manually identifies Public accounts by Bill Account IDs for the Public Sector metrics.</t>
  </si>
  <si>
    <t>P-GGreenhouse gasses (MT CO2eq) based on net lifecycle kWh and Therms savings, reported on an annual basis, incorporating average fuel/technology mix</t>
  </si>
  <si>
    <t>P3i</t>
  </si>
  <si>
    <t>D3b</t>
  </si>
  <si>
    <t>Percent annual NET kW</t>
  </si>
  <si>
    <t>P-D3[Indicator] Average percent energy savings (kWh, kw, therms) per project building or facility</t>
  </si>
  <si>
    <t>Percent annual net kW per project building or facility</t>
  </si>
  <si>
    <t>Percent annual NET kWh</t>
  </si>
  <si>
    <t>Percent annual net kWh per project building or facility</t>
  </si>
  <si>
    <t>Percent annual NET Therms</t>
  </si>
  <si>
    <t>Percent annual net Therms per project building or facility</t>
  </si>
  <si>
    <t>D3 Methodology:Numerator: Total savings claimed for public sector building retrofitsDenominator: Energy usage of buildings that have been retrofitted, per application.</t>
  </si>
  <si>
    <t>D3 Key Definitions: Project applications are made at the property level (premise ID and service account number) not the building level. "Energy Savings" refers to Annual Net savings, in keeping with ED direction to use Net savings if otherwise not specified (Lifecycle Net).</t>
  </si>
  <si>
    <t>Annual NET kW</t>
  </si>
  <si>
    <t>P-D5[Indicator] Average annual energy savings (kWh, kw, therms) per project building floor plan area</t>
  </si>
  <si>
    <t>Average annual net kw savings per project building floor plan area</t>
  </si>
  <si>
    <t>Annual NET kWh</t>
  </si>
  <si>
    <t>Annual NET Therms</t>
  </si>
  <si>
    <t>Average annual net Therm savings per project building floor plan area</t>
  </si>
  <si>
    <t>D5 Methodology: [Numerator] Total downstream savings [Denominator] Total number of service accounts participating. x average square footage of property</t>
  </si>
  <si>
    <t>W1</t>
  </si>
  <si>
    <t>Water</t>
  </si>
  <si>
    <t>P-W1[Indicator] Average annual energy savings (kWh, kW therms) per annual flow through project water/wastewater facilities</t>
  </si>
  <si>
    <t>Average annual Net kW savings per annual flow through project water/wastewater facilities</t>
  </si>
  <si>
    <t>Average annual Net kWh savings per annual flow through project water/wastewater facilities</t>
  </si>
  <si>
    <t>Average annual Net Therms savings per annual flow through project water/wastewater facilities</t>
  </si>
  <si>
    <t>Numerator: claimed savings from water/wastewater customersDenominator: No MM gallons of flow data available.  Propose study to collect and baseline.</t>
  </si>
  <si>
    <t>A07</t>
  </si>
  <si>
    <t>P-P1 - Percent of Public Sector accounts participating in programs</t>
  </si>
  <si>
    <t>Percent of Public Sector accounts participating in programs</t>
  </si>
  <si>
    <t xml:space="preserve">P1 Methodology: Numerator: Number of downstream participating (service accounts) Denominator: total number of (service accounts) in the sector. </t>
  </si>
  <si>
    <t>P4i</t>
  </si>
  <si>
    <t>P-P2[Indicator] Percent of estimated floorplan area (i.e., ft2) of all Public Sector buildings participating in building projects—estimate within +/‐15% of sector‐wide building area, +/‐5% of project building area</t>
  </si>
  <si>
    <t>Percent of estimated floorplan area (i.e., ft2) of all Public Sector buildings participating in building projects</t>
  </si>
  <si>
    <t>P2 Methodology: Numerator: square footage of participating service accounts (Avg sqft/project X # of projects)Denominator: Square footage of sector per 2015 CEC analysis (Mohsen Abrishami)</t>
  </si>
  <si>
    <t>W2</t>
  </si>
  <si>
    <t>P-W2[Indicator] Percent of Public Sector water/wastewater flow (i.e.,
annual average Million Gallons per Day) enrolled in
non‐building water/wastewater programs—
estimate within +/‐20% of flow through eligible
facilities (treatment facilities pumping stations),
+/‐10% of flow through project facilities</t>
  </si>
  <si>
    <t>Percent of Public Sector water/wastewater flow enrolled in non‐building water/wastewater programs</t>
  </si>
  <si>
    <t>No MM gallons of flow data available.  Propose a study to collect and baseline.</t>
  </si>
  <si>
    <t>P5</t>
  </si>
  <si>
    <t>P-LC - Levelized cost of energy efficiency per kWh, therm and kW (use both TRC and PAC)</t>
  </si>
  <si>
    <t>P6i</t>
  </si>
  <si>
    <t>F2</t>
  </si>
  <si>
    <t>$</t>
  </si>
  <si>
    <t>Investment in EE</t>
  </si>
  <si>
    <t>P-F2 - [Indicator] Total program‐backed financing distributed to Public Sector customers requiring repayment (i.e., loans, OBF)</t>
  </si>
  <si>
    <t>Total program‐backed financing distributed to Public Sector customers requiring repayment</t>
  </si>
  <si>
    <t>P-F2 Method: Total amount loaned through PA programs</t>
  </si>
  <si>
    <t>Define: "Total program backed financing…requiring repayment" = total  loan amount</t>
  </si>
  <si>
    <t>P7</t>
  </si>
  <si>
    <t>B3</t>
  </si>
  <si>
    <t>Public Sector Benchmarking Penetration Calendar Year</t>
  </si>
  <si>
    <t>P-B3 - Percent of Public Sector buildings with current benchmark</t>
  </si>
  <si>
    <t>Percent of Public Sector buildings with current benchmark</t>
  </si>
  <si>
    <t>Def: “current” = “within calendar year”</t>
  </si>
  <si>
    <t>EI4</t>
  </si>
  <si>
    <t>KBtu/Sqft</t>
  </si>
  <si>
    <t>Energy Intensity per public sector building</t>
  </si>
  <si>
    <t>P-E14 Average energy use intensity of all Public Sector buildings</t>
  </si>
  <si>
    <t>Average energy use intensity of all Public Sector buildings</t>
  </si>
  <si>
    <t>Method (ED Okay)Numerator: Total sector-level energy use, from PA billing dataDenominator: Number of public sector accounts * Avg Sqft</t>
  </si>
  <si>
    <t>P7i</t>
  </si>
  <si>
    <t>B4</t>
  </si>
  <si>
    <t>Public Sector Square Foot Benchmarking Penetration in Calendar Year</t>
  </si>
  <si>
    <t>B4-P[Indicator] Percent of floorplan area of all Public Sector buildings with current benchmark</t>
  </si>
  <si>
    <t>Percent of floorplan area of all Public Sector buildings with current benchmark</t>
  </si>
  <si>
    <t>Numerator: Total square footage of public buildings benchmarked within calendar year, in Portfolio ManagerDenominator: Total square footage of all benchmarked Public sector buildings, in Portfolio Manager</t>
  </si>
  <si>
    <t>A08</t>
  </si>
  <si>
    <t>In1</t>
  </si>
  <si>
    <t>In-S1-  First year annualized and lifecycle ex‐ante (pre‐evaluation) gas, electric, and demand savings (gross and net) in industrial sector</t>
  </si>
  <si>
    <t>Industrial (I)</t>
  </si>
  <si>
    <t>In2</t>
  </si>
  <si>
    <t>I-G- Greenhouse gasses (MT CO2eq) Net therm savings, reported on an annual basis</t>
  </si>
  <si>
    <t>In3</t>
  </si>
  <si>
    <t>•In-P1LPercent of participation relative to eligible population for small, medium and large customers</t>
  </si>
  <si>
    <t>In-P1MPercent of participation relative to eligible population for small, medium and large customers</t>
  </si>
  <si>
    <t>In-P1SIn-P1MIn-P1LPercent of participation relative to eligible population for small, medium and large customers</t>
  </si>
  <si>
    <t>In4i</t>
  </si>
  <si>
    <t>P5L</t>
  </si>
  <si>
    <t>New participation</t>
  </si>
  <si>
    <t>I-P5[Indicator] Percent of customers participating that have not received an incentive for the past three years, annually, by small, medium and large customer categories</t>
  </si>
  <si>
    <t>Percent of large customers participating in reporting year that have not received an incentive for the past three years</t>
  </si>
  <si>
    <t>Numerator: Annual number of Large Industrial participants (by service account) that had not received a downstream incentive for the past 3 years (from date of incentive payment)Denominator: Total number of Large Industrial service accounts in the sector/segment</t>
  </si>
  <si>
    <t>PAs will use PA-specific definition for S, M, &amp; L customers, because BP strategies were developed for customers segmented by those definitions.</t>
  </si>
  <si>
    <t>P5M</t>
  </si>
  <si>
    <t>Percent of medium customers participating in reporting year that have not received an incentive for the past three years</t>
  </si>
  <si>
    <t>Numerator: Annual number of Medium Industrial participants (by service account) that had not received a downstream incentive for the past 3 years (from date of incentive payment)Denominator: Total number of Medium Industrial service accounts in the sector/segment</t>
  </si>
  <si>
    <t>P5S</t>
  </si>
  <si>
    <t>Percent of small customers participating in reporting year that have not received an incentive for the past three years</t>
  </si>
  <si>
    <t>Numerator: Annual number of Small Industrial participants (by service account) that had not received a downstream incentive for the past 3 years (from date of incentive payment)Denominator: Total number of Small Industrial service accounts in the sector/segment</t>
  </si>
  <si>
    <t>In5</t>
  </si>
  <si>
    <t> I-LC - Levelized cost of energy efficiency per kWh, therm and KW (use both TRC and PAC)</t>
  </si>
  <si>
    <t>In6</t>
  </si>
  <si>
    <t>I-RC - Reduction in consumption (proposed by SCE and SDG&amp;E)</t>
  </si>
  <si>
    <t>Define: "Reduction in consumption" = energy savings.</t>
  </si>
  <si>
    <t>A09</t>
  </si>
  <si>
    <t>A1</t>
  </si>
  <si>
    <t>Ag-S1 - First year and lifecycle ex ante (pre‐evaluation) annualized gas, electric, and demand savings in agriculture sector, gross and net</t>
  </si>
  <si>
    <t>Agricultural (A)</t>
  </si>
  <si>
    <t>A2</t>
  </si>
  <si>
    <t>A-G - Greenhouse gasses (MT CO2eq) Net therm savings, reported on an annual basis</t>
  </si>
  <si>
    <t>A3</t>
  </si>
  <si>
    <t>P1: Particpants</t>
  </si>
  <si>
    <t>Ag-P1SPercent of participation relative to eligible population for small, medium and large customers</t>
  </si>
  <si>
    <t xml:space="preserve">P1 Methodology: Numerator: Number of downstream participating (by bill accounts) Denominator: total number of accounts in the agricultural sector. </t>
  </si>
  <si>
    <t>Ag-P1M•Percent of participation relative to eligible population for small, medium and large customers</t>
  </si>
  <si>
    <t>Ag-P1LPercent of participation relative to eligible population for small, medium and large customers</t>
  </si>
  <si>
    <t>A4</t>
  </si>
  <si>
    <t>A-LC - Levelized cost of energy efficiency per kWh, therm and kW (use both TRC and PAC)</t>
  </si>
  <si>
    <t>A10</t>
  </si>
  <si>
    <t>CS1</t>
  </si>
  <si>
    <t>Net GWh</t>
  </si>
  <si>
    <t>Net Energy Savings: GWH, M Therms and MW (demand)</t>
  </si>
  <si>
    <t>Net GWh savings</t>
  </si>
  <si>
    <t>Codes &amp; Standards (CS)</t>
  </si>
  <si>
    <t>EM&amp;V study</t>
  </si>
  <si>
    <t>2018-2025 consistent with adopted goals from D.17-09-025, Tables 1, 2, and 3, p. 37-39; 2016 from CEDARS (spillover not included).  Values summed across all four IOUs. "Savings" is defined as Net First year savings.</t>
  </si>
  <si>
    <t>Net MMTherms</t>
  </si>
  <si>
    <t>Net MMTherms savings</t>
  </si>
  <si>
    <t>2018-2025 consistent with adopted goals from D.17-09-025, Tables 1, 2, and 3, p. 37-39; 2016 from CEDARS (spillover not included).  Values summed across all four IOUs.  "Savings" is defined as Net First year savings.</t>
  </si>
  <si>
    <t>Net MW</t>
  </si>
  <si>
    <t>Net MW savings</t>
  </si>
  <si>
    <t>CS2</t>
  </si>
  <si>
    <t>Count</t>
  </si>
  <si>
    <t>Advocacy-Building</t>
  </si>
  <si>
    <t>Number of measures supported by CASE studies in rulemaking cycle (current work)</t>
  </si>
  <si>
    <t xml:space="preserve"> Measures supported by CASE</t>
  </si>
  <si>
    <t>Baseline and targets for measures supported  are  for 3 year cycle rather than annual.</t>
  </si>
  <si>
    <t>Number of measures adopted by CEC in rulemaking cycle (indicator of past work)</t>
  </si>
  <si>
    <t xml:space="preserve"> Measures adopted by CEC</t>
  </si>
  <si>
    <t>CS3</t>
  </si>
  <si>
    <t>Advocacy-Appliance</t>
  </si>
  <si>
    <t>Number of T-20 measures supported by CASE studies in rulemaking cycle (current work)</t>
  </si>
  <si>
    <t xml:space="preserve"> T-20 measures supported by CASE</t>
  </si>
  <si>
    <t>Baseline is annual.  Targets for measures supported  are  for 3 year cycle rather than annual. 2017 chosen as baseline since 2016 was zero.</t>
  </si>
  <si>
    <t>Number of measures adopted by CEC in current year</t>
  </si>
  <si>
    <t>Baseline is annual.  Targets for measures adopted  are  for 3 year cycle rather than annual.</t>
  </si>
  <si>
    <t>CS4</t>
  </si>
  <si>
    <t>Advocacy-Federal</t>
  </si>
  <si>
    <t>Number of federal standards adopted for which a utility advocated (IOUs to list advocated activites)</t>
  </si>
  <si>
    <t xml:space="preserve"> Standards adopted</t>
  </si>
  <si>
    <t>Baselines and targets are annual.  Any federal standards based upon Title 20 that were adopted will still be included in the federal count.</t>
  </si>
  <si>
    <t>Percent of federal standards adopted for which a utility advocated (#IOU supported / # DOE adopted)</t>
  </si>
  <si>
    <t xml:space="preserve"> # IOUs supported ÷ 
# DOE adopted</t>
  </si>
  <si>
    <t>Baselines and targets are annual.</t>
  </si>
  <si>
    <t>CS5</t>
  </si>
  <si>
    <t>Reach Codes</t>
  </si>
  <si>
    <t>The number of local government Reach Codes implemented (this is a joint IOU and REN effort)</t>
  </si>
  <si>
    <t xml:space="preserve"> Reach Code ordinances implemented</t>
  </si>
  <si>
    <t>Targets are total for a three-year Title 24 code cycle.  Jurisdictions having multiple reach codes will be counted by reach code rather than by jurisdiction.  Accomplishments will be reported from the CEC Reach Codes website (http://www.energy.ca.gov/title24/2013standards/ordinances/).</t>
  </si>
  <si>
    <t>A11</t>
  </si>
  <si>
    <t>CS6</t>
  </si>
  <si>
    <t>Compliance Improvement</t>
  </si>
  <si>
    <t>Number of training activities (classes, webinars) held, number of market actors participants by segment (e.g. building officials, builders, architects, etc.) and the the total size (number of the target audience) by sector. (M) Number of training activities</t>
  </si>
  <si>
    <t xml:space="preserve"> Number of training activities per year</t>
  </si>
  <si>
    <t>118 live training sessions and 20 webinars in 2017; short, mid, and long-term targets are annual</t>
  </si>
  <si>
    <t>Number of training activities (classes, webinars) held, number of market actors participants by segment (e.g. building officials, builders, architects, etc.) and the the total size (number of the target audience) by sector. (M) Number of participants</t>
  </si>
  <si>
    <t xml:space="preserve"> Number of participants per year</t>
  </si>
  <si>
    <t>3,000 attendees for live training and 600 attendees for webinars in 2017; short, mid, and long-term targets are annual.  Attendees will be shown by major segment (i.e., building officials, builders, architects, HERS raters) and target size of each segment will be provided during first metrics reporting.</t>
  </si>
  <si>
    <t>Score</t>
  </si>
  <si>
    <t>Increase in code compliance knowledge pre/post training</t>
  </si>
  <si>
    <t xml:space="preserve"> Knowledge score</t>
  </si>
  <si>
    <t>Code compliance knowledge increase will be tested via pre and post training questionaires.  Surveys will be conducted for training that lasts longer than three hours (in order to preserve time for instruction in shorter training sessions).  Questionaires will be made available during the first metrics reporting.</t>
  </si>
  <si>
    <t>REN</t>
  </si>
  <si>
    <t>CS6R</t>
  </si>
  <si>
    <t>The percentage increase in closed permits for building projects triggering energy code compliance within participating jurisdictions</t>
  </si>
  <si>
    <t>REN Metric</t>
  </si>
  <si>
    <t>CS6Ri</t>
  </si>
  <si>
    <t>Number and percent of jurisdictions with staff participating in an Energy Policy Forum</t>
  </si>
  <si>
    <t>REN Indicator</t>
  </si>
  <si>
    <t xml:space="preserve">Number and percent of jurisdictions receiving Energy Policy technical assistance. </t>
  </si>
  <si>
    <t>Buildings receiving enhanced code compliance support and delivering compliance data to program evaluators</t>
  </si>
  <si>
    <t>A12</t>
  </si>
  <si>
    <t>WET-1</t>
  </si>
  <si>
    <t>Collaborations</t>
  </si>
  <si>
    <t xml:space="preserve">Number of collaborations by Business Plan sector to jointly develop or share training materials or resources. </t>
  </si>
  <si>
    <t>Workforce Education and Training (WET)</t>
  </si>
  <si>
    <t>10 by year 7</t>
  </si>
  <si>
    <t>15 by year 10</t>
  </si>
  <si>
    <t>Staff input.</t>
  </si>
  <si>
    <t>"Collaborations" mean sharing mutually-beneficial  resources such as training materials, expertise, and marketing/outreach tactics that help achieve WE&amp;T goals and outcomes and that support the collaborating organizations' goals and objectives.</t>
  </si>
  <si>
    <t>WET-2</t>
  </si>
  <si>
    <t>Penetration</t>
  </si>
  <si>
    <t>Number of participants by sector</t>
  </si>
  <si>
    <t xml:space="preserve">Residential: 5,700 
Non-Res: 4,700
TOTAL: 10,400
</t>
  </si>
  <si>
    <t>Residential: 5,364
Non-Res: 4,236
TOTAL: 9,600</t>
  </si>
  <si>
    <t>Residential: 4,652
Non-Res: 3,611
TOTAL: 8,263</t>
  </si>
  <si>
    <t>Residential: 2253
Non-Res: 11513
TOTAL: 13766</t>
  </si>
  <si>
    <t>Residential: 834 Non-Res: 5234 TOTAL: 6158</t>
  </si>
  <si>
    <t>Report from class registration database. Per year.</t>
  </si>
  <si>
    <t>Percentage</t>
  </si>
  <si>
    <t>Percent of participation relative to eligible target population for curriculum</t>
  </si>
  <si>
    <t>Numerator: Report from class registration database. 
Denominator: Advanced Energy Economy Institute (AEEI) report finding: “Energy Efficiency accounts for the largest share of advanced energy jobs in California. About six in 10 advanced energy workers are employed in the Energy Efficiency sector; these firms support over 321,000 jobs.” Assume advanced Energy Efficiency jobs are commiserate with population for each PA territory.</t>
  </si>
  <si>
    <t>WET-3</t>
  </si>
  <si>
    <t>Diversity</t>
  </si>
  <si>
    <t xml:space="preserve">Percent of total WE&amp;T training program participants that meet the definition of disadvantaged worker.  </t>
  </si>
  <si>
    <t>Report of provided zip codes from class registration database cross-referenced with the list of "disadvantaged worker" zip codes. Please note that these zip codes are a mixture of home and work addresses. By the end of 2018, IOUs will specifically request participants' home zip codes.</t>
  </si>
  <si>
    <t>Percent of incentive dollars spent on contracts* with a demonstrated commitment to provide career pathways to disadvantaged workers</t>
  </si>
  <si>
    <t>Disadvantaged worker tracking is currently not required by PA contract terms and conditions.</t>
  </si>
  <si>
    <t>WET-3i</t>
  </si>
  <si>
    <t xml:space="preserve">Number Career &amp; Workforce Readiness (CWR) participants who have been employed for 12 months after receiving the training </t>
  </si>
  <si>
    <t>CWR program does not yet exist.</t>
  </si>
  <si>
    <t>A13</t>
  </si>
  <si>
    <t>ETP-M1</t>
  </si>
  <si>
    <t>Research Prioritization</t>
  </si>
  <si>
    <t xml:space="preserve">ETP-M1 Number of TPMs initiated (gas and electric combined), including one technology-focused pilot (TFP) TPM  *This number will be updated once all third party contracts have been awarded. </t>
  </si>
  <si>
    <t xml:space="preserve">ETP-M1 Number of TPMs initiated (gas and electric combined), including one technology-focused pilot (TFP) TPM </t>
  </si>
  <si>
    <t>Emerging Technologies (ET)</t>
  </si>
  <si>
    <t>N/A—TPMs will be initiated once 3P implentation contracts have been awarded.</t>
  </si>
  <si>
    <t>6 TPMs total*</t>
  </si>
  <si>
    <t>tbd TPMs*</t>
  </si>
  <si>
    <t>tbd  TPMs*</t>
  </si>
  <si>
    <t>This data will be updated once 3P implementation begins.</t>
  </si>
  <si>
    <t>Data for this metric will be gathered from 3P TPM Implementers annually.</t>
  </si>
  <si>
    <t xml:space="preserve">1) Technology priority maps (TPMs) are defined in the Business Plan 2) Technology-focused pilot: See ETP-M7 </t>
  </si>
  <si>
    <t>ETP-M2</t>
  </si>
  <si>
    <t>Count of TPMs</t>
  </si>
  <si>
    <t>ETP-M2 Number of TPMs updated *This number will be updated once all third party contracts have been awarded.</t>
  </si>
  <si>
    <t>ETP-M2 Number of TPMs updated</t>
  </si>
  <si>
    <t>3 TPMs total*</t>
  </si>
  <si>
    <t>Electric TPMs were updated in 2020.</t>
  </si>
  <si>
    <t>1) Technology priority maps (TPMs) are defined in the Business Plan</t>
  </si>
  <si>
    <t>ETP-M3</t>
  </si>
  <si>
    <t>Count of Projects</t>
  </si>
  <si>
    <t>Projects</t>
  </si>
  <si>
    <t>ETP-M3 Number of projects initiated *This number will be updated once all third party contracts have been awarded.</t>
  </si>
  <si>
    <t>ETP-M3 Number of projects initiated</t>
  </si>
  <si>
    <t>2017* To be updated with ED/IOU Coordination</t>
  </si>
  <si>
    <t>61 projects</t>
  </si>
  <si>
    <t>61 projects total*</t>
  </si>
  <si>
    <t>tbd projects*</t>
  </si>
  <si>
    <t xml:space="preserve">1) Technology priority maps (TPMs) are defined in the Business Plan 2) Projects are considered “initiated” when project budget has been approved and funding allocated. </t>
  </si>
  <si>
    <t>ETP-M4</t>
  </si>
  <si>
    <t>Count of Events</t>
  </si>
  <si>
    <t>Outreach</t>
  </si>
  <si>
    <t>ETP-M4: Number of outreach events with technology developers with products &lt;1 year from commercialization, including new technology vendors, manufacturers, and entrepreneurs. *This number will be updated once all third party contracts have been awarded.</t>
  </si>
  <si>
    <t>ETP-M4: Number of outreach events with technology developers with products &lt;1 year from commercialization, including new technology vendors, manufacturers, and entrepreneurs</t>
  </si>
  <si>
    <t>5 events total*</t>
  </si>
  <si>
    <t>tbd events*</t>
  </si>
  <si>
    <t>Each ETP event will provide data for ETP-M4 and ETP-M5 simultaneously.**Data for this metric will be gathered from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</si>
  <si>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</si>
  <si>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ETP-M5</t>
  </si>
  <si>
    <t>ETP-M5: Number of outreach events with technology developers with products &lt;5 years from commercialization, including new technology vendors, manufacturers, and entrepreneurs. *This number will be updated once all third party contracts have been awarded.</t>
  </si>
  <si>
    <t>ETP-M5: Number of outreach events with technology developers with products &lt;5 years from commercialization, including new technology vendors, manufacturers, and entrepreneurs</t>
  </si>
  <si>
    <t>See ETP-M4</t>
  </si>
  <si>
    <t>Each ETP event will provide data for ETP-M4 and ETP-M5 simultaneously.**Data for this metric will be gathered from 3P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</si>
  <si>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</si>
  <si>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A14</t>
  </si>
  <si>
    <t>ETP-M6</t>
  </si>
  <si>
    <t>Count of TFPs</t>
  </si>
  <si>
    <t>Pilots</t>
  </si>
  <si>
    <t>ETP-M6: Number of projects initiated with cooperation from other internal IOU programs associated with each Technology-focused Pilot  *This number will be updated once all third party contracts have been awarded.</t>
  </si>
  <si>
    <t xml:space="preserve">ETP-M6: Number of projects initiated with cooperation from other internal IOU programs associated with each Technology-focused Pilot  </t>
  </si>
  <si>
    <t>N/A—TFPs will begin once 3P implentation contracts have been awarded.</t>
  </si>
  <si>
    <t>2 total*</t>
  </si>
  <si>
    <t>tbd*</t>
  </si>
  <si>
    <t xml:space="preserve">ETP-M6 metric is a subset of ETP-M7 and counted towards ETP-M7 targets. All targets will be determined by 3P TPM implementers. </t>
  </si>
  <si>
    <t>1) “Cooperation” is defined as a process by which all parties work towards a mutual objective.</t>
  </si>
  <si>
    <t>ETP-M7</t>
  </si>
  <si>
    <t>ETP-M7 Number of Technology-Focused Pilot (TFP) initiated as part of the TFP TPM. *This number will be updated once all third party contracts have been awarded.</t>
  </si>
  <si>
    <t>ETP-M7 Number of Technology-Focused Pilot (TFP) initiated as part of the TFP TPM</t>
  </si>
  <si>
    <t>3 total*</t>
  </si>
  <si>
    <t>1) A technology-focused pilot (TFP) will identify market barriers for a diverse range of high-impact technologies through studies, and subsequently breaking down identified barriers  in collaboration with other relevant programs . 2) “Technology-focused Pilot”- Pilots that have been proposed by 3Ps in response to PA needs and that have been approved through the existing ED Ideation Process. These includes TFPs conducted in cooperation with other programs.</t>
  </si>
  <si>
    <t>A15</t>
  </si>
  <si>
    <t>ETP-T1</t>
  </si>
  <si>
    <t>Percent of New Measures</t>
  </si>
  <si>
    <t>Measure Tracing</t>
  </si>
  <si>
    <t>ETP-T1: Prior year: % of new measures added to the portfolio that were previously ETP technologies *The PAs believe this is not suited for a metric with targets because ETP does not make decisions about new measures.</t>
  </si>
  <si>
    <t>ETP-T1: Prior year: % of new measures added to the portfolio that were previously ETP technologies</t>
  </si>
  <si>
    <t>Per ED, to be determined by an ED study*</t>
  </si>
  <si>
    <t xml:space="preserve">Per ED: Baseline, methodology, and targets need to be determined by ED evaluation contractors. ED evaluators can make recommendations on what suitable targets would be. ETP Tracking Metrics 1 – 5 need to be determined at the same time as part of calculating savings (ETP-T5), and because ETP impact and savings are involved, ED evaluators need to make these determinations. Baselines will not be available until then. </t>
  </si>
  <si>
    <t xml:space="preserve">ETP-T1 through ETP -T8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</si>
  <si>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ETP-T2</t>
  </si>
  <si>
    <t>Count of New Measures</t>
  </si>
  <si>
    <t>ETP-T2: Prior Year: # of new measures added to the portfolio that were previously ETP technologies. *The PAs believe this is not suited for a metric with targets because ETP does not make decisions about new measures.</t>
  </si>
  <si>
    <t>ETP-T2: Prior Year: # of new measures added to the portfolio that were previously ETP technologies</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</si>
  <si>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</si>
  <si>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ETP-T3</t>
  </si>
  <si>
    <t>ETP-T3: Prior year: % of new codes or standards that were previously ETP technologies. *The PAs believe this is not suited for a metric with targets because ETP does not make decisions about new codes or standards.</t>
  </si>
  <si>
    <t>ETP-T3: Prior year: % of new codes or standards that were previously ETP technologies</t>
  </si>
  <si>
    <t xml:space="preserve">Per ED: Baseline, methodology, and targets need to be determined by ED evaluation contractor. </t>
  </si>
  <si>
    <t>ETP-T4</t>
  </si>
  <si>
    <t>ETP-T4: Prior Year: # of new codes and standards that were previously ETP technologies. *The PAs believe this is not suited for a metric with targets because ETP does not make decisions about new codes or standards.</t>
  </si>
  <si>
    <t>ETP-T4: Prior Year: # of new codes and standards that were previously ETP technologies</t>
  </si>
  <si>
    <t>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PAs will work with ED to support matching ETP content to portfolio content.</t>
  </si>
  <si>
    <t xml:space="preserve">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</si>
  <si>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ETP-T5a</t>
  </si>
  <si>
    <t xml:space="preserve">Lifecycle net kW    </t>
  </si>
  <si>
    <t>Savings Tracing</t>
  </si>
  <si>
    <t>ETP-T5a: Savings of measures currently in the portfolio that were supported by ETP, added since 2009. Ex-ante with gross and net for all measures, with ex-post where available. *The PAs believe this is not suited for a metric with targets because ETP is a non-resource program and does not claim any savings.</t>
  </si>
  <si>
    <t>ETP-T5a: Savings of measures currently in the portfolio that were supported by ETP, added since 2009. Ex-ante with gross and net for all measures, with ex-post where available</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</si>
  <si>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</si>
  <si>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ETP is a non-resource program and does not make savings claims.</t>
  </si>
  <si>
    <t>ETP-T5b</t>
  </si>
  <si>
    <t xml:space="preserve">Lifecycle net kWh    </t>
  </si>
  <si>
    <t>ETP-T5b: Savings of measures currently in the portfolio that were supported by ETP, added since 2009. Ex-ante with gross and net for all measures, with ex-post where available. *The PAs believe this is not suited for a metric with targets because ETP is a non-resource program and does not claim any savings.</t>
  </si>
  <si>
    <t>ETP-T5b: Savings of measures currently in the portfolio that were supported by ETP, added since 2009. Ex-ante with gross and net for all measures, with ex-post where available</t>
  </si>
  <si>
    <t>ETP-T5c</t>
  </si>
  <si>
    <t>Lifecycle net Therms</t>
  </si>
  <si>
    <t>ETP-T5c: Savings of measures currently in the portfolio that were supported by ETP, added since 2009. Ex-ante with gross and net for all measures, with ex-post where available. *The PAs believe this is not suited for a metric with targets because ETP is a non-resource program and does not claim any savings.</t>
  </si>
  <si>
    <t>ETP-T5c: Savings of measures currently in the portfolio that were supported by ETP, added since 2009. Ex-ante with gross and net for all measures, with ex-post where available</t>
  </si>
  <si>
    <t>ETP-T6a</t>
  </si>
  <si>
    <t>Count of project ideas by PA</t>
  </si>
  <si>
    <t>Project Idea Tracing</t>
  </si>
  <si>
    <t>ETP-T6a Number and source (as reported by submitter) of project ideas submitted OUTSIDE OF the annual TPM research planning process, for these categories of sources: 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</si>
  <si>
    <t>ETP-T6a Number and source (as reported by submitter) of project ideas submitted OUTSIDE OF the annual TPM research planning process by PA</t>
  </si>
  <si>
    <t>4 cumulative•</t>
  </si>
  <si>
    <t>N/A—  TPMs will be used once 3P implementation contracts have been awarded.</t>
  </si>
  <si>
    <t>Data for this metric will be gathered from 3P TPM Implementers annually. If ideas are submitted both outside and as part of the TPM-aligned research planning process, it can be reported under both ETP-T6 and ETP-T7. Ideas may be submitted by more than one source and will be counted under each.</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</si>
  <si>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"Submitted" refers to an idea submitted through a formal submission process.</t>
  </si>
  <si>
    <t>ETP-T6b</t>
  </si>
  <si>
    <t>Count of project ideas by national labs</t>
  </si>
  <si>
    <t>ETP-T6b Number and source (as reported by submitter) of project ideas submitted OUTSIDE OF the annual TPM research planning process, for these categories of sources: 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</si>
  <si>
    <t>ETP-T6b Number and source (as reported by submitter) of project ideas submitted OUTSIDE OF the annual TPM research planning process by National Lab</t>
  </si>
  <si>
    <t>2 cumulative•</t>
  </si>
  <si>
    <t>ETP-T6c</t>
  </si>
  <si>
    <t>Count of project ideas by manufacturers</t>
  </si>
  <si>
    <t>ETP-T6c Number and source (as reported by submitter) of project ideas submitted OUTSIDE OF the annual TPM research planning process, for these categories of sources: 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</si>
  <si>
    <t>ETP-T6c Number and source (as reported by submitter) of project ideas submitted OUTSIDE OF the annual TPM research planning process by Manufacturer</t>
  </si>
  <si>
    <t>ETP-T6d</t>
  </si>
  <si>
    <t>Count of project ideas by entrepreneurs</t>
  </si>
  <si>
    <t>ETP-T6d Number and source (as reported by submitter) of project ideas submitted OUTSIDE OF the annual TPM research planning process, for these categories of sources: 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</si>
  <si>
    <t>ETP-T6d Number and source (as reported by submitter) of project ideas submitted OUTSIDE OF the annual TPM research planning process by Entrepreneur</t>
  </si>
  <si>
    <t>1 cumulative•</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</si>
  <si>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"Submitted" refers to an idea submitted through a formal submission process.</t>
  </si>
  <si>
    <t>ETP-T7a</t>
  </si>
  <si>
    <t>ETP-T7a Number and source (as reported by submitter) of project ideas submitted AS PART OF the annual TPM research planning process, for these categories of sources: 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</si>
  <si>
    <t>ETP-T7a Number and source (as reported by submitter) of project ideas submitted AS PART OF the annual TPM research planning process by PA</t>
  </si>
  <si>
    <t>6 cumulative•</t>
  </si>
  <si>
    <t>Data for this metric will be gathered from 3P TPM Implementers. If ideas are submitted both outside and as part of the TPM-aligned research planning process, it can be reported under both ETP-T6 and ETP-T7. Ideas may be submitted by more than one source and will be counted under each.</t>
  </si>
  <si>
    <t>ETP-T7b</t>
  </si>
  <si>
    <t>ETP-T7b Number and source (as reported by submitter) of project ideas submitted AS PART OF the annual TPM research planning process, for these categories of sources: 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</si>
  <si>
    <t>ETP-T7b Number and source (as reported by submitter) of project ideas submitted AS PART OF the annual TPM research planning process by National Lab</t>
  </si>
  <si>
    <t>ETP-T7c</t>
  </si>
  <si>
    <t>ETP-T7c Number and source (as reported by submitter) of project ideas submitted AS PART OF the annual TPM research planning process, for these categories of sources: 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</si>
  <si>
    <t>ETP-T7c Number and source (as reported by submitter) of project ideas submitted AS PART OF the annual TPM research planning process by Manufacturer</t>
  </si>
  <si>
    <t>ETP-T7d</t>
  </si>
  <si>
    <t>ETP-T7d Number and source (as reported by submitter) of project ideas submitted AS PART OF the annual TPM research planning process, for these categories of sources: 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</si>
  <si>
    <t>ETP-T7d Number and source (as reported by submitter) of project ideas submitted AS PART OF the annual TPM research planning process by Entrepreneur</t>
  </si>
  <si>
    <t>A16</t>
  </si>
  <si>
    <t>ETP-T8</t>
  </si>
  <si>
    <t>Number of lists</t>
  </si>
  <si>
    <t>Statewide Goal Alignment</t>
  </si>
  <si>
    <t>ETP-T8: List of ETP projects aligned with statewide goals that were initiated in the reporting year with specificity as to what aspect of each goal it is fulfilling. Goals will also be labeled in the ETP database. A list of eligible goals will be developed collaboratively with ED.</t>
  </si>
  <si>
    <t>ETP-T8: List of ETP projects aligned with statewide goals that were initiated in the reporting year with specificity as to what aspect of each goal it is fulfilling</t>
  </si>
  <si>
    <t>N/A - The statewide goals to be tracked are still under collaborative discussion with ED and not yet available; hence, no data will be reported for 2018</t>
  </si>
  <si>
    <t>3 lists cumulative</t>
  </si>
  <si>
    <t>2 lists cumulative</t>
  </si>
  <si>
    <t>N/A - The statewide goals to be tracked are still under collaborative discussion with ED and not yet available; hence, no data will be reported for 2020.</t>
  </si>
  <si>
    <t>Data for this metric will be gathered from 3P TPM Implementers.  An ETP project may align with multiple statewide goals and will be listed under each goal.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</si>
  <si>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 however the commission ruled that these tracking metrics must have targets. The “statewide goals” will be tracked will be developed and updated in collaboration with ED as needed. Projects are considered “initiated” when project budget has been approved and funding allocated.</t>
  </si>
  <si>
    <t>3c-ren is not… not MCE or BayREN.</t>
  </si>
  <si>
    <t>Equity Segment Metrics</t>
  </si>
  <si>
    <t>THIS SET OF METRICS AND INDICATORS ARE BASED ON RECOMMENDATIONS BY CAEECC WORKING GROUPS. THEY HAVE NOT BEEN APPROVED BY THE CPUC. FINAL REPORT CAN BE FOUND AT: https://www.caeecc.org/equity-metrics-working-group-meeting</t>
  </si>
  <si>
    <t>Metric/Indicator #</t>
  </si>
  <si>
    <t>Metric/Indicator Description</t>
  </si>
  <si>
    <t>Units of Measure</t>
  </si>
  <si>
    <t>Participants</t>
  </si>
  <si>
    <t>2022 Expected Results</t>
  </si>
  <si>
    <t>2023 Expected Results</t>
  </si>
  <si>
    <t>Proxy Explanation</t>
  </si>
  <si>
    <t>Notes</t>
  </si>
  <si>
    <t>ED Comments</t>
  </si>
  <si>
    <t>ED notes on realted, existing metrics</t>
  </si>
  <si>
    <t>Equity_01</t>
  </si>
  <si>
    <t>Total # residential (SF or MF unit) equity-targeted households (HHs) served by the Equity programs</t>
  </si>
  <si>
    <t>Households (HH)</t>
  </si>
  <si>
    <t>Equity-All Target Participants</t>
  </si>
  <si>
    <t xml:space="preserve">Based on the Final Equity WG report, SCG decided that Targets will be set for Equity segment metrics following the collection of the first two program years of data </t>
  </si>
  <si>
    <t>Equity_02</t>
  </si>
  <si>
    <t>A1.1</t>
  </si>
  <si>
    <t>Single Family –  equity market support (ex: education, information, training, technical support, etc.)</t>
  </si>
  <si>
    <t>MS Target Participants</t>
  </si>
  <si>
    <t>n/a</t>
  </si>
  <si>
    <t>SoCalGas will consider this added granularity during or after the initial two years of data gathering.</t>
  </si>
  <si>
    <t>Equity_03</t>
  </si>
  <si>
    <t>A1.2</t>
  </si>
  <si>
    <t>Single family –  equity resource acquisition (ex: energy saving action, etc. )</t>
  </si>
  <si>
    <t>RA Target Participants</t>
  </si>
  <si>
    <t>Equity_04</t>
  </si>
  <si>
    <t>A1.3</t>
  </si>
  <si>
    <t>Multifamily –  equity market support (ex: education, information, training, technical support, etc.)</t>
  </si>
  <si>
    <t>Be sure MF building definition (i.e. # of units) is consistent with BP metrics</t>
  </si>
  <si>
    <t>Equity_05</t>
  </si>
  <si>
    <t>A1.4</t>
  </si>
  <si>
    <t>Multifamily – equity resource acquisition (ex: energy saving action, etc. )</t>
  </si>
  <si>
    <t>Equity_06</t>
  </si>
  <si>
    <t>Total # MF equity-targeted buildings served by the Equity programs</t>
  </si>
  <si>
    <t>Buildings</t>
  </si>
  <si>
    <t>Equity_07</t>
  </si>
  <si>
    <t>A2.1</t>
  </si>
  <si>
    <t>Equity - Market support (ex: education, information, training, technical support, etc.)</t>
  </si>
  <si>
    <t>Equity_08</t>
  </si>
  <si>
    <t>A2.2</t>
  </si>
  <si>
    <t>Equity - resource acquisition (ex: energy saving action, etc. )</t>
  </si>
  <si>
    <t>Equity_09</t>
  </si>
  <si>
    <t>Total # Ag or Ind. equity-targeted customers served by the Equity programs</t>
  </si>
  <si>
    <t>Customers</t>
  </si>
  <si>
    <t>Industrial (I) and Agricultural (A)</t>
  </si>
  <si>
    <t>Equity_10</t>
  </si>
  <si>
    <t>A3.1</t>
  </si>
  <si>
    <t>Ag –  equity market support (ex: education, information, training, technical support, etc.)</t>
  </si>
  <si>
    <t>Equity_11</t>
  </si>
  <si>
    <t>A3.2</t>
  </si>
  <si>
    <t>Ag –  equity resource acquisition (ex: energy saving action, etc. )</t>
  </si>
  <si>
    <t>Equity_12</t>
  </si>
  <si>
    <t>A3.3</t>
  </si>
  <si>
    <t>Ind –  equity market support (ex: education, information, training, technical support, etc.)</t>
  </si>
  <si>
    <t>Equity_13</t>
  </si>
  <si>
    <t>A3.4</t>
  </si>
  <si>
    <t>Ind – equity resource acquisition (ex: energy saving action, etc. )</t>
  </si>
  <si>
    <t>Equity_14</t>
  </si>
  <si>
    <t>Total # equity-targeted public facilities and equipment or community projects served by the Equity programs</t>
  </si>
  <si>
    <t>Equity_15</t>
  </si>
  <si>
    <t>A4.1</t>
  </si>
  <si>
    <t>Equity_16</t>
  </si>
  <si>
    <t>A4.2</t>
  </si>
  <si>
    <t>Equity_17</t>
  </si>
  <si>
    <t>A5</t>
  </si>
  <si>
    <t>Total # small and medium business (SMB) equity-targeted participants served by the Equity programs</t>
  </si>
  <si>
    <t>Businesses</t>
  </si>
  <si>
    <t>Is distinction between Small and Medium business needed?</t>
  </si>
  <si>
    <t>Equity_18</t>
  </si>
  <si>
    <t>A5.1</t>
  </si>
  <si>
    <t>Equity_19</t>
  </si>
  <si>
    <t>A5.2</t>
  </si>
  <si>
    <t>Equity_20</t>
  </si>
  <si>
    <t>A6</t>
  </si>
  <si>
    <t>Total # of companies/non-profits served by the Equity Segment programs</t>
  </si>
  <si>
    <t>Equity_21</t>
  </si>
  <si>
    <t>A6.1</t>
  </si>
  <si>
    <t>Equity_22</t>
  </si>
  <si>
    <t>A6.2</t>
  </si>
  <si>
    <t>Equity_23</t>
  </si>
  <si>
    <t>A7</t>
  </si>
  <si>
    <t>Total # of contractors/workers served by Equity Segment Programs</t>
  </si>
  <si>
    <t>Contractors/Workers</t>
  </si>
  <si>
    <t xml:space="preserve">Would we just want the number of workers or would we want it by sector and/or by type of work (construction, consulting, admin, trainers, etc)? </t>
  </si>
  <si>
    <t>Equity_24</t>
  </si>
  <si>
    <t>A8</t>
  </si>
  <si>
    <t>Total # (indicator for all) [and % (metric for PAs with no relevant legal restriction)] of contractors and/or workers that are disadvantaged workers or otherwise underrepresented, who are directly involved in implementing Equity Segment programs</t>
  </si>
  <si>
    <t>Equity_25</t>
  </si>
  <si>
    <t>A9</t>
  </si>
  <si>
    <t>Total # (indicator for all) [and % (metric for PAs with no relevant legal restriction)] of companies/non-profits who are Diverse Business Enterprises (DBE) or otherwise underrepresented (e.g., BIPOC-owned) with contracts to implement Equity Segment programs</t>
  </si>
  <si>
    <t>Companies</t>
  </si>
  <si>
    <t>Equity_26</t>
  </si>
  <si>
    <t>Expected first-year bill savings in total $ for equity-targeted program participants (metric)</t>
  </si>
  <si>
    <t>Dollars</t>
  </si>
  <si>
    <t>Per the Equity WG report, the methodology and how fuel-switching will be handled still needs to be clarified</t>
  </si>
  <si>
    <t>Equity_27</t>
  </si>
  <si>
    <t>GHG reductions (tons)_EquityAll</t>
  </si>
  <si>
    <t>Lifecycle GHG reductions (tons) - Net</t>
  </si>
  <si>
    <t>Standard reporting</t>
  </si>
  <si>
    <t>N/A for targets because these are Indicators</t>
  </si>
  <si>
    <t>Equity_28</t>
  </si>
  <si>
    <t>B2.1</t>
  </si>
  <si>
    <t>GHG reductions (tons)_EquityDAC</t>
  </si>
  <si>
    <t>Equity-DAC Participants</t>
  </si>
  <si>
    <t>Equity_29</t>
  </si>
  <si>
    <t>B2.2</t>
  </si>
  <si>
    <t>GHG reductions (tons)_EquityHTR</t>
  </si>
  <si>
    <t>Equity-HTR Participants</t>
  </si>
  <si>
    <t>Equity_30</t>
  </si>
  <si>
    <t>B2.3</t>
  </si>
  <si>
    <t>GHG reductions (tons)_EquityUnderserved</t>
  </si>
  <si>
    <t>Equity-Underserved Participants</t>
  </si>
  <si>
    <t>Equity_31</t>
  </si>
  <si>
    <t>Total kWh savings_EquityAll</t>
  </si>
  <si>
    <t>Equity_32</t>
  </si>
  <si>
    <t>B3.1</t>
  </si>
  <si>
    <t>Total kWh savings_EquityDAC</t>
  </si>
  <si>
    <t>Equity_33</t>
  </si>
  <si>
    <t>B3.2</t>
  </si>
  <si>
    <t>Total kWh savings_EquityHTR</t>
  </si>
  <si>
    <t>Lifecycle ex-ante kWh net in Hard-to-Reach Markets</t>
  </si>
  <si>
    <t>Equity_34</t>
  </si>
  <si>
    <t>B3.3</t>
  </si>
  <si>
    <t>Total kWh savings_EquityUnderserved</t>
  </si>
  <si>
    <t>Equity_35</t>
  </si>
  <si>
    <t>Total kW savings_EquityAll</t>
  </si>
  <si>
    <t>Equity_36</t>
  </si>
  <si>
    <t>B4.1</t>
  </si>
  <si>
    <t>Total kW savings_EquityDAC</t>
  </si>
  <si>
    <t>Equity_37</t>
  </si>
  <si>
    <t>B4.2</t>
  </si>
  <si>
    <t>Total kW savings_EquityHTR</t>
  </si>
  <si>
    <t>Lifecycle ex-ante kW net in Hard-to-Reach Markets</t>
  </si>
  <si>
    <t>Equity_38</t>
  </si>
  <si>
    <t>B4.3</t>
  </si>
  <si>
    <t>Total kW savings_EquityUnderserved</t>
  </si>
  <si>
    <t>Equity_39</t>
  </si>
  <si>
    <t>B5</t>
  </si>
  <si>
    <t>Total Therm savings_EquityAll</t>
  </si>
  <si>
    <t>Equity_40</t>
  </si>
  <si>
    <t>B5.1</t>
  </si>
  <si>
    <t>Total Therm savings_EquityDAC</t>
  </si>
  <si>
    <t>Equity_41</t>
  </si>
  <si>
    <t>B5.2</t>
  </si>
  <si>
    <t>Total Therm savings_EquityHTR</t>
  </si>
  <si>
    <t>Lifecycle ex-ante Therm net in Hard-to-Reach Markets</t>
  </si>
  <si>
    <t>Equity_42</t>
  </si>
  <si>
    <t>B5.3</t>
  </si>
  <si>
    <t>Total Therm savings_EquityUnderserved</t>
  </si>
  <si>
    <t>Equity_43</t>
  </si>
  <si>
    <t>Community engagement activities during program design and to identify community needs and solutions</t>
  </si>
  <si>
    <t>Counts</t>
  </si>
  <si>
    <t>SoCalGas will pursue community engagement as a principle rather than an indicator</t>
  </si>
  <si>
    <t>Equity_44</t>
  </si>
  <si>
    <t>B7</t>
  </si>
  <si>
    <t>Community engagement activities during program implementation</t>
  </si>
  <si>
    <t>Equity_45</t>
  </si>
  <si>
    <t>B8</t>
  </si>
  <si>
    <t>Community engagement activities during program assessment</t>
  </si>
  <si>
    <t>Equity_46</t>
  </si>
  <si>
    <t>Energy and climate benefits (monetized within TSB)</t>
  </si>
  <si>
    <t>Equity_47</t>
  </si>
  <si>
    <t>C1.1</t>
  </si>
  <si>
    <t>Health – “non-energy benefits” in “counts of participants receiving this benefit” until we can monetize. Reporting at least one of: Indoor air quality, Outdoor air quality (e.g., reduction in emissions from gas combustion appliances that vent to nearby outdoor air), Reduction in interior contaminants/biologics, other</t>
  </si>
  <si>
    <t>Equity_48</t>
  </si>
  <si>
    <t>C1.2</t>
  </si>
  <si>
    <t>Comfort - “non-energy benefits” in “counts of participants receiving this benefit” until we can monetize. Reporting at least one of: reduced drafts, quieter interior, managed interior temp, other</t>
  </si>
  <si>
    <t>Equity_49</t>
  </si>
  <si>
    <t>C1.3</t>
  </si>
  <si>
    <t>Safety -“non-energy benefits” in “counts of participants receiving this benefit” until we can monetize. Reporting at least one of: improved safety of appliances, other</t>
  </si>
  <si>
    <t>Equity_50</t>
  </si>
  <si>
    <t>C1.4</t>
  </si>
  <si>
    <t>Economic or other “non-energy benefits” (as proposed by the PAs or program) in dollars or “counts of participants receiving this benefit” until we can monetize</t>
  </si>
  <si>
    <t>Market Support Segment Metrics</t>
  </si>
  <si>
    <t xml:space="preserve">THIS SET OF METRICS AND INDICATORS ARE BASED ON RECOMMENDATIONS BY CAEECC WORKING GROUPS. THEY HAVE NOT BEEN APPROVED BY THE CPUC.  FINAL REPORT CAN BE FOUND AT: https://www.caeecc.org/market-support-metrics-wg </t>
  </si>
  <si>
    <t>Index #</t>
  </si>
  <si>
    <t xml:space="preserve">Sector </t>
  </si>
  <si>
    <t>Participant</t>
  </si>
  <si>
    <t>MS_01</t>
  </si>
  <si>
    <t>MS-1.1</t>
  </si>
  <si>
    <t>Number and % increase/decrease of inquiries and/or requests for information on EE products and services through relevant MS programs</t>
  </si>
  <si>
    <t>Percent/Count</t>
  </si>
  <si>
    <t xml:space="preserve">Based on the Final Market Support WG report, SCG decided that Targets will be set for Market Support segment metrics following the collection of the first two program years of data </t>
  </si>
  <si>
    <t>Specificity, Granularity of sector</t>
  </si>
  <si>
    <t>MS_02</t>
  </si>
  <si>
    <t>MS-1.2</t>
  </si>
  <si>
    <t>Number and % increase/decrease of customers receiving information, education, or outreach on EE projects, products, and services through relevant MS programs</t>
  </si>
  <si>
    <t>MS_03</t>
  </si>
  <si>
    <t>MS-1.3</t>
  </si>
  <si>
    <t>% of customer sample aware of EE product/service (awareness) </t>
  </si>
  <si>
    <t>IOU Customers</t>
  </si>
  <si>
    <t>Survey</t>
  </si>
  <si>
    <t>Granularity, population/participant, methodology</t>
  </si>
  <si>
    <t>MS_04</t>
  </si>
  <si>
    <t>MS-1.4</t>
  </si>
  <si>
    <t>% of customer sample that is knowledgeable of EE product/service's benefits (knowledge) </t>
  </si>
  <si>
    <t>MS_05</t>
  </si>
  <si>
    <t>MS-1.5</t>
  </si>
  <si>
    <t>% of customer sample that is interested in obtaining an EE product/service (attitude) </t>
  </si>
  <si>
    <t>MS_06</t>
  </si>
  <si>
    <t>MS-1.6</t>
  </si>
  <si>
    <t>% of customer sample that has taken action towards obtaining EE product/service (behavior a)  </t>
  </si>
  <si>
    <t>MS_07</t>
  </si>
  <si>
    <t>MS-1.7</t>
  </si>
  <si>
    <t>% of customers that have obtained EE products/services (behavior b) </t>
  </si>
  <si>
    <t>Reportability</t>
  </si>
  <si>
    <t>Percent of incentive dollars spent on contracts with a demonstrated commitment to provide career pathways to disadvantaged workers</t>
  </si>
  <si>
    <t>MS_08</t>
  </si>
  <si>
    <t>MS-2.1</t>
  </si>
  <si>
    <t>Number of Contractors (that serve in PA service territory) with knowledge and trained by relevant MS programs to provide quality installations that optimize EE</t>
  </si>
  <si>
    <t>MS_09</t>
  </si>
  <si>
    <t>MS-2.2</t>
  </si>
  <si>
    <t>% of market actors aware of energy efficient products and/or services that can be supplied to customers (awareness) </t>
  </si>
  <si>
    <t>Market Actors</t>
  </si>
  <si>
    <t>MS_10</t>
  </si>
  <si>
    <t>MS-2.3</t>
  </si>
  <si>
    <t>% of market actors knowledgeable of energy efficient products and/or services that can be supplied to customers (knowledge) </t>
  </si>
  <si>
    <t>MS_11</t>
  </si>
  <si>
    <t>MS-2.4</t>
  </si>
  <si>
    <t>% of market actors that are interested in supplying energy efficient products and/or services to customers (attitude) </t>
  </si>
  <si>
    <t>MS_12</t>
  </si>
  <si>
    <t>MS-2.5</t>
  </si>
  <si>
    <t>% of market actors that have supplied energy efficient products and/or services to customers (behavior) </t>
  </si>
  <si>
    <t>MS_13</t>
  </si>
  <si>
    <t>MS-2.6</t>
  </si>
  <si>
    <t>% of market actors aware of what is required to perform/ensure quality installation of energy efficient products and/or services that optimizes energy efficiency savings (awareness) </t>
  </si>
  <si>
    <t>MS_14</t>
  </si>
  <si>
    <t>MS-2.7</t>
  </si>
  <si>
    <t>% of market actors knowledgeable of how to perform to perform/ensure quality installation of energy efficient products and/or services that optimizes energy efficiency savings (knowledge) </t>
  </si>
  <si>
    <t>MS_15</t>
  </si>
  <si>
    <t>MS-2.8</t>
  </si>
  <si>
    <t>% of market actors that are interested in performing/ensuring quality installation of energy efficient products and/or services that optimizes energy efficiency savings (attitude) </t>
  </si>
  <si>
    <t>MS_16</t>
  </si>
  <si>
    <t>MS-2.9</t>
  </si>
  <si>
    <t>% of market actors that have performed/ensured quality installation of energy efficient products and/or services that optimizes energy efficiency savings (behavior) </t>
  </si>
  <si>
    <t>MS_17</t>
  </si>
  <si>
    <t>MS-3.1</t>
  </si>
  <si>
    <t>Number of EE customers/market actors reached through partner networks and partner communications channels</t>
  </si>
  <si>
    <t>Specificity</t>
  </si>
  <si>
    <t>MS_18</t>
  </si>
  <si>
    <t>MS-3.2</t>
  </si>
  <si>
    <t>Assessed value of the partnership by partners </t>
  </si>
  <si>
    <t>Unknown</t>
  </si>
  <si>
    <t>Unit of Measurement</t>
  </si>
  <si>
    <t>MS_19</t>
  </si>
  <si>
    <t>MS-3.3</t>
  </si>
  <si>
    <t>% of partners that have taken action supporting energy efficiency </t>
  </si>
  <si>
    <t>MS_20</t>
  </si>
  <si>
    <t>MS-3.4</t>
  </si>
  <si>
    <t>Number of partners by type and purpose</t>
  </si>
  <si>
    <t>MS_21</t>
  </si>
  <si>
    <t>MS-3.5</t>
  </si>
  <si>
    <t>Dollar value of non-ratepayer in kind funds/contributions utilized via partnerships</t>
  </si>
  <si>
    <t>Prior year: % of new measures added to the portfolio that were previously ETP technologies</t>
  </si>
  <si>
    <t>Prior Year: # of new measures added to the portfolio that were previously ETP technologies</t>
  </si>
  <si>
    <t>Prior year: % of new codes or standards that were previously ETP technologies</t>
  </si>
  <si>
    <t>Prior Year: # of new codes and standards that were previously ETP technologies</t>
  </si>
  <si>
    <t>Savings of measures currently in the portfolio that were supported by ETP, added since 2009. Ex-ante with gross and net for all measures, with ex-post where available. </t>
  </si>
  <si>
    <t>MS_22</t>
  </si>
  <si>
    <t>MS-4.1</t>
  </si>
  <si>
    <t>Number of new, validated technologies recommended to CalTF</t>
  </si>
  <si>
    <t>Granularity of product/technology</t>
  </si>
  <si>
    <t>MS_23</t>
  </si>
  <si>
    <t>MS-4.2</t>
  </si>
  <si>
    <t xml:space="preserve">Number of market support projects (outside of ETP) that validate the technical performance, market and market barrier knowledge, and/or effective program interventions of an emerging/under-utilized or existing energy efficient technology </t>
  </si>
  <si>
    <t>Granularity of sector</t>
  </si>
  <si>
    <t>MS_24</t>
  </si>
  <si>
    <t>MS-4.3</t>
  </si>
  <si>
    <t>Cost effectiveness of a technology prior to market support programs relative to cost effectiveness of a technology after intervention by the market support programs (% change in cost effectiveness) </t>
  </si>
  <si>
    <t>CE</t>
  </si>
  <si>
    <t>MS_25</t>
  </si>
  <si>
    <t>MS-4.4</t>
  </si>
  <si>
    <t>Percent market penetration of emerging/under-utilized or existing EE products or services </t>
  </si>
  <si>
    <t>MS_26</t>
  </si>
  <si>
    <t>MS-4.5</t>
  </si>
  <si>
    <t>Percent market participant aware of emerging/under-utilized or existing EE products or services </t>
  </si>
  <si>
    <t>MS_27</t>
  </si>
  <si>
    <t>MS-4.6</t>
  </si>
  <si>
    <t>Aggregated confidence level in performance verification by product, project, and service (for relevant programs) </t>
  </si>
  <si>
    <t>MS_28</t>
  </si>
  <si>
    <t>MS-4.7</t>
  </si>
  <si>
    <t>Number of providers for performance verification services</t>
  </si>
  <si>
    <t>MS_29</t>
  </si>
  <si>
    <t>MS-5.1</t>
  </si>
  <si>
    <t>Participant data, e.g. credit score, census tract income, CalEnviroScreen Scores of areas served, zip code</t>
  </si>
  <si>
    <t>Misc</t>
  </si>
  <si>
    <t>Specificity, Units of Measurement, Reporting</t>
  </si>
  <si>
    <t>MS_30</t>
  </si>
  <si>
    <t>MS-5.2</t>
  </si>
  <si>
    <t>Comparisons between market-rate capital vs. capital accessed via EE programs, e.g. interest rate, monthly payment</t>
  </si>
  <si>
    <t>MS_31</t>
  </si>
  <si>
    <t>MS-5.3</t>
  </si>
  <si>
    <t>Total projects completed/measures installed and dollar value of consolidated projects[1] </t>
  </si>
  <si>
    <t>MS_32</t>
  </si>
  <si>
    <t>MS-5.4</t>
  </si>
  <si>
    <t>Ratio of ratepayer funds allocated to private capital leveraged[2] </t>
  </si>
  <si>
    <t>Ratio</t>
  </si>
  <si>
    <t>Granularity</t>
  </si>
  <si>
    <t>MS_33</t>
  </si>
  <si>
    <t>MS-5.5</t>
  </si>
  <si>
    <t>Differential of cost defrayed from customers (e.g., difference between comparable market rate products and program products). </t>
  </si>
  <si>
    <t>MS_34</t>
  </si>
  <si>
    <t>MS-5.6</t>
  </si>
  <si>
    <t>% of market participants aware of capital access opportunities for investments in energy efficient projects, products, and/or services (awareness) </t>
  </si>
  <si>
    <t>Market Participants</t>
  </si>
  <si>
    <t>MS_35</t>
  </si>
  <si>
    <t>MS-5.7</t>
  </si>
  <si>
    <t>% of market participants knowledgeable about capital access opportunities for investments in energy efficient projects, products, and/or services (knowledge) </t>
  </si>
  <si>
    <t>MS_36</t>
  </si>
  <si>
    <t>MS-5.8</t>
  </si>
  <si>
    <t>% of market participants interested in leveraging capital access opportunities for investments in energy efficient projects, products, and/or services (attitude) </t>
  </si>
  <si>
    <t>MS_37</t>
  </si>
  <si>
    <t>MS-5.9</t>
  </si>
  <si>
    <t>% of market participants that were unable to take action due to access to capital or affordability of energy efficient projects, products, or services (behavior) </t>
  </si>
  <si>
    <t>Comments and Suggestions</t>
  </si>
  <si>
    <t>This is an optional space to offer comments, feedback, and/or suggestions for improving information exchange between the Commission and PAs. Please keep this section focused on this and other instruments used for the Energy Efficiency Applications</t>
  </si>
  <si>
    <t>CO2-equivalent of net annual kWh savings</t>
  </si>
  <si>
    <t>Population</t>
  </si>
  <si>
    <t>First year annual kWh net in Hard-to-Reach Markets</t>
  </si>
  <si>
    <t>First year annual Therm gross in Hard-to-Reach Markets</t>
  </si>
  <si>
    <t>First year annual Therm net in Hard-to-Reach Markets</t>
  </si>
  <si>
    <t>Lifecycle ex-ante kW gross in Hard-to-Reach Markets</t>
  </si>
  <si>
    <t>Lifecycle ex-ante kWh gross in Hard-to-Reach Markets</t>
  </si>
  <si>
    <t>Lifecycle ex-ante Therm gross in Hard-to-Reach Markets</t>
  </si>
  <si>
    <t>Average electric and gas usage per household</t>
  </si>
  <si>
    <t>First year annual kW gross - Master Metered</t>
  </si>
  <si>
    <t>Average electric and gas usage per unit</t>
  </si>
  <si>
    <t>Average electric and gas usage per square foot</t>
  </si>
  <si>
    <t>Percent of participation relative to eligible population for  small customers</t>
  </si>
  <si>
    <t xml:space="preserve"> Average energy use intensity of all Public Sector buildings</t>
  </si>
  <si>
    <t xml:space="preserve">Number of TPMs initiated (gas and electric combined), including one technology-focused pilot (TFP) TPM </t>
  </si>
  <si>
    <t>Number of TPMs updated</t>
  </si>
  <si>
    <t>Number of projects initiated</t>
  </si>
  <si>
    <t>Number of outreach events with technology developers with products &lt;1 year from commercialization, including new technology vendors, manufacturers, and entrepreneurs</t>
  </si>
  <si>
    <t>Number of outreach events with technology developers with products &lt;5 years from commercialization, including new technology vendors, manufacturers, and entrepreneurs</t>
  </si>
  <si>
    <t xml:space="preserve">Number of projects initiated with cooperation from other internal IOU programs associated with each Technology-focused Pilot  </t>
  </si>
  <si>
    <t>Number of Technology-Focused Pilot (TFP) initiated as part of the TFP TPM</t>
  </si>
  <si>
    <t>Savings of measures currently in the portfolio that were supported by ETP, added since 2009. Ex-ante with gross and net for all measures, with ex-post where available</t>
  </si>
  <si>
    <t>Number and source (as reported by submitter) of project ideas submitted OUTSIDE OF the annual TPM research planning process by PA</t>
  </si>
  <si>
    <t>Number and source (as reported by submitter) of project ideas submitted OUTSIDE OF the annual TPM research planning process by National Lab</t>
  </si>
  <si>
    <t>Number and source (as reported by submitter) of project ideas submitted OUTSIDE OF the annual TPM research planning process by Manufacturer</t>
  </si>
  <si>
    <t>Number and source (as reported by submitter) of project ideas submitted OUTSIDE OF the annual TPM research planning process by Entrepreneur</t>
  </si>
  <si>
    <t>Number and source (as reported by submitter) of project ideas submitted AS PART OF the annual TPM research planning process by National Lab</t>
  </si>
  <si>
    <t>Number and source (as reported by submitter) of project ideas submitted AS PART OF the annual TPM research planning process by Manufacturer</t>
  </si>
  <si>
    <t>Number and source (as reported by submitter) of project ideas submitted AS PART OF the annual TPM research planning process by Entrepreneur</t>
  </si>
  <si>
    <t>List of ETP projects aligned with statewide goals that were initiated in the reporting year with specificity as to what aspect of each goal it is fulfilling</t>
  </si>
  <si>
    <t>Electric Average Rate (Res and Non-Res)  $/kwh * Total Lifecycle Electric Net Savings KWH + Gas Average Rate (Res and Non-Res) $/therm * Total Lifecycle Gas Net Savings Therm</t>
  </si>
  <si>
    <t>Electric Average Rate (Res and Non-Res)  $/kwh * Total First Year Electric Net Savings KWH + Gas Average Rate (Res and Non-Res)  $/therm * Total First Year Gas Net Savings Therm</t>
  </si>
  <si>
    <t>Authorized Funding in Rates (including Unspent/ Uncommitted Funds )</t>
  </si>
  <si>
    <t xml:space="preserve">Program Unspent/ Uncommitted Funds </t>
  </si>
  <si>
    <t xml:space="preserve">EM&amp;V Unspent/ Uncommitted Funds </t>
  </si>
  <si>
    <t>Total Unspent/ Uncommitted Funds</t>
  </si>
  <si>
    <r>
      <t xml:space="preserve">Non-Third Party Qualifying Costs 
</t>
    </r>
    <r>
      <rPr>
        <sz val="7"/>
        <rFont val="Calibri"/>
        <family val="2"/>
        <scheme val="minor"/>
      </rPr>
      <t>(including PA costs and old-definition 3P/GP contracts that don't meet the new definition)</t>
    </r>
  </si>
  <si>
    <r>
      <t xml:space="preserve">Third Party Qualifying Costs </t>
    </r>
    <r>
      <rPr>
        <b/>
        <vertAlign val="superscript"/>
        <sz val="11"/>
        <rFont val="Calibri"/>
        <family val="2"/>
        <scheme val="minor"/>
      </rPr>
      <t>2</t>
    </r>
    <r>
      <rPr>
        <b/>
        <sz val="11"/>
        <rFont val="Calibri"/>
        <family val="2"/>
        <scheme val="minor"/>
      </rPr>
      <t xml:space="preserve"> 
</t>
    </r>
    <r>
      <rPr>
        <sz val="7"/>
        <rFont val="Calibri"/>
        <family val="2"/>
        <scheme val="minor"/>
      </rPr>
      <t>(including SW)</t>
    </r>
  </si>
  <si>
    <r>
      <t xml:space="preserve">Third Party Qualifying Costs </t>
    </r>
    <r>
      <rPr>
        <b/>
        <vertAlign val="superscript"/>
        <sz val="11"/>
        <rFont val="Calibri"/>
        <family val="2"/>
        <scheme val="minor"/>
      </rPr>
      <t>2</t>
    </r>
    <r>
      <rPr>
        <b/>
        <sz val="11"/>
        <rFont val="Calibri"/>
        <family val="2"/>
        <scheme val="minor"/>
      </rPr>
      <t xml:space="preserve"> 
</t>
    </r>
    <r>
      <rPr>
        <sz val="7"/>
        <rFont val="Calibri"/>
        <family val="2"/>
        <scheme val="minor"/>
      </rPr>
      <t>(Local SW, CEC &amp; AB 841)</t>
    </r>
  </si>
  <si>
    <t xml:space="preserve">Direct Implementation 
(Incentives and Rebates) </t>
  </si>
  <si>
    <t>Direct Implementation 
(Non Incentives and Non Rebates)</t>
  </si>
  <si>
    <t>"Sector" refers to: a. Residential versus non-residential, b. Energy efficiency training topic area (e.g., Lighting, HVAC, agriculture). "Participants" means aggregate class attendance, meaning that one person attending two classes throughout the year would qualify as two participants. Please note that the IOUs began using a standard categorization of training topic areas in 2018.</t>
  </si>
  <si>
    <t>"Participation" means unique participants, meaning that one person attending two classes throughout the year would be counted as one participant. “Curriculum” refers to the portfolio of training programs and training materials offered by WE&amp;T. “Eligible target population” refers to the energy efficiency labor workforce within each PA's service territory based on the proportion of the IOU's territory population compared to that of California's population.</t>
  </si>
  <si>
    <t>“Disadvantaged Worker” means a worker that (1) has a referral from a collaborating community-based organization (CBO), state agency, or workforce investment board; or (2) lives in a ZIP code that is in the top 25% in one or more of the five socioeconomic indicators as defined in the California Office of Environmental Health Hazard Assessment’s CalEnviroScreen Tool. These socioeconomic indicators are educational attainment, housing burden, linguistic isolation, poverty, and unemployment. "Participant" means a unique participant, meaning that one person attending two classes throughout the year would be counted as one attendee.</t>
  </si>
  <si>
    <t>*Applies only to programs that install, modify, repair, or maintain EE equipment where the incentive is paid to an entity other than a manufacturer, distributor, or retailer of equipment. This applicability standard is adopted from the language the July 9th ruling on workforce standards. It excludes contracts such as those for upstream incentives, Codes and Standards, and mid-stream distributor programs. “Demonstrated commitment” means that the vendor submits a plan describing how the program will provide disadvantaged workers with improved access to career opportunities in the energy efficiency industry, that they regularly report the percentage of their workforce qualifying as “disadvantaged”, and that they have long-term targets for the percentage of their  workforce qualifying as “disadvantaged”. See "Disadvantaged worker" above.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</si>
</sst>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0">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00_);_(&quot;$&quot;* \(#,##0.0000\);_(&quot;$&quot;* &quot;-&quot;??_);_(@_)"/>
    <numFmt numFmtId="165" formatCode="_(&quot;$&quot;* #,##0.000_);_(&quot;$&quot;* \(#,##0.000\);_(&quot;$&quot;* &quot;-&quot;??_);_(@_)"/>
    <numFmt numFmtId="166" formatCode="_(&quot;$&quot;* #,##0_);_(&quot;$&quot;* \(#,##0\);_(&quot;$&quot;* &quot;-&quot;??_);_(@_)"/>
    <numFmt numFmtId="167" formatCode="_(&quot;$&quot;* #,##0.00000_);_(&quot;$&quot;* \(#,##0.00000\);_(&quot;$&quot;* &quot;-&quot;??_);_(@_)"/>
    <numFmt numFmtId="168" formatCode="0.0%"/>
    <numFmt numFmtId="169" formatCode="0_);\(0\)"/>
    <numFmt numFmtId="170" formatCode="[$$-409]#,##0.00"/>
    <numFmt numFmtId="171" formatCode="_(* #,##0.00000_);_(* \(#,##0.00000\);_(* &quot;-&quot;??_);_(@_)"/>
    <numFmt numFmtId="172" formatCode="_(* #,##0_);_(* \(#,##0\);_(* &quot;-&quot;??_);_(@_)"/>
    <numFmt numFmtId="173" formatCode="&quot;$&quot;#,##0.00"/>
    <numFmt numFmtId="174" formatCode="mmmddyyyy"/>
    <numFmt numFmtId="175" formatCode="yymmmmdd"/>
    <numFmt numFmtId="176" formatCode="0.0%;_(* &quot;-&quot;_)"/>
    <numFmt numFmtId="177" formatCode="#,##0.0,,,&quot;bn&quot;"/>
    <numFmt numFmtId="178" formatCode="#,##0;\-#,##0;&quot;-&quot;"/>
    <numFmt numFmtId="179" formatCode="&quot;$&quot;#,\);\(&quot;$&quot;#,##0\)"/>
    <numFmt numFmtId="180" formatCode="_-* #,##0.00_-;\-* #,##0.00_-;_-* &quot;-&quot;??_-;_-@_-"/>
    <numFmt numFmtId="181" formatCode="hh:mm"/>
    <numFmt numFmtId="182" formatCode="00000"/>
    <numFmt numFmtId="183" formatCode="_-&quot;$&quot;* #,##0.00_-;\-&quot;$&quot;* #,##0.00_-;_-&quot;$&quot;* &quot;-&quot;??_-;_-@_-"/>
    <numFmt numFmtId="184" formatCode="&quot;$&quot;\ #,##0.00_);\(&quot;$&quot;\ #,##0.00\)"/>
    <numFmt numFmtId="185" formatCode="mm/dd/yyyy;@"/>
    <numFmt numFmtId="186" formatCode="#,##0.00;[Red]#,##0.00"/>
    <numFmt numFmtId="187" formatCode="_([$€-2]* #,##0.00_);_([$€-2]* \(#,##0.00\);_([$€-2]* &quot;-&quot;??_)"/>
    <numFmt numFmtId="188" formatCode="\€#,##0.0,,,&quot;bn&quot;"/>
    <numFmt numFmtId="189" formatCode="\€#,##0.0,,&quot;m&quot;"/>
    <numFmt numFmtId="190" formatCode="\€#,##0.0,&quot;k&quot;"/>
    <numFmt numFmtId="191" formatCode="\€#,##0.00"/>
    <numFmt numFmtId="192" formatCode="_-* #,##0.0_-;\-* #,##0.0_-;_-* &quot;-&quot;??_-;_-@_-"/>
    <numFmt numFmtId="193" formatCode="yyyy"/>
    <numFmt numFmtId="194" formatCode="\£#,##0.00"/>
    <numFmt numFmtId="195" formatCode="\£#,##0.0,,,&quot;bn&quot;"/>
    <numFmt numFmtId="196" formatCode="\£#,##0.0,,&quot;m&quot;"/>
    <numFmt numFmtId="197" formatCode="\£#,##0.0,&quot;k&quot;"/>
    <numFmt numFmtId="198" formatCode="#,##0.00&quot; $&quot;;\-#,##0.00&quot; $&quot;"/>
    <numFmt numFmtId="199" formatCode=";;;"/>
    <numFmt numFmtId="200" formatCode="General_)"/>
    <numFmt numFmtId="201" formatCode="@*."/>
    <numFmt numFmtId="202" formatCode="_ * #,##0_ ;_ * \-#,##0_ ;_ * &quot;-&quot;_ ;_ @_ "/>
    <numFmt numFmtId="203" formatCode="_ * #,##0.00_ ;_ * \-#,##0.00_ ;_ * &quot;-&quot;??_ ;_ @_ "/>
    <numFmt numFmtId="204" formatCode="#,##0.0,,&quot;m&quot;"/>
    <numFmt numFmtId="205" formatCode="dd/mm/yy"/>
    <numFmt numFmtId="206" formatCode="0.0%;_(&quot;-&quot;_)"/>
    <numFmt numFmtId="207" formatCode="0.0000%"/>
    <numFmt numFmtId="208" formatCode="[&lt;=9999999]###\-####;\(###\)\ ###\-####"/>
    <numFmt numFmtId="209" formatCode="&quot;$&quot;#,##0"/>
    <numFmt numFmtId="210" formatCode="mmm\-yyyy"/>
    <numFmt numFmtId="211" formatCode="#,###,##0,&quot;k&quot;"/>
    <numFmt numFmtId="212" formatCode="#,##0,_);\(#,##0,\)"/>
    <numFmt numFmtId="213" formatCode="\$#,##0.0,,,&quot;bn&quot;"/>
    <numFmt numFmtId="214" formatCode="\$#,##0.0,,&quot;m&quot;"/>
    <numFmt numFmtId="215" formatCode="\$#,##0.0,&quot;k&quot;"/>
    <numFmt numFmtId="216" formatCode="[$-409]d\-mmm\-yy;@"/>
    <numFmt numFmtId="217" formatCode="00\-0000000"/>
    <numFmt numFmtId="218" formatCode="_(* #,##0.0_);_(* \(#,##0.0\);_(* &quot;-&quot;??_);_(@_)"/>
    <numFmt numFmtId="219" formatCode="_-* #,##0.00\ &quot;DM&quot;_-;\-* #,##0.00\ &quot;DM&quot;_-;_-* &quot;-&quot;??\ &quot;DM&quot;_-;_-@_-"/>
    <numFmt numFmtId="220" formatCode="_-* #,##0_-;\-* #,##0_-;_-* &quot;-&quot;??_-;_-@_-"/>
    <numFmt numFmtId="221" formatCode="0.000%"/>
    <numFmt numFmtId="222" formatCode="_([$$-409]* #,##0_);_([$$-409]* \(#,##0\);_([$$-409]* &quot;-&quot;??_);_(@_)"/>
    <numFmt numFmtId="223" formatCode="_([$$-409]* #,##0.00_);_([$$-409]* \(#,##0.00\);_([$$-409]* &quot;-&quot;??_);_(@_)"/>
    <numFmt numFmtId="224" formatCode="_([$$-409]* #,##0.0000_);_([$$-409]* \(#,##0.0000\);_([$$-409]* &quot;-&quot;??_);_(@_)"/>
    <numFmt numFmtId="225" formatCode="_([$$-409]* #,##0.00000_);_([$$-409]* \(#,##0.00000\);_([$$-409]* &quot;-&quot;??_);_(@_)"/>
    <numFmt numFmtId="226" formatCode="mm/yyyy"/>
  </numFmts>
  <fonts count="200">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FF0000"/>
      <name val="Calibri"/>
      <family val="2"/>
      <scheme val="minor"/>
    </font>
    <font>
      <b/>
      <sz val="12"/>
      <name val="Times New Roman"/>
      <family val="1"/>
    </font>
    <font>
      <sz val="10"/>
      <name val="Arial"/>
      <family val="2"/>
    </font>
    <font>
      <sz val="12"/>
      <name val="Times New Roman"/>
      <family val="1"/>
    </font>
    <font>
      <sz val="10"/>
      <name val="Times New Roman"/>
      <family val="1"/>
    </font>
    <font>
      <sz val="11"/>
      <name val="Calibri"/>
      <family val="2"/>
      <scheme val="minor"/>
    </font>
    <font>
      <b/>
      <sz val="10"/>
      <name val="Arial"/>
      <family val="2"/>
    </font>
    <font>
      <b/>
      <sz val="12"/>
      <name val="Arial"/>
      <family val="2"/>
    </font>
    <font>
      <sz val="12"/>
      <color theme="1"/>
      <name val="Calibri"/>
      <family val="2"/>
      <scheme val="minor"/>
    </font>
    <font>
      <sz val="11"/>
      <color rgb="FF0000FF"/>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Helv"/>
      <charset val="204"/>
    </font>
    <font>
      <sz val="12"/>
      <name val="???"/>
      <family val="1"/>
      <charset val="129"/>
    </font>
    <font>
      <u/>
      <sz val="8.4"/>
      <color indexed="12"/>
      <name val="Arial"/>
      <family val="2"/>
    </font>
    <font>
      <sz val="10"/>
      <color indexed="11"/>
      <name val="Arial"/>
      <family val="2"/>
    </font>
    <font>
      <i/>
      <sz val="10"/>
      <color indexed="12"/>
      <name val="Arial"/>
      <family val="2"/>
    </font>
    <font>
      <i/>
      <sz val="10"/>
      <color indexed="10"/>
      <name val="Arial"/>
      <family val="2"/>
    </font>
    <font>
      <sz val="11"/>
      <color indexed="8"/>
      <name val="Calibri"/>
      <family val="2"/>
    </font>
    <font>
      <sz val="11"/>
      <color indexed="9"/>
      <name val="Calibri"/>
      <family val="2"/>
    </font>
    <font>
      <sz val="10"/>
      <color indexed="8"/>
      <name val="MS Sans Serif"/>
      <family val="2"/>
    </font>
    <font>
      <sz val="10"/>
      <name val="Geneva"/>
      <family val="2"/>
    </font>
    <font>
      <sz val="11"/>
      <color indexed="20"/>
      <name val="Calibri"/>
      <family val="2"/>
    </font>
    <font>
      <sz val="9"/>
      <name val="Helv"/>
    </font>
    <font>
      <sz val="10"/>
      <color indexed="8"/>
      <name val="Arial"/>
      <family val="2"/>
    </font>
    <font>
      <b/>
      <sz val="11"/>
      <color indexed="52"/>
      <name val="Calibri"/>
      <family val="2"/>
    </font>
    <font>
      <b/>
      <sz val="11"/>
      <color indexed="53"/>
      <name val="Calibri"/>
      <family val="2"/>
    </font>
    <font>
      <b/>
      <sz val="11"/>
      <color indexed="9"/>
      <name val="Calibri"/>
      <family val="2"/>
    </font>
    <font>
      <sz val="10"/>
      <name val="MS Sans Serif"/>
      <family val="2"/>
    </font>
    <font>
      <sz val="10"/>
      <name val="MS Serif"/>
      <family val="1"/>
    </font>
    <font>
      <sz val="11"/>
      <name val="Book Antiqua"/>
      <family val="1"/>
    </font>
    <font>
      <sz val="10"/>
      <color theme="1"/>
      <name val="Arial"/>
      <family val="2"/>
    </font>
    <font>
      <sz val="10"/>
      <color indexed="12"/>
      <name val="Times New Roman"/>
      <family val="1"/>
    </font>
    <font>
      <sz val="11"/>
      <name val="??"/>
      <family val="3"/>
      <charset val="129"/>
    </font>
    <font>
      <sz val="10"/>
      <color indexed="16"/>
      <name val="MS Serif"/>
      <family val="1"/>
    </font>
    <font>
      <i/>
      <sz val="11"/>
      <color indexed="23"/>
      <name val="Calibri"/>
      <family val="2"/>
    </font>
    <font>
      <sz val="8"/>
      <name val="Arial"/>
      <family val="2"/>
    </font>
    <font>
      <sz val="6"/>
      <name val="Arial"/>
      <family val="2"/>
    </font>
    <font>
      <sz val="11"/>
      <color indexed="17"/>
      <name val="Calibri"/>
      <family val="2"/>
    </font>
    <font>
      <b/>
      <u/>
      <sz val="11"/>
      <color indexed="37"/>
      <name val="Arial"/>
      <family val="2"/>
    </font>
    <font>
      <b/>
      <sz val="18"/>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sz val="10"/>
      <color indexed="12"/>
      <name val="Arial"/>
      <family val="2"/>
    </font>
    <font>
      <sz val="7"/>
      <color indexed="12"/>
      <name val="Arial"/>
      <family val="2"/>
    </font>
    <font>
      <sz val="11"/>
      <color indexed="62"/>
      <name val="Calibri"/>
      <family val="2"/>
    </font>
    <font>
      <sz val="11"/>
      <color indexed="52"/>
      <name val="Calibri"/>
      <family val="2"/>
    </font>
    <font>
      <sz val="11"/>
      <color indexed="53"/>
      <name val="Calibri"/>
      <family val="2"/>
    </font>
    <font>
      <sz val="11"/>
      <color indexed="60"/>
      <name val="Calibri"/>
      <family val="2"/>
    </font>
    <font>
      <sz val="7"/>
      <name val="Small Fonts"/>
      <family val="2"/>
    </font>
    <font>
      <sz val="12"/>
      <name val="Arial"/>
      <family val="2"/>
    </font>
    <font>
      <sz val="11"/>
      <name val="Tms Rmn"/>
    </font>
    <font>
      <sz val="9"/>
      <name val="Arial"/>
      <family val="2"/>
    </font>
    <font>
      <i/>
      <sz val="11"/>
      <name val="Arial"/>
      <family val="2"/>
    </font>
    <font>
      <b/>
      <sz val="11"/>
      <color indexed="63"/>
      <name val="Calibri"/>
      <family val="2"/>
    </font>
    <font>
      <sz val="22"/>
      <name val="UBSHeadline"/>
      <family val="1"/>
    </font>
    <font>
      <sz val="8"/>
      <color indexed="8"/>
      <name val="Arial"/>
      <family val="2"/>
    </font>
    <font>
      <sz val="10"/>
      <color indexed="10"/>
      <name val="Geneva"/>
      <family val="2"/>
    </font>
    <font>
      <sz val="10"/>
      <color indexed="14"/>
      <name val="Arial"/>
      <family val="2"/>
    </font>
    <font>
      <sz val="8"/>
      <name val="Helv"/>
    </font>
    <font>
      <b/>
      <sz val="9"/>
      <color indexed="8"/>
      <name val="Arial"/>
      <family val="2"/>
    </font>
    <font>
      <b/>
      <sz val="10"/>
      <color indexed="39"/>
      <name val="Arial"/>
      <family val="2"/>
    </font>
    <font>
      <b/>
      <sz val="11"/>
      <color indexed="9"/>
      <name val="Arial"/>
      <family val="2"/>
    </font>
    <font>
      <b/>
      <i/>
      <sz val="11"/>
      <color indexed="9"/>
      <name val="Arial"/>
      <family val="2"/>
    </font>
    <font>
      <b/>
      <sz val="10"/>
      <color indexed="8"/>
      <name val="Arial"/>
      <family val="2"/>
    </font>
    <font>
      <b/>
      <sz val="9"/>
      <name val="Arial"/>
      <family val="2"/>
    </font>
    <font>
      <b/>
      <sz val="8"/>
      <name val="Arial"/>
      <family val="2"/>
    </font>
    <font>
      <b/>
      <sz val="12"/>
      <color indexed="8"/>
      <name val="Arial"/>
      <family val="2"/>
    </font>
    <font>
      <i/>
      <sz val="8"/>
      <color indexed="8"/>
      <name val="Arial"/>
      <family val="2"/>
    </font>
    <font>
      <sz val="10"/>
      <color indexed="56"/>
      <name val="Arial"/>
      <family val="2"/>
    </font>
    <font>
      <sz val="10"/>
      <color indexed="39"/>
      <name val="Arial"/>
      <family val="2"/>
    </font>
    <font>
      <sz val="12"/>
      <color indexed="9"/>
      <name val="Arial"/>
      <family val="2"/>
    </font>
    <font>
      <i/>
      <sz val="12"/>
      <color indexed="9"/>
      <name val="Arial"/>
      <family val="2"/>
    </font>
    <font>
      <sz val="9"/>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b/>
      <sz val="14"/>
      <name val="Arial"/>
      <family val="2"/>
    </font>
    <font>
      <sz val="10"/>
      <color indexed="10"/>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5"/>
      <name val="Arial"/>
      <family val="2"/>
    </font>
    <font>
      <sz val="10"/>
      <name val="Tahoma"/>
      <family val="2"/>
    </font>
    <font>
      <b/>
      <sz val="8"/>
      <color indexed="8"/>
      <name val="Helv"/>
    </font>
    <font>
      <sz val="10"/>
      <name val="Frutiger 45 Light"/>
      <family val="2"/>
    </font>
    <font>
      <b/>
      <sz val="18"/>
      <color indexed="56"/>
      <name val="Cambria"/>
      <family val="2"/>
    </font>
    <font>
      <b/>
      <sz val="11"/>
      <color indexed="8"/>
      <name val="Calibri"/>
      <family val="2"/>
    </font>
    <font>
      <sz val="8"/>
      <color indexed="12"/>
      <name val="Arial"/>
      <family val="2"/>
    </font>
    <font>
      <sz val="12"/>
      <name val="Arial Black"/>
      <family val="2"/>
    </font>
    <font>
      <sz val="11"/>
      <color indexed="10"/>
      <name val="Calibri"/>
      <family val="2"/>
    </font>
    <font>
      <sz val="10"/>
      <color indexed="9"/>
      <name val="Arial"/>
      <family val="2"/>
    </font>
    <font>
      <b/>
      <sz val="10"/>
      <name val="Times New Roman"/>
      <family val="1"/>
    </font>
    <font>
      <sz val="10"/>
      <color indexed="8"/>
      <name val="楲污瑡潩⁮"/>
    </font>
    <font>
      <sz val="11"/>
      <color rgb="FF000000"/>
      <name val="Calibri"/>
      <family val="2"/>
      <scheme val="minor"/>
    </font>
    <font>
      <sz val="10"/>
      <name val="Arial"/>
      <family val="2"/>
    </font>
    <font>
      <sz val="10"/>
      <name val="Helv"/>
    </font>
    <font>
      <b/>
      <sz val="18"/>
      <color theme="3"/>
      <name val="Calibri Light"/>
      <family val="2"/>
      <scheme val="major"/>
    </font>
    <font>
      <sz val="11"/>
      <color rgb="FF9C6500"/>
      <name val="Calibri"/>
      <family val="2"/>
      <scheme val="minor"/>
    </font>
    <font>
      <sz val="7"/>
      <name val="Arial"/>
      <family val="2"/>
    </font>
    <font>
      <sz val="11"/>
      <color indexed="16"/>
      <name val="Calibri"/>
      <family val="2"/>
    </font>
    <font>
      <sz val="11"/>
      <color indexed="37"/>
      <name val="Calibri"/>
      <family val="2"/>
    </font>
    <font>
      <b/>
      <sz val="11"/>
      <color indexed="17"/>
      <name val="Calibri"/>
      <family val="2"/>
    </font>
    <font>
      <b/>
      <sz val="11"/>
      <color indexed="10"/>
      <name val="Calibri"/>
      <family val="2"/>
      <scheme val="minor"/>
    </font>
    <font>
      <sz val="10"/>
      <color theme="1"/>
      <name val="Calibri"/>
      <family val="2"/>
    </font>
    <font>
      <i/>
      <sz val="10"/>
      <color indexed="23"/>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u/>
      <sz val="10"/>
      <color indexed="12"/>
      <name val="Times New Roman"/>
      <family val="1"/>
    </font>
    <font>
      <u/>
      <sz val="11"/>
      <color theme="10"/>
      <name val="Calibri"/>
      <family val="2"/>
    </font>
    <font>
      <u/>
      <sz val="10"/>
      <color indexed="12"/>
      <name val="Arial"/>
      <family val="2"/>
    </font>
    <font>
      <u/>
      <sz val="9"/>
      <color indexed="12"/>
      <name val="Geneva"/>
    </font>
    <font>
      <sz val="11"/>
      <color indexed="48"/>
      <name val="Calibri"/>
      <family val="2"/>
    </font>
    <font>
      <sz val="11"/>
      <color indexed="10"/>
      <name val="Calibri"/>
      <family val="2"/>
      <scheme val="minor"/>
    </font>
    <font>
      <sz val="11"/>
      <color indexed="19"/>
      <name val="Calibri"/>
      <family val="2"/>
      <scheme val="minor"/>
    </font>
    <font>
      <sz val="12"/>
      <name val="Helv"/>
    </font>
    <font>
      <sz val="8"/>
      <color indexed="62"/>
      <name val="Arial"/>
      <family val="2"/>
    </font>
    <font>
      <b/>
      <sz val="8"/>
      <color indexed="8"/>
      <name val="Arial"/>
      <family val="2"/>
    </font>
    <font>
      <sz val="19"/>
      <name val="Arial"/>
      <family val="2"/>
    </font>
    <font>
      <b/>
      <sz val="16"/>
      <color indexed="23"/>
      <name val="Arial"/>
      <family val="2"/>
    </font>
    <font>
      <sz val="19"/>
      <color indexed="48"/>
      <name val="Arial"/>
      <family val="2"/>
    </font>
    <font>
      <sz val="8"/>
      <color indexed="14"/>
      <name val="Arial"/>
      <family val="2"/>
    </font>
    <font>
      <b/>
      <sz val="40"/>
      <color indexed="63"/>
      <name val="Trebuchet MS"/>
      <family val="2"/>
    </font>
    <font>
      <b/>
      <sz val="22"/>
      <name val="Tahoma"/>
      <family val="2"/>
    </font>
    <font>
      <b/>
      <sz val="24"/>
      <name val="Tahoma"/>
      <family val="2"/>
    </font>
    <font>
      <sz val="22"/>
      <name val="Tahoma"/>
      <family val="2"/>
    </font>
    <font>
      <sz val="11"/>
      <color indexed="14"/>
      <name val="Calibri"/>
      <family val="2"/>
    </font>
    <font>
      <b/>
      <sz val="12"/>
      <color theme="1"/>
      <name val="Calibri"/>
      <family val="2"/>
      <scheme val="minor"/>
    </font>
    <font>
      <sz val="12"/>
      <name val="Calibri"/>
      <family val="2"/>
      <scheme val="minor"/>
    </font>
    <font>
      <b/>
      <sz val="11"/>
      <name val="Calibri"/>
      <family val="2"/>
      <scheme val="minor"/>
    </font>
    <font>
      <b/>
      <vertAlign val="superscript"/>
      <sz val="11"/>
      <name val="Calibri"/>
      <family val="2"/>
      <scheme val="minor"/>
    </font>
    <font>
      <sz val="8"/>
      <name val="Calibri"/>
      <family val="2"/>
      <scheme val="minor"/>
    </font>
    <font>
      <sz val="12"/>
      <color rgb="FF0000FF"/>
      <name val="Calibri"/>
      <family val="2"/>
      <scheme val="minor"/>
    </font>
    <font>
      <sz val="12"/>
      <color rgb="FFFF0000"/>
      <name val="Calibri"/>
      <family val="2"/>
      <scheme val="minor"/>
    </font>
    <font>
      <sz val="12"/>
      <color rgb="FF9C6500"/>
      <name val="Calibri"/>
      <family val="2"/>
      <scheme val="minor"/>
    </font>
    <font>
      <sz val="12"/>
      <color rgb="FF006100"/>
      <name val="Calibri"/>
      <family val="2"/>
      <scheme val="minor"/>
    </font>
    <font>
      <sz val="12"/>
      <color theme="1"/>
      <name val="Calibri"/>
      <family val="2"/>
    </font>
    <font>
      <sz val="12"/>
      <name val="Calibri"/>
      <family val="2"/>
    </font>
    <font>
      <b/>
      <sz val="11"/>
      <color rgb="FFFF0000"/>
      <name val="Calibri"/>
      <family val="2"/>
      <scheme val="minor"/>
    </font>
    <font>
      <b/>
      <sz val="11"/>
      <color rgb="FF00B050"/>
      <name val="Calibri"/>
      <family val="2"/>
      <scheme val="minor"/>
    </font>
    <font>
      <b/>
      <sz val="11"/>
      <color rgb="FF000000"/>
      <name val="Calibri"/>
      <family val="2"/>
      <scheme val="minor"/>
    </font>
    <font>
      <b/>
      <sz val="11"/>
      <color rgb="FF0000FF"/>
      <name val="Calibri"/>
      <family val="2"/>
      <scheme val="minor"/>
    </font>
    <font>
      <b/>
      <sz val="11"/>
      <color indexed="9"/>
      <name val="Calibri"/>
      <family val="2"/>
      <scheme val="minor"/>
    </font>
    <font>
      <u/>
      <sz val="11"/>
      <color rgb="FF0000FF"/>
      <name val="Calibri"/>
      <family val="2"/>
      <scheme val="minor"/>
    </font>
    <font>
      <vertAlign val="superscript"/>
      <sz val="11"/>
      <name val="Calibri"/>
      <family val="2"/>
      <scheme val="minor"/>
    </font>
    <font>
      <vertAlign val="superscript"/>
      <sz val="11"/>
      <color rgb="FF0000FF"/>
      <name val="Calibri"/>
      <family val="2"/>
      <scheme val="minor"/>
    </font>
    <font>
      <i/>
      <u/>
      <sz val="11"/>
      <color indexed="10"/>
      <name val="Calibri"/>
      <family val="2"/>
      <scheme val="minor"/>
    </font>
    <font>
      <b/>
      <u/>
      <sz val="11"/>
      <color rgb="FFFF0000"/>
      <name val="Calibri"/>
      <family val="2"/>
      <scheme val="minor"/>
    </font>
    <font>
      <sz val="11"/>
      <color theme="2"/>
      <name val="Calibri"/>
      <family val="2"/>
      <scheme val="minor"/>
    </font>
    <font>
      <b/>
      <sz val="11"/>
      <color theme="2"/>
      <name val="Calibri"/>
      <family val="2"/>
      <scheme val="minor"/>
    </font>
    <font>
      <sz val="11"/>
      <color rgb="FF444444"/>
      <name val="Calibri"/>
      <family val="2"/>
      <scheme val="minor"/>
    </font>
    <font>
      <sz val="11"/>
      <color rgb="FF7030A0"/>
      <name val="Calibri"/>
      <family val="2"/>
      <scheme val="minor"/>
    </font>
    <font>
      <strike/>
      <sz val="11"/>
      <name val="Calibri"/>
      <family val="2"/>
      <scheme val="minor"/>
    </font>
    <font>
      <b/>
      <sz val="11"/>
      <color rgb="FFFFFFFF"/>
      <name val="Calibri"/>
      <family val="2"/>
      <scheme val="minor"/>
    </font>
    <font>
      <sz val="7"/>
      <name val="Calibri"/>
      <family val="2"/>
      <scheme val="minor"/>
    </font>
  </fonts>
  <fills count="161">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35"/>
      </patternFill>
    </fill>
    <fill>
      <patternFill patternType="solid">
        <fgColor indexed="27"/>
      </patternFill>
    </fill>
    <fill>
      <patternFill patternType="solid">
        <fgColor indexed="47"/>
      </patternFill>
    </fill>
    <fill>
      <patternFill patternType="solid">
        <fgColor indexed="44"/>
      </patternFill>
    </fill>
    <fill>
      <patternFill patternType="solid">
        <fgColor indexed="55"/>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53"/>
      </patternFill>
    </fill>
    <fill>
      <patternFill patternType="solid">
        <fgColor indexed="44"/>
        <bgColor indexed="64"/>
      </patternFill>
    </fill>
    <fill>
      <patternFill patternType="solid">
        <fgColor indexed="23"/>
      </patternFill>
    </fill>
    <fill>
      <patternFill patternType="solid">
        <fgColor indexed="49"/>
        <bgColor indexed="64"/>
      </patternFill>
    </fill>
    <fill>
      <patternFill patternType="solid">
        <fgColor indexed="50"/>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indexed="43"/>
      </patternFill>
    </fill>
    <fill>
      <patternFill patternType="solid">
        <fgColor indexed="43"/>
        <bgColor indexed="64"/>
      </patternFill>
    </fill>
    <fill>
      <patternFill patternType="solid">
        <fgColor indexed="31"/>
        <bgColor indexed="43"/>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55"/>
        <bgColor indexed="64"/>
      </patternFill>
    </fill>
    <fill>
      <patternFill patternType="solid">
        <fgColor indexed="54"/>
        <bgColor indexed="64"/>
      </patternFill>
    </fill>
    <fill>
      <patternFill patternType="solid">
        <fgColor indexed="31"/>
        <bgColor indexed="54"/>
      </patternFill>
    </fill>
    <fill>
      <patternFill patternType="solid">
        <fgColor indexed="40"/>
        <bgColor indexed="64"/>
      </patternFill>
    </fill>
    <fill>
      <patternFill patternType="solid">
        <fgColor indexed="41"/>
        <bgColor indexed="64"/>
      </patternFill>
    </fill>
    <fill>
      <patternFill patternType="solid">
        <fgColor indexed="9"/>
      </patternFill>
    </fill>
    <fill>
      <patternFill patternType="solid">
        <fgColor indexed="35"/>
        <bgColor indexed="64"/>
      </patternFill>
    </fill>
    <fill>
      <patternFill patternType="solid">
        <fgColor indexed="41"/>
      </patternFill>
    </fill>
    <fill>
      <patternFill patternType="solid">
        <fgColor indexed="10"/>
        <bgColor indexed="64"/>
      </patternFill>
    </fill>
    <fill>
      <patternFill patternType="solid">
        <fgColor indexed="30"/>
        <bgColor indexed="40"/>
      </patternFill>
    </fill>
    <fill>
      <patternFill patternType="solid">
        <fgColor indexed="14"/>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18"/>
        <bgColor indexed="64"/>
      </patternFill>
    </fill>
    <fill>
      <patternFill patternType="solid">
        <fgColor indexed="42"/>
        <bgColor indexed="64"/>
      </patternFill>
    </fill>
    <fill>
      <patternFill patternType="solid">
        <fgColor indexed="45"/>
        <bgColor indexed="64"/>
      </patternFill>
    </fill>
    <fill>
      <patternFill patternType="solid">
        <fgColor indexed="53"/>
        <bgColor indexed="64"/>
      </patternFill>
    </fill>
    <fill>
      <patternFill patternType="solid">
        <fgColor indexed="16"/>
        <bgColor indexed="64"/>
      </patternFill>
    </fill>
    <fill>
      <patternFill patternType="solid">
        <fgColor indexed="14"/>
      </patternFill>
    </fill>
    <fill>
      <patternFill patternType="solid">
        <fgColor indexed="63"/>
      </patternFill>
    </fill>
    <fill>
      <patternFill patternType="solid">
        <fgColor indexed="18"/>
      </patternFill>
    </fill>
    <fill>
      <patternFill patternType="solid">
        <fgColor indexed="40"/>
      </patternFill>
    </fill>
    <fill>
      <patternFill patternType="solid">
        <fgColor indexed="61"/>
        <bgColor indexed="61"/>
      </patternFill>
    </fill>
    <fill>
      <patternFill patternType="solid">
        <fgColor indexed="58"/>
        <bgColor indexed="58"/>
      </patternFill>
    </fill>
    <fill>
      <patternFill patternType="solid">
        <fgColor indexed="48"/>
        <bgColor indexed="48"/>
      </patternFill>
    </fill>
    <fill>
      <patternFill patternType="solid">
        <fgColor indexed="56"/>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9"/>
        <bgColor indexed="9"/>
      </patternFill>
    </fill>
    <fill>
      <patternFill patternType="solid">
        <fgColor indexed="35"/>
        <bgColor indexed="35"/>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2"/>
        <bgColor indexed="42"/>
      </patternFill>
    </fill>
    <fill>
      <patternFill patternType="solid">
        <fgColor indexed="60"/>
      </patternFill>
    </fill>
    <fill>
      <patternFill patternType="solid">
        <fgColor indexed="31"/>
        <bgColor indexed="64"/>
      </patternFill>
    </fill>
    <fill>
      <patternFill patternType="solid">
        <fgColor indexed="12"/>
      </patternFill>
    </fill>
    <fill>
      <patternFill patternType="solid">
        <fgColor indexed="29"/>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lightUp">
        <fgColor indexed="48"/>
        <bgColor indexed="41"/>
      </patternFill>
    </fill>
    <fill>
      <patternFill patternType="lightUp">
        <fgColor indexed="22"/>
        <bgColor indexed="35"/>
      </patternFill>
    </fill>
    <fill>
      <patternFill patternType="solid">
        <fgColor indexed="23"/>
        <bgColor indexed="64"/>
      </patternFill>
    </fill>
    <fill>
      <patternFill patternType="solid">
        <fgColor indexed="15"/>
      </patternFill>
    </fill>
    <fill>
      <patternFill patternType="solid">
        <fgColor indexed="20"/>
      </patternFill>
    </fill>
    <fill>
      <patternFill patternType="solid">
        <fgColor rgb="FFFFFFFF"/>
        <bgColor indexed="64"/>
      </patternFill>
    </fill>
    <fill>
      <patternFill patternType="solid">
        <fgColor theme="1"/>
        <bgColor indexed="64"/>
      </patternFill>
    </fill>
    <fill>
      <patternFill patternType="solid">
        <fgColor rgb="FF92D05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DDEBF7"/>
        <bgColor indexed="64"/>
      </patternFill>
    </fill>
    <fill>
      <patternFill patternType="solid">
        <fgColor rgb="FFBDD7EE"/>
        <bgColor rgb="FF000000"/>
      </patternFill>
    </fill>
    <fill>
      <patternFill patternType="solid">
        <fgColor rgb="FFFFFFFF"/>
        <bgColor rgb="FF000000"/>
      </patternFill>
    </fill>
    <fill>
      <patternFill patternType="solid">
        <fgColor rgb="FFD9D9D9"/>
        <bgColor rgb="FF000000"/>
      </patternFill>
    </fill>
    <fill>
      <patternFill patternType="solid">
        <fgColor rgb="FFF2F2F2"/>
        <bgColor rgb="FF000000"/>
      </patternFill>
    </fill>
    <fill>
      <patternFill patternType="solid">
        <fgColor rgb="FF000000"/>
        <bgColor rgb="FF000000"/>
      </patternFill>
    </fill>
    <fill>
      <patternFill patternType="solid">
        <fgColor rgb="FFD0CECE"/>
        <bgColor indexed="64"/>
      </patternFill>
    </fill>
    <fill>
      <patternFill patternType="solid">
        <fgColor rgb="FF000000"/>
        <bgColor indexed="64"/>
      </patternFill>
    </fill>
  </fills>
  <borders count="2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style="medium">
        <color rgb="FF000000"/>
      </bottom>
      <diagonal/>
    </border>
    <border>
      <left/>
      <right/>
      <top style="thin">
        <color auto="1"/>
      </top>
      <bottom style="thin">
        <color auto="1"/>
      </bottom>
      <diagonal/>
    </border>
    <border>
      <left/>
      <right style="thin">
        <color auto="1"/>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auto="1"/>
      </left>
      <right/>
      <top/>
      <bottom style="hair">
        <color auto="1"/>
      </bottom>
      <diagonal/>
    </border>
    <border>
      <left style="thin">
        <color auto="1"/>
      </left>
      <right style="thin">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hair">
        <color indexed="22"/>
      </left>
      <right style="hair">
        <color indexed="22"/>
      </right>
      <top style="hair">
        <color indexed="22"/>
      </top>
      <bottom style="hair">
        <color indexed="22"/>
      </bottom>
      <diagonal/>
    </border>
    <border>
      <left/>
      <right/>
      <top style="medium">
        <color auto="1"/>
      </top>
      <bottom style="medium">
        <color auto="1"/>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55"/>
      </bottom>
      <diagonal/>
    </border>
    <border>
      <left/>
      <right/>
      <top/>
      <bottom style="medium">
        <color indexed="30"/>
      </bottom>
      <diagonal/>
    </border>
    <border>
      <left/>
      <right/>
      <top/>
      <bottom style="medium">
        <color indexed="55"/>
      </bottom>
      <diagonal/>
    </border>
    <border>
      <left style="double">
        <color auto="1"/>
      </left>
      <right style="double">
        <color auto="1"/>
      </right>
      <top style="double">
        <color auto="1"/>
      </top>
      <bottom style="double">
        <color auto="1"/>
      </bottom>
      <diagonal/>
    </border>
    <border>
      <left/>
      <right/>
      <top/>
      <bottom style="double">
        <color indexed="52"/>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style="thin">
        <color auto="1"/>
      </left>
      <right/>
      <top style="thin">
        <color auto="1"/>
      </top>
      <bottom/>
      <diagonal/>
    </border>
    <border>
      <left/>
      <right/>
      <top style="double">
        <color indexed="0"/>
      </top>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diagonal/>
    </border>
    <border>
      <left/>
      <right/>
      <top style="thin">
        <color indexed="64"/>
      </top>
      <bottom style="double">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6"/>
      </bottom>
      <diagonal/>
    </border>
    <border>
      <left/>
      <right/>
      <top/>
      <bottom style="thick">
        <color indexed="58"/>
      </bottom>
      <diagonal/>
    </border>
    <border>
      <left/>
      <right/>
      <top/>
      <bottom style="thick">
        <color indexed="27"/>
      </bottom>
      <diagonal/>
    </border>
    <border>
      <left/>
      <right/>
      <top/>
      <bottom style="medium">
        <color indexed="24"/>
      </bottom>
      <diagonal/>
    </border>
    <border>
      <left/>
      <right/>
      <top/>
      <bottom style="medium">
        <color indexed="58"/>
      </bottom>
      <diagonal/>
    </border>
    <border>
      <left/>
      <right/>
      <top/>
      <bottom style="medium">
        <color indexed="27"/>
      </bottom>
      <diagonal/>
    </border>
    <border>
      <left/>
      <right/>
      <top/>
      <bottom style="double">
        <color indexed="17"/>
      </bottom>
      <diagonal/>
    </border>
    <border>
      <left/>
      <right/>
      <top/>
      <bottom style="double">
        <color indexed="10"/>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51"/>
      </left>
      <right style="thin">
        <color indexed="51"/>
      </right>
      <top/>
      <bottom/>
      <diagonal/>
    </border>
    <border>
      <left/>
      <right/>
      <top style="thin">
        <color indexed="48"/>
      </top>
      <bottom style="double">
        <color indexed="48"/>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22"/>
      </left>
      <right style="thin">
        <color indexed="22"/>
      </right>
      <top style="thin">
        <color indexed="22"/>
      </top>
      <bottom style="thin">
        <color indexed="22"/>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62"/>
      </top>
      <bottom style="double">
        <color indexed="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auto="1"/>
      </top>
      <bottom/>
      <diagonal/>
    </border>
    <border>
      <left style="medium">
        <color indexed="64"/>
      </left>
      <right style="medium">
        <color indexed="64"/>
      </right>
      <top style="medium">
        <color rgb="FF000000"/>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ck">
        <color auto="1"/>
      </bottom>
      <diagonal/>
    </border>
    <border>
      <left style="thick">
        <color auto="1"/>
      </left>
      <right style="thick">
        <color auto="1"/>
      </right>
      <top/>
      <bottom style="thick">
        <color auto="1"/>
      </bottom>
      <diagonal/>
    </border>
    <border>
      <left style="thick">
        <color auto="1"/>
      </left>
      <right style="thick">
        <color auto="1"/>
      </right>
      <top style="thick">
        <color auto="1"/>
      </top>
      <bottom/>
      <diagonal/>
    </border>
    <border>
      <left style="thin">
        <color indexed="64"/>
      </left>
      <right style="thin">
        <color indexed="64"/>
      </right>
      <top style="thin">
        <color indexed="64"/>
      </top>
      <bottom style="thin">
        <color indexed="64"/>
      </bottom>
      <diagonal/>
    </border>
    <border>
      <left style="medium">
        <color indexed="64"/>
      </left>
      <right/>
      <top/>
      <bottom style="medium">
        <color auto="1"/>
      </bottom>
      <diagonal/>
    </border>
    <border>
      <left style="thin">
        <color indexed="64"/>
      </left>
      <right style="thin">
        <color indexed="64"/>
      </right>
      <top/>
      <bottom style="double">
        <color indexed="64"/>
      </bottom>
      <diagonal/>
    </border>
    <border>
      <left/>
      <right style="medium">
        <color indexed="64"/>
      </right>
      <top/>
      <bottom/>
      <diagonal/>
    </border>
    <border>
      <left style="medium">
        <color indexed="64"/>
      </left>
      <right/>
      <top/>
      <bottom/>
      <diagonal/>
    </border>
    <border>
      <left style="medium">
        <color auto="1"/>
      </left>
      <right/>
      <top style="medium">
        <color auto="1"/>
      </top>
      <bottom/>
      <diagonal/>
    </border>
    <border>
      <left/>
      <right style="thin">
        <color indexed="64"/>
      </right>
      <top/>
      <bottom style="medium">
        <color auto="1"/>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style="thin">
        <color indexed="64"/>
      </bottom>
      <diagonal/>
    </border>
    <border>
      <left style="medium">
        <color auto="1"/>
      </left>
      <right/>
      <top/>
      <bottom style="thin">
        <color auto="1"/>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auto="1"/>
      </left>
      <right style="medium">
        <color auto="1"/>
      </right>
      <top/>
      <bottom style="medium">
        <color auto="1"/>
      </bottom>
      <diagonal/>
    </border>
    <border>
      <left/>
      <right style="thin">
        <color indexed="64"/>
      </right>
      <top style="medium">
        <color indexed="64"/>
      </top>
      <bottom/>
      <diagonal/>
    </border>
    <border>
      <left style="medium">
        <color indexed="64"/>
      </left>
      <right style="medium">
        <color indexed="64"/>
      </right>
      <top style="medium">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medium">
        <color indexed="64"/>
      </bottom>
      <diagonal/>
    </border>
    <border>
      <left style="double">
        <color rgb="FF000000"/>
      </left>
      <right/>
      <top style="double">
        <color rgb="FF000000"/>
      </top>
      <bottom/>
      <diagonal/>
    </border>
    <border>
      <left/>
      <right/>
      <top style="double">
        <color rgb="FF000000"/>
      </top>
      <bottom/>
      <diagonal/>
    </border>
    <border>
      <left/>
      <right style="double">
        <color rgb="FF000000"/>
      </right>
      <top style="double">
        <color rgb="FF000000"/>
      </top>
      <bottom/>
      <diagonal/>
    </border>
    <border>
      <left style="double">
        <color rgb="FF000000"/>
      </left>
      <right/>
      <top/>
      <bottom/>
      <diagonal/>
    </border>
    <border>
      <left/>
      <right style="double">
        <color rgb="FF000000"/>
      </right>
      <top/>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right style="medium">
        <color auto="1"/>
      </right>
      <top style="medium">
        <color auto="1"/>
      </top>
      <bottom/>
      <diagonal/>
    </border>
    <border>
      <left style="medium">
        <color auto="1"/>
      </left>
      <right style="thin">
        <color auto="1"/>
      </right>
      <top/>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right/>
      <top style="medium">
        <color indexed="64"/>
      </top>
      <bottom/>
      <diagonal/>
    </border>
    <border>
      <left/>
      <right style="medium">
        <color auto="1"/>
      </right>
      <top/>
      <bottom style="thin">
        <color auto="1"/>
      </bottom>
      <diagonal/>
    </border>
    <border>
      <left/>
      <right style="thin">
        <color indexed="64"/>
      </right>
      <top style="medium">
        <color indexed="64"/>
      </top>
      <bottom style="double">
        <color indexed="64"/>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right/>
      <top style="medium">
        <color indexed="64"/>
      </top>
      <bottom style="thin">
        <color indexed="64"/>
      </bottom>
      <diagonal/>
    </border>
    <border>
      <left style="medium">
        <color rgb="FF000000"/>
      </left>
      <right style="thin">
        <color indexed="64"/>
      </right>
      <top style="medium">
        <color rgb="FF000000"/>
      </top>
      <bottom style="medium">
        <color auto="1"/>
      </bottom>
      <diagonal/>
    </border>
    <border>
      <left/>
      <right style="thin">
        <color indexed="64"/>
      </right>
      <top style="medium">
        <color rgb="FF000000"/>
      </top>
      <bottom style="medium">
        <color auto="1"/>
      </bottom>
      <diagonal/>
    </border>
    <border>
      <left/>
      <right style="medium">
        <color rgb="FF000000"/>
      </right>
      <top style="medium">
        <color rgb="FF000000"/>
      </top>
      <bottom style="medium">
        <color auto="1"/>
      </bottom>
      <diagonal/>
    </border>
    <border>
      <left style="medium">
        <color rgb="FF000000"/>
      </left>
      <right style="thin">
        <color indexed="64"/>
      </right>
      <top/>
      <bottom style="thin">
        <color indexed="64"/>
      </bottom>
      <diagonal/>
    </border>
    <border>
      <left/>
      <right style="medium">
        <color rgb="FF000000"/>
      </right>
      <top/>
      <bottom style="thin">
        <color auto="1"/>
      </bottom>
      <diagonal/>
    </border>
    <border>
      <left style="medium">
        <color rgb="FF000000"/>
      </left>
      <right style="thin">
        <color indexed="64"/>
      </right>
      <top/>
      <bottom style="medium">
        <color auto="1"/>
      </bottom>
      <diagonal/>
    </border>
    <border>
      <left/>
      <right style="medium">
        <color rgb="FF000000"/>
      </right>
      <top/>
      <bottom style="medium">
        <color auto="1"/>
      </bottom>
      <diagonal/>
    </border>
    <border>
      <left style="medium">
        <color rgb="FF000000"/>
      </left>
      <right style="thin">
        <color indexed="64"/>
      </right>
      <top style="medium">
        <color indexed="64"/>
      </top>
      <bottom style="thin">
        <color indexed="64"/>
      </bottom>
      <diagonal/>
    </border>
    <border>
      <left style="medium">
        <color rgb="FF000000"/>
      </left>
      <right style="thin">
        <color auto="1"/>
      </right>
      <top/>
      <bottom/>
      <diagonal/>
    </border>
    <border>
      <left style="medium">
        <color rgb="FF000000"/>
      </left>
      <right style="thin">
        <color indexed="64"/>
      </right>
      <top style="medium">
        <color indexed="64"/>
      </top>
      <bottom style="medium">
        <color rgb="FF000000"/>
      </bottom>
      <diagonal/>
    </border>
    <border>
      <left style="medium">
        <color indexed="64"/>
      </left>
      <right style="thin">
        <color indexed="64"/>
      </right>
      <top style="medium">
        <color indexed="64"/>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indexed="64"/>
      </left>
      <right/>
      <top style="thin">
        <color indexed="64"/>
      </top>
      <bottom style="thin">
        <color indexed="64"/>
      </bottom>
      <diagonal/>
    </border>
    <border>
      <left style="medium">
        <color auto="1"/>
      </left>
      <right/>
      <top style="thin">
        <color auto="1"/>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000000"/>
      </left>
      <right style="thin">
        <color auto="1"/>
      </right>
      <top style="thin">
        <color auto="1"/>
      </top>
      <bottom style="thin">
        <color auto="1"/>
      </bottom>
      <diagonal/>
    </border>
    <border>
      <left/>
      <right style="medium">
        <color indexed="64"/>
      </right>
      <top style="thin">
        <color indexed="64"/>
      </top>
      <bottom style="medium">
        <color indexed="64"/>
      </bottom>
      <diagonal/>
    </border>
    <border>
      <left style="medium">
        <color rgb="FF000000"/>
      </left>
      <right style="thin">
        <color indexed="64"/>
      </right>
      <top style="thin">
        <color indexed="64"/>
      </top>
      <bottom style="medium">
        <color indexed="64"/>
      </bottom>
      <diagonal/>
    </border>
    <border>
      <left/>
      <right style="medium">
        <color rgb="FF000000"/>
      </right>
      <top style="thin">
        <color indexed="64"/>
      </top>
      <bottom style="thin">
        <color indexed="64"/>
      </bottom>
      <diagonal/>
    </border>
    <border>
      <left style="thick">
        <color auto="1"/>
      </left>
      <right style="thick">
        <color auto="1"/>
      </right>
      <top style="thin">
        <color auto="1"/>
      </top>
      <bottom style="thick">
        <color auto="1"/>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style="thick">
        <color indexed="64"/>
      </left>
      <right style="thick">
        <color rgb="FF000000"/>
      </right>
      <top style="thick">
        <color indexed="64"/>
      </top>
      <bottom style="thick">
        <color indexed="64"/>
      </bottom>
      <diagonal/>
    </border>
    <border>
      <left/>
      <right/>
      <top/>
      <bottom style="thin">
        <color rgb="FF000000"/>
      </bottom>
      <diagonal/>
    </border>
    <border>
      <left/>
      <right style="medium">
        <color indexed="64"/>
      </right>
      <top/>
      <bottom style="thin">
        <color rgb="FF000000"/>
      </bottom>
      <diagonal/>
    </border>
    <border>
      <left/>
      <right style="medium">
        <color rgb="FF000000"/>
      </right>
      <top/>
      <bottom style="thin">
        <color rgb="FF000000"/>
      </bottom>
      <diagonal/>
    </border>
  </borders>
  <cellStyleXfs count="20603">
    <xf numFmtId="0" fontId="0" fillId="0" borderId="0"/>
    <xf numFmtId="0" fontId="21" fillId="0" borderId="0"/>
    <xf numFmtId="0" fontId="24" fillId="0" borderId="0"/>
    <xf numFmtId="44" fontId="21" fillId="0" borderId="0" applyFont="0" applyFill="0" applyBorder="0" applyAlignment="0" applyProtection="0"/>
    <xf numFmtId="43" fontId="21" fillId="0" borderId="0" applyFont="0" applyFill="0" applyBorder="0" applyAlignment="0" applyProtection="0"/>
    <xf numFmtId="0" fontId="26" fillId="0" borderId="0"/>
    <xf numFmtId="0" fontId="24" fillId="0" borderId="0"/>
    <xf numFmtId="44" fontId="26" fillId="0" borderId="0" applyFont="0" applyFill="0" applyBorder="0" applyAlignment="0" applyProtection="0"/>
    <xf numFmtId="0" fontId="20" fillId="0" borderId="0"/>
    <xf numFmtId="0" fontId="26" fillId="0" borderId="0"/>
    <xf numFmtId="44" fontId="20" fillId="0" borderId="0" applyFont="0" applyFill="0" applyBorder="0" applyAlignment="0" applyProtection="0"/>
    <xf numFmtId="44" fontId="24" fillId="0" borderId="0" applyFont="0" applyFill="0" applyBorder="0" applyAlignment="0" applyProtection="0"/>
    <xf numFmtId="0" fontId="24" fillId="0" borderId="0"/>
    <xf numFmtId="0" fontId="24" fillId="0" borderId="0"/>
    <xf numFmtId="0" fontId="24" fillId="0" borderId="0"/>
    <xf numFmtId="44" fontId="24"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30" fillId="0" borderId="0" applyFont="0" applyFill="0" applyBorder="0" applyAlignment="0" applyProtection="0"/>
    <xf numFmtId="0" fontId="18" fillId="0" borderId="0"/>
    <xf numFmtId="44" fontId="18" fillId="0" borderId="0" applyFont="0" applyFill="0" applyBorder="0" applyAlignment="0" applyProtection="0"/>
    <xf numFmtId="43" fontId="18" fillId="0" borderId="0" applyFont="0" applyFill="0" applyBorder="0" applyAlignment="0" applyProtection="0"/>
    <xf numFmtId="0" fontId="17" fillId="0" borderId="0"/>
    <xf numFmtId="0" fontId="16" fillId="0" borderId="0"/>
    <xf numFmtId="43" fontId="30" fillId="0" borderId="0" applyFont="0" applyFill="0" applyBorder="0" applyAlignment="0" applyProtection="0"/>
    <xf numFmtId="0" fontId="32" fillId="0" borderId="0" applyNumberFormat="0" applyFill="0" applyBorder="0" applyAlignment="0" applyProtection="0"/>
    <xf numFmtId="0" fontId="33" fillId="0" borderId="11" applyNumberFormat="0" applyFill="0" applyAlignment="0" applyProtection="0"/>
    <xf numFmtId="0" fontId="34" fillId="0" borderId="12" applyNumberFormat="0" applyFill="0" applyAlignment="0" applyProtection="0"/>
    <xf numFmtId="0" fontId="35" fillId="0" borderId="13" applyNumberFormat="0" applyFill="0" applyAlignment="0" applyProtection="0"/>
    <xf numFmtId="0" fontId="35" fillId="0" borderId="0" applyNumberFormat="0" applyFill="0" applyBorder="0" applyAlignment="0" applyProtection="0"/>
    <xf numFmtId="0" fontId="36" fillId="5" borderId="0" applyNumberFormat="0" applyBorder="0" applyAlignment="0" applyProtection="0"/>
    <xf numFmtId="0" fontId="37" fillId="6" borderId="0" applyNumberFormat="0" applyBorder="0" applyAlignment="0" applyProtection="0"/>
    <xf numFmtId="0" fontId="38" fillId="7" borderId="0" applyNumberFormat="0" applyBorder="0" applyAlignment="0" applyProtection="0"/>
    <xf numFmtId="0" fontId="39" fillId="8" borderId="14" applyNumberFormat="0" applyAlignment="0" applyProtection="0"/>
    <xf numFmtId="0" fontId="40" fillId="9" borderId="15" applyNumberFormat="0" applyAlignment="0" applyProtection="0"/>
    <xf numFmtId="0" fontId="41" fillId="9" borderId="14" applyNumberFormat="0" applyAlignment="0" applyProtection="0"/>
    <xf numFmtId="0" fontId="42" fillId="0" borderId="16" applyNumberFormat="0" applyFill="0" applyAlignment="0" applyProtection="0"/>
    <xf numFmtId="0" fontId="43" fillId="10" borderId="17" applyNumberFormat="0" applyAlignment="0" applyProtection="0"/>
    <xf numFmtId="0" fontId="22" fillId="0" borderId="0" applyNumberFormat="0" applyFill="0" applyBorder="0" applyAlignment="0" applyProtection="0"/>
    <xf numFmtId="0" fontId="44" fillId="0" borderId="0" applyNumberFormat="0" applyFill="0" applyBorder="0" applyAlignment="0" applyProtection="0"/>
    <xf numFmtId="0" fontId="45" fillId="0" borderId="19" applyNumberFormat="0" applyFill="0" applyAlignment="0" applyProtection="0"/>
    <xf numFmtId="0" fontId="46"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46"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46"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3" borderId="0" applyNumberFormat="0" applyBorder="0" applyAlignment="0" applyProtection="0"/>
    <xf numFmtId="0" fontId="46"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46"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46"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54" fillId="38" borderId="0" applyNumberFormat="0" applyBorder="0" applyAlignment="0" applyProtection="0"/>
    <xf numFmtId="0" fontId="15" fillId="0" borderId="0"/>
    <xf numFmtId="0" fontId="54" fillId="42" borderId="0" applyNumberFormat="0" applyBorder="0" applyAlignment="0" applyProtection="0"/>
    <xf numFmtId="44" fontId="15" fillId="0" borderId="0" applyFont="0" applyFill="0" applyBorder="0" applyAlignment="0" applyProtection="0"/>
    <xf numFmtId="43" fontId="15" fillId="0" borderId="0" applyFont="0" applyFill="0" applyBorder="0" applyAlignment="0" applyProtection="0"/>
    <xf numFmtId="0" fontId="54" fillId="36" borderId="0" applyNumberFormat="0" applyBorder="0" applyAlignment="0" applyProtection="0"/>
    <xf numFmtId="0" fontId="24" fillId="0" borderId="0"/>
    <xf numFmtId="0" fontId="15" fillId="0" borderId="0"/>
    <xf numFmtId="0" fontId="54" fillId="41" borderId="0" applyNumberFormat="0" applyBorder="0" applyAlignment="0" applyProtection="0"/>
    <xf numFmtId="44" fontId="15" fillId="0" borderId="0" applyFont="0" applyFill="0" applyBorder="0" applyAlignment="0" applyProtection="0"/>
    <xf numFmtId="0" fontId="24" fillId="0" borderId="0" applyNumberFormat="0" applyFill="0" applyBorder="0" applyAlignment="0" applyProtection="0"/>
    <xf numFmtId="0" fontId="24" fillId="0" borderId="0"/>
    <xf numFmtId="0" fontId="4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4" fillId="0" borderId="0"/>
    <xf numFmtId="0" fontId="15" fillId="0" borderId="0"/>
    <xf numFmtId="44"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54" fillId="40" borderId="0" applyNumberFormat="0" applyBorder="0" applyAlignment="0" applyProtection="0"/>
    <xf numFmtId="0" fontId="48" fillId="0" borderId="0"/>
    <xf numFmtId="0" fontId="24" fillId="0" borderId="0"/>
    <xf numFmtId="0" fontId="54" fillId="36" borderId="0" applyNumberFormat="0" applyBorder="0" applyAlignment="0" applyProtection="0"/>
    <xf numFmtId="0" fontId="54"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3" borderId="0" applyNumberFormat="0" applyBorder="0" applyAlignment="0" applyProtection="0"/>
    <xf numFmtId="9" fontId="15" fillId="0" borderId="0" applyFont="0" applyFill="0" applyBorder="0" applyAlignment="0" applyProtection="0"/>
    <xf numFmtId="0" fontId="24" fillId="0" borderId="0"/>
    <xf numFmtId="0" fontId="24" fillId="0" borderId="0"/>
    <xf numFmtId="0" fontId="48" fillId="0" borderId="0"/>
    <xf numFmtId="0" fontId="54" fillId="40" borderId="0" applyNumberFormat="0" applyBorder="0" applyAlignment="0" applyProtection="0"/>
    <xf numFmtId="0" fontId="51" fillId="0" borderId="0" applyNumberFormat="0" applyFill="0" applyBorder="0" applyAlignment="0" applyProtection="0">
      <alignment vertical="top"/>
    </xf>
    <xf numFmtId="0" fontId="52" fillId="0" borderId="0" applyNumberFormat="0" applyFill="0" applyBorder="0" applyAlignment="0" applyProtection="0">
      <alignment vertical="top"/>
    </xf>
    <xf numFmtId="0" fontId="53" fillId="0" borderId="0" applyNumberFormat="0" applyFill="0" applyBorder="0" applyAlignment="0" applyProtection="0">
      <alignment vertical="top"/>
    </xf>
    <xf numFmtId="0" fontId="24" fillId="0" borderId="0"/>
    <xf numFmtId="0" fontId="24" fillId="0" borderId="0" applyFont="0" applyFill="0" applyBorder="0" applyProtection="0"/>
    <xf numFmtId="0" fontId="54" fillId="36"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40" borderId="0" applyNumberFormat="0" applyBorder="0" applyAlignment="0" applyProtection="0"/>
    <xf numFmtId="0" fontId="54" fillId="40" borderId="0" applyNumberFormat="0" applyBorder="0" applyAlignment="0" applyProtection="0"/>
    <xf numFmtId="0" fontId="54" fillId="42" borderId="0" applyNumberFormat="0" applyBorder="0" applyAlignment="0" applyProtection="0"/>
    <xf numFmtId="174" fontId="24" fillId="0" borderId="0" applyFont="0" applyFill="0" applyBorder="0" applyAlignment="0" applyProtection="0"/>
    <xf numFmtId="0" fontId="24" fillId="0" borderId="0" applyNumberFormat="0" applyFill="0" applyBorder="0" applyAlignment="0" applyProtection="0"/>
    <xf numFmtId="0" fontId="54" fillId="38" borderId="0" applyNumberFormat="0" applyBorder="0" applyAlignment="0" applyProtection="0"/>
    <xf numFmtId="0" fontId="50" fillId="0" borderId="0" applyNumberFormat="0" applyFill="0" applyBorder="0" applyAlignment="0" applyProtection="0">
      <alignment vertical="top"/>
      <protection locked="0"/>
    </xf>
    <xf numFmtId="0" fontId="54" fillId="36" borderId="0" applyNumberFormat="0" applyBorder="0" applyAlignment="0" applyProtection="0"/>
    <xf numFmtId="0" fontId="54" fillId="39" borderId="0" applyNumberFormat="0" applyBorder="0" applyAlignment="0" applyProtection="0"/>
    <xf numFmtId="0" fontId="54" fillId="37" borderId="0" applyNumberFormat="0" applyBorder="0" applyAlignment="0" applyProtection="0"/>
    <xf numFmtId="0" fontId="24" fillId="0" borderId="0" applyNumberFormat="0" applyFill="0" applyBorder="0" applyAlignment="0" applyProtection="0"/>
    <xf numFmtId="0" fontId="49" fillId="0" borderId="0"/>
    <xf numFmtId="0" fontId="54" fillId="36" borderId="0" applyNumberFormat="0" applyBorder="0" applyAlignment="0" applyProtection="0"/>
    <xf numFmtId="0" fontId="24" fillId="0" borderId="0"/>
    <xf numFmtId="0" fontId="54" fillId="36" borderId="0" applyNumberFormat="0" applyBorder="0" applyAlignment="0" applyProtection="0"/>
    <xf numFmtId="0" fontId="24" fillId="0" borderId="0" applyNumberFormat="0" applyFill="0" applyBorder="0" applyAlignment="0" applyProtection="0"/>
    <xf numFmtId="0" fontId="54" fillId="38" borderId="0" applyNumberFormat="0" applyBorder="0" applyAlignment="0" applyProtection="0"/>
    <xf numFmtId="0" fontId="48" fillId="0" borderId="0"/>
    <xf numFmtId="0" fontId="54" fillId="42" borderId="0" applyNumberFormat="0" applyBorder="0" applyAlignment="0" applyProtection="0"/>
    <xf numFmtId="0" fontId="54" fillId="42" borderId="0" applyNumberFormat="0" applyBorder="0" applyAlignment="0" applyProtection="0"/>
    <xf numFmtId="0" fontId="54" fillId="42" borderId="0" applyNumberFormat="0" applyBorder="0" applyAlignment="0" applyProtection="0"/>
    <xf numFmtId="0" fontId="54" fillId="43" borderId="0" applyNumberFormat="0" applyBorder="0" applyAlignment="0" applyProtection="0"/>
    <xf numFmtId="0" fontId="54" fillId="36" borderId="0" applyNumberFormat="0" applyBorder="0" applyAlignment="0" applyProtection="0"/>
    <xf numFmtId="0" fontId="54" fillId="36" borderId="0" applyNumberFormat="0" applyBorder="0" applyAlignment="0" applyProtection="0"/>
    <xf numFmtId="0" fontId="54" fillId="36" borderId="0" applyNumberFormat="0" applyBorder="0" applyAlignment="0" applyProtection="0"/>
    <xf numFmtId="0" fontId="54" fillId="36" borderId="0" applyNumberFormat="0" applyBorder="0" applyAlignment="0" applyProtection="0"/>
    <xf numFmtId="0" fontId="54" fillId="36" borderId="0" applyNumberFormat="0" applyBorder="0" applyAlignment="0" applyProtection="0"/>
    <xf numFmtId="0" fontId="54" fillId="44"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39" fontId="26" fillId="0" borderId="0" applyFont="0" applyFill="0" applyBorder="0" applyAlignment="0" applyProtection="0"/>
    <xf numFmtId="0" fontId="54" fillId="45" borderId="0" applyNumberFormat="0" applyBorder="0" applyAlignment="0" applyProtection="0"/>
    <xf numFmtId="0" fontId="54" fillId="46" borderId="0" applyNumberFormat="0" applyBorder="0" applyAlignment="0" applyProtection="0"/>
    <xf numFmtId="0" fontId="54" fillId="46" borderId="0" applyNumberFormat="0" applyBorder="0" applyAlignment="0" applyProtection="0"/>
    <xf numFmtId="0" fontId="54" fillId="46" borderId="0" applyNumberFormat="0" applyBorder="0" applyAlignment="0" applyProtection="0"/>
    <xf numFmtId="0" fontId="54" fillId="46" borderId="0" applyNumberFormat="0" applyBorder="0" applyAlignment="0" applyProtection="0"/>
    <xf numFmtId="0" fontId="54" fillId="46"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47"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1"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5" borderId="0" applyNumberFormat="0" applyBorder="0" applyAlignment="0" applyProtection="0"/>
    <xf numFmtId="0" fontId="54" fillId="46" borderId="0" applyNumberFormat="0" applyBorder="0" applyAlignment="0" applyProtection="0"/>
    <xf numFmtId="0" fontId="54" fillId="46" borderId="0" applyNumberFormat="0" applyBorder="0" applyAlignment="0" applyProtection="0"/>
    <xf numFmtId="0" fontId="54" fillId="46" borderId="0" applyNumberFormat="0" applyBorder="0" applyAlignment="0" applyProtection="0"/>
    <xf numFmtId="0" fontId="54" fillId="46" borderId="0" applyNumberFormat="0" applyBorder="0" applyAlignment="0" applyProtection="0"/>
    <xf numFmtId="0" fontId="54" fillId="46" borderId="0" applyNumberFormat="0" applyBorder="0" applyAlignment="0" applyProtection="0"/>
    <xf numFmtId="0" fontId="54" fillId="50"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24" fillId="0" borderId="0" applyFont="0" applyFill="0" applyBorder="0" applyProtection="0"/>
    <xf numFmtId="0" fontId="55" fillId="51"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47"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5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4" fillId="55" borderId="0" applyNumberFormat="0" applyBorder="0" applyAlignment="0" applyProtection="0"/>
    <xf numFmtId="0" fontId="54" fillId="56" borderId="0" applyNumberFormat="0" applyBorder="0" applyAlignment="0" applyProtection="0"/>
    <xf numFmtId="0" fontId="55" fillId="57" borderId="0" applyNumberFormat="0" applyBorder="0" applyAlignment="0" applyProtection="0"/>
    <xf numFmtId="0" fontId="55" fillId="58"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4" fillId="59" borderId="0" applyNumberFormat="0" applyBorder="0" applyAlignment="0" applyProtection="0"/>
    <xf numFmtId="0" fontId="54" fillId="60" borderId="0" applyNumberFormat="0" applyBorder="0" applyAlignment="0" applyProtection="0"/>
    <xf numFmtId="0" fontId="55" fillId="61"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4" fillId="63" borderId="0" applyNumberFormat="0" applyBorder="0" applyAlignment="0" applyProtection="0"/>
    <xf numFmtId="0" fontId="54" fillId="64" borderId="0" applyNumberFormat="0" applyBorder="0" applyAlignment="0" applyProtection="0"/>
    <xf numFmtId="0" fontId="55" fillId="65"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4" fillId="64" borderId="0" applyNumberFormat="0" applyBorder="0" applyAlignment="0" applyProtection="0"/>
    <xf numFmtId="0" fontId="54" fillId="65" borderId="0" applyNumberFormat="0" applyBorder="0" applyAlignment="0" applyProtection="0"/>
    <xf numFmtId="0" fontId="55" fillId="65" borderId="0" applyNumberFormat="0" applyBorder="0" applyAlignment="0" applyProtection="0"/>
    <xf numFmtId="0" fontId="55" fillId="52"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4" fillId="55" borderId="0" applyNumberFormat="0" applyBorder="0" applyAlignment="0" applyProtection="0"/>
    <xf numFmtId="0" fontId="54" fillId="56" borderId="0" applyNumberFormat="0" applyBorder="0" applyAlignment="0" applyProtection="0"/>
    <xf numFmtId="0" fontId="55" fillId="56"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4" fillId="67" borderId="0" applyNumberFormat="0" applyBorder="0" applyAlignment="0" applyProtection="0"/>
    <xf numFmtId="0" fontId="54" fillId="60" borderId="0" applyNumberFormat="0" applyBorder="0" applyAlignment="0" applyProtection="0"/>
    <xf numFmtId="0" fontId="55" fillId="68" borderId="0" applyNumberFormat="0" applyBorder="0" applyAlignment="0" applyProtection="0"/>
    <xf numFmtId="0" fontId="55" fillId="69"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175" fontId="56" fillId="70" borderId="20">
      <alignment horizontal="center" vertical="center"/>
    </xf>
    <xf numFmtId="176" fontId="24" fillId="70" borderId="20">
      <alignment horizontal="center" vertical="center"/>
    </xf>
    <xf numFmtId="176" fontId="24" fillId="70" borderId="20">
      <alignment horizontal="center" vertical="center"/>
    </xf>
    <xf numFmtId="176" fontId="24" fillId="70" borderId="20">
      <alignment horizontal="center" vertical="center"/>
    </xf>
    <xf numFmtId="49" fontId="24" fillId="0" borderId="21"/>
    <xf numFmtId="0" fontId="57" fillId="49" borderId="21" applyNumberFormat="0" applyFont="0" applyBorder="0" applyAlignment="0" applyProtection="0">
      <protection hidden="1"/>
    </xf>
    <xf numFmtId="0" fontId="58" fillId="37"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3" fontId="59" fillId="0" borderId="0" applyFill="0" applyBorder="0" applyProtection="0">
      <alignment horizontal="right"/>
    </xf>
    <xf numFmtId="177" fontId="24" fillId="0" borderId="0" applyFont="0" applyFill="0" applyBorder="0" applyAlignment="0" applyProtection="0"/>
    <xf numFmtId="178" fontId="60" fillId="0" borderId="0" applyFill="0" applyBorder="0" applyAlignment="0"/>
    <xf numFmtId="0" fontId="61" fillId="49" borderId="22" applyNumberFormat="0" applyAlignment="0" applyProtection="0"/>
    <xf numFmtId="0" fontId="61" fillId="49" borderId="22" applyNumberFormat="0" applyAlignment="0" applyProtection="0"/>
    <xf numFmtId="0" fontId="62" fillId="42" borderId="22" applyNumberFormat="0" applyAlignment="0" applyProtection="0"/>
    <xf numFmtId="0" fontId="62" fillId="42" borderId="22" applyNumberFormat="0" applyAlignment="0" applyProtection="0"/>
    <xf numFmtId="0" fontId="62" fillId="42" borderId="22" applyNumberFormat="0" applyAlignment="0" applyProtection="0"/>
    <xf numFmtId="0" fontId="62" fillId="42" borderId="22" applyNumberFormat="0" applyAlignment="0" applyProtection="0"/>
    <xf numFmtId="0" fontId="62" fillId="42" borderId="22" applyNumberFormat="0" applyAlignment="0" applyProtection="0"/>
    <xf numFmtId="0" fontId="62" fillId="42" borderId="22" applyNumberFormat="0" applyAlignment="0" applyProtection="0"/>
    <xf numFmtId="0" fontId="62" fillId="42" borderId="22" applyNumberFormat="0" applyAlignment="0" applyProtection="0"/>
    <xf numFmtId="0" fontId="62" fillId="42" borderId="22" applyNumberFormat="0" applyAlignment="0" applyProtection="0"/>
    <xf numFmtId="0" fontId="62" fillId="42" borderId="22" applyNumberFormat="0" applyAlignment="0" applyProtection="0"/>
    <xf numFmtId="0" fontId="62" fillId="42" borderId="22" applyNumberFormat="0" applyAlignment="0" applyProtection="0"/>
    <xf numFmtId="0" fontId="63" fillId="46" borderId="23" applyNumberFormat="0" applyAlignment="0" applyProtection="0"/>
    <xf numFmtId="0" fontId="63" fillId="71" borderId="23" applyNumberFormat="0" applyAlignment="0" applyProtection="0"/>
    <xf numFmtId="0" fontId="63" fillId="71" borderId="23" applyNumberFormat="0" applyAlignment="0" applyProtection="0"/>
    <xf numFmtId="0" fontId="63" fillId="71" borderId="23" applyNumberFormat="0" applyAlignment="0" applyProtection="0"/>
    <xf numFmtId="0" fontId="63" fillId="71" borderId="23" applyNumberFormat="0" applyAlignment="0" applyProtection="0"/>
    <xf numFmtId="0" fontId="63" fillId="71" borderId="23" applyNumberFormat="0" applyAlignment="0" applyProtection="0"/>
    <xf numFmtId="49" fontId="24" fillId="0" borderId="21"/>
    <xf numFmtId="179" fontId="24" fillId="0" borderId="0"/>
    <xf numFmtId="179" fontId="24" fillId="0" borderId="0"/>
    <xf numFmtId="179" fontId="24" fillId="0" borderId="0"/>
    <xf numFmtId="179" fontId="24" fillId="0" borderId="0"/>
    <xf numFmtId="179" fontId="24" fillId="0" borderId="0"/>
    <xf numFmtId="179" fontId="24" fillId="0" borderId="0"/>
    <xf numFmtId="179" fontId="24" fillId="0" borderId="0"/>
    <xf numFmtId="179" fontId="24" fillId="0" borderId="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0" fontId="2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3" fontId="24" fillId="0" borderId="0" applyFont="0" applyFill="0" applyBorder="0" applyAlignment="0" applyProtection="0"/>
    <xf numFmtId="3" fontId="24" fillId="0" borderId="0" applyFont="0" applyFill="0" applyBorder="0" applyAlignment="0" applyProtection="0"/>
    <xf numFmtId="3" fontId="24" fillId="0" borderId="0" applyFont="0" applyFill="0" applyBorder="0" applyAlignment="0" applyProtection="0"/>
    <xf numFmtId="0" fontId="65" fillId="0" borderId="0" applyNumberFormat="0" applyAlignment="0">
      <alignment horizontal="left"/>
    </xf>
    <xf numFmtId="181" fontId="24" fillId="0" borderId="0" applyFont="0" applyFill="0" applyBorder="0" applyAlignment="0" applyProtection="0"/>
    <xf numFmtId="182" fontId="66" fillId="0" borderId="0" applyFont="0" applyFill="0" applyBorder="0" applyAlignment="0" applyProtection="0"/>
    <xf numFmtId="44" fontId="54" fillId="0" borderId="0" applyFont="0" applyFill="0" applyBorder="0" applyAlignment="0" applyProtection="0"/>
    <xf numFmtId="0" fontId="15" fillId="43" borderId="0" applyNumberFormat="0" applyBorder="0" applyAlignment="0" applyProtection="0"/>
    <xf numFmtId="44" fontId="60"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0" fontId="15" fillId="40" borderId="0" applyNumberFormat="0" applyBorder="0" applyAlignment="0" applyProtection="0"/>
    <xf numFmtId="44" fontId="64"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6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4" fillId="0" borderId="0" applyFont="0" applyFill="0" applyBorder="0" applyAlignment="0" applyProtection="0"/>
    <xf numFmtId="44" fontId="24" fillId="0" borderId="0" applyFont="0" applyFill="0" applyBorder="0" applyAlignment="0" applyProtection="0"/>
    <xf numFmtId="44" fontId="67"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183"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5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5" fontId="68" fillId="0" borderId="0" applyFont="0" applyFill="0" applyBorder="0" applyAlignment="0" applyProtection="0"/>
    <xf numFmtId="184" fontId="26" fillId="0" borderId="0" applyFont="0" applyFill="0" applyBorder="0" applyAlignment="0" applyProtection="0"/>
    <xf numFmtId="14" fontId="24" fillId="0" borderId="0" applyFont="0" applyFill="0" applyBorder="0" applyAlignment="0" applyProtection="0"/>
    <xf numFmtId="6" fontId="69" fillId="0" borderId="0">
      <protection locked="0"/>
    </xf>
    <xf numFmtId="6" fontId="69" fillId="0" borderId="0">
      <protection locked="0"/>
    </xf>
    <xf numFmtId="185" fontId="24" fillId="72" borderId="0">
      <alignment horizontal="center"/>
    </xf>
    <xf numFmtId="0" fontId="24" fillId="0" borderId="21"/>
    <xf numFmtId="186" fontId="48" fillId="0" borderId="0">
      <alignment horizontal="right"/>
      <protection locked="0"/>
    </xf>
    <xf numFmtId="0" fontId="70" fillId="0" borderId="0" applyNumberFormat="0" applyAlignment="0">
      <alignment horizontal="left"/>
    </xf>
    <xf numFmtId="187" fontId="24" fillId="0" borderId="0" applyFont="0" applyFill="0" applyBorder="0" applyAlignment="0" applyProtection="0"/>
    <xf numFmtId="188" fontId="24" fillId="0" borderId="0" applyFont="0" applyFill="0" applyBorder="0" applyAlignment="0" applyProtection="0"/>
    <xf numFmtId="189" fontId="24" fillId="0" borderId="0" applyFont="0" applyFill="0" applyBorder="0" applyAlignment="0" applyProtection="0"/>
    <xf numFmtId="190" fontId="24" fillId="0" borderId="0" applyFont="0" applyFill="0" applyBorder="0" applyAlignment="0" applyProtection="0"/>
    <xf numFmtId="191" fontId="24"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24" fillId="0" borderId="21">
      <alignment horizontal="left"/>
    </xf>
    <xf numFmtId="2" fontId="24" fillId="0" borderId="0" applyFont="0" applyFill="0" applyBorder="0" applyAlignment="0" applyProtection="0"/>
    <xf numFmtId="192" fontId="24" fillId="0" borderId="0">
      <protection locked="0"/>
    </xf>
    <xf numFmtId="192" fontId="24" fillId="0" borderId="0">
      <protection locked="0"/>
    </xf>
    <xf numFmtId="192" fontId="24" fillId="0" borderId="0">
      <protection locked="0"/>
    </xf>
    <xf numFmtId="38" fontId="72" fillId="0" borderId="24">
      <alignment horizontal="right"/>
    </xf>
    <xf numFmtId="172" fontId="66" fillId="0" borderId="0" applyFont="0" applyFill="0" applyBorder="0" applyAlignment="0" applyProtection="0"/>
    <xf numFmtId="193" fontId="24" fillId="0" borderId="0" applyFont="0" applyFill="0" applyBorder="0" applyAlignment="0" applyProtection="0">
      <alignment horizontal="center"/>
    </xf>
    <xf numFmtId="194" fontId="24" fillId="0" borderId="0" applyFont="0" applyFill="0" applyBorder="0" applyAlignment="0" applyProtection="0"/>
    <xf numFmtId="195" fontId="73" fillId="0" borderId="0" applyFont="0" applyFill="0" applyBorder="0" applyAlignment="0" applyProtection="0"/>
    <xf numFmtId="196" fontId="24" fillId="0" borderId="0" applyFont="0" applyFill="0" applyBorder="0" applyAlignment="0" applyProtection="0"/>
    <xf numFmtId="197" fontId="73" fillId="0" borderId="0" applyFont="0" applyFill="0" applyBorder="0" applyAlignment="0" applyProtection="0"/>
    <xf numFmtId="0" fontId="24" fillId="0" borderId="0" applyFont="0" applyFill="0" applyBorder="0"/>
    <xf numFmtId="0" fontId="74" fillId="39" borderId="0" applyNumberFormat="0" applyBorder="0" applyAlignment="0" applyProtection="0"/>
    <xf numFmtId="0" fontId="74" fillId="73" borderId="0" applyNumberFormat="0" applyBorder="0" applyAlignment="0" applyProtection="0"/>
    <xf numFmtId="0" fontId="74" fillId="73" borderId="0" applyNumberFormat="0" applyBorder="0" applyAlignment="0" applyProtection="0"/>
    <xf numFmtId="0" fontId="74" fillId="73" borderId="0" applyNumberFormat="0" applyBorder="0" applyAlignment="0" applyProtection="0"/>
    <xf numFmtId="0" fontId="74" fillId="73" borderId="0" applyNumberFormat="0" applyBorder="0" applyAlignment="0" applyProtection="0"/>
    <xf numFmtId="0" fontId="74" fillId="73" borderId="0" applyNumberFormat="0" applyBorder="0" applyAlignment="0" applyProtection="0"/>
    <xf numFmtId="38" fontId="72" fillId="74" borderId="0" applyNumberFormat="0" applyBorder="0" applyAlignment="0" applyProtection="0"/>
    <xf numFmtId="38" fontId="72" fillId="74" borderId="0" applyNumberFormat="0" applyBorder="0" applyAlignment="0" applyProtection="0"/>
    <xf numFmtId="38" fontId="72" fillId="74" borderId="0" applyNumberFormat="0" applyBorder="0" applyAlignment="0" applyProtection="0"/>
    <xf numFmtId="0" fontId="75" fillId="0" borderId="0" applyNumberFormat="0" applyFill="0" applyBorder="0" applyAlignment="0" applyProtection="0"/>
    <xf numFmtId="0" fontId="29" fillId="0" borderId="25" applyNumberFormat="0" applyAlignment="0" applyProtection="0">
      <alignment horizontal="left" vertical="center"/>
    </xf>
    <xf numFmtId="0" fontId="29" fillId="0" borderId="9">
      <alignment horizontal="left" vertical="center"/>
    </xf>
    <xf numFmtId="0" fontId="29" fillId="0" borderId="9">
      <alignment horizontal="left" vertical="center"/>
    </xf>
    <xf numFmtId="0" fontId="76" fillId="0" borderId="0" applyNumberFormat="0" applyFont="0" applyFill="0" applyBorder="0" applyProtection="0"/>
    <xf numFmtId="0" fontId="77" fillId="0" borderId="26" applyNumberFormat="0" applyFill="0" applyAlignment="0" applyProtection="0"/>
    <xf numFmtId="0" fontId="77" fillId="0" borderId="26" applyNumberFormat="0" applyFill="0" applyAlignment="0" applyProtection="0"/>
    <xf numFmtId="0" fontId="78" fillId="0" borderId="27" applyNumberFormat="0" applyFill="0" applyAlignment="0" applyProtection="0"/>
    <xf numFmtId="0" fontId="78" fillId="0" borderId="27" applyNumberFormat="0" applyFill="0" applyAlignment="0" applyProtection="0"/>
    <xf numFmtId="0" fontId="78" fillId="0" borderId="27" applyNumberFormat="0" applyFill="0" applyAlignment="0" applyProtection="0"/>
    <xf numFmtId="0" fontId="78" fillId="0" borderId="27" applyNumberFormat="0" applyFill="0" applyAlignment="0" applyProtection="0"/>
    <xf numFmtId="0" fontId="78" fillId="0" borderId="27" applyNumberFormat="0" applyFill="0" applyAlignment="0" applyProtection="0"/>
    <xf numFmtId="0" fontId="29" fillId="0" borderId="0" applyNumberFormat="0" applyFont="0" applyFill="0" applyBorder="0" applyProtection="0"/>
    <xf numFmtId="0" fontId="79" fillId="0" borderId="28" applyNumberFormat="0" applyFill="0" applyAlignment="0" applyProtection="0"/>
    <xf numFmtId="0" fontId="79" fillId="0" borderId="28" applyNumberFormat="0" applyFill="0" applyAlignment="0" applyProtection="0"/>
    <xf numFmtId="0" fontId="80" fillId="0" borderId="29" applyNumberFormat="0" applyFill="0" applyAlignment="0" applyProtection="0"/>
    <xf numFmtId="0" fontId="80" fillId="0" borderId="29" applyNumberFormat="0" applyFill="0" applyAlignment="0" applyProtection="0"/>
    <xf numFmtId="0" fontId="80" fillId="0" borderId="29" applyNumberFormat="0" applyFill="0" applyAlignment="0" applyProtection="0"/>
    <xf numFmtId="0" fontId="80" fillId="0" borderId="29" applyNumberFormat="0" applyFill="0" applyAlignment="0" applyProtection="0"/>
    <xf numFmtId="0" fontId="80" fillId="0" borderId="29" applyNumberFormat="0" applyFill="0" applyAlignment="0" applyProtection="0"/>
    <xf numFmtId="0" fontId="81" fillId="0" borderId="30"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198" fontId="24" fillId="0" borderId="0">
      <protection locked="0"/>
    </xf>
    <xf numFmtId="198" fontId="24" fillId="0" borderId="0">
      <protection locked="0"/>
    </xf>
    <xf numFmtId="198" fontId="24" fillId="0" borderId="0">
      <protection locked="0"/>
    </xf>
    <xf numFmtId="198" fontId="24" fillId="0" borderId="0">
      <protection locked="0"/>
    </xf>
    <xf numFmtId="198" fontId="24" fillId="0" borderId="0">
      <protection locked="0"/>
    </xf>
    <xf numFmtId="198" fontId="24" fillId="0" borderId="0">
      <protection locked="0"/>
    </xf>
    <xf numFmtId="198" fontId="24" fillId="0" borderId="0">
      <protection locked="0"/>
    </xf>
    <xf numFmtId="198" fontId="24" fillId="0" borderId="0">
      <protection locked="0"/>
    </xf>
    <xf numFmtId="199" fontId="24" fillId="0" borderId="0" applyFont="0" applyFill="0" applyBorder="0" applyAlignment="0" applyProtection="0">
      <alignment horizontal="center"/>
    </xf>
    <xf numFmtId="0" fontId="83" fillId="0" borderId="32" applyNumberFormat="0" applyFill="0" applyAlignment="0" applyProtection="0"/>
    <xf numFmtId="39" fontId="84" fillId="0" borderId="0">
      <protection locked="0"/>
    </xf>
    <xf numFmtId="200" fontId="84" fillId="0" borderId="0"/>
    <xf numFmtId="10" fontId="72" fillId="75" borderId="1" applyNumberFormat="0" applyBorder="0" applyAlignment="0" applyProtection="0"/>
    <xf numFmtId="10" fontId="72" fillId="75" borderId="1" applyNumberFormat="0" applyBorder="0" applyAlignment="0" applyProtection="0"/>
    <xf numFmtId="10" fontId="72" fillId="75" borderId="1" applyNumberFormat="0" applyBorder="0" applyAlignment="0" applyProtection="0"/>
    <xf numFmtId="10" fontId="72" fillId="75" borderId="1" applyNumberFormat="0" applyBorder="0" applyAlignment="0" applyProtection="0"/>
    <xf numFmtId="10" fontId="72" fillId="75" borderId="1" applyNumberFormat="0" applyBorder="0" applyAlignment="0" applyProtection="0"/>
    <xf numFmtId="0" fontId="85" fillId="44" borderId="22" applyNumberFormat="0" applyAlignment="0" applyProtection="0"/>
    <xf numFmtId="0" fontId="85" fillId="44" borderId="22" applyNumberFormat="0" applyAlignment="0" applyProtection="0"/>
    <xf numFmtId="0" fontId="85" fillId="44" borderId="22" applyNumberFormat="0" applyAlignment="0" applyProtection="0"/>
    <xf numFmtId="0" fontId="85" fillId="44" borderId="22" applyNumberFormat="0" applyAlignment="0" applyProtection="0"/>
    <xf numFmtId="0" fontId="85" fillId="44" borderId="22" applyNumberFormat="0" applyAlignment="0" applyProtection="0"/>
    <xf numFmtId="0" fontId="85" fillId="44" borderId="22" applyNumberFormat="0" applyAlignment="0" applyProtection="0"/>
    <xf numFmtId="0" fontId="85" fillId="44" borderId="22" applyNumberFormat="0" applyAlignment="0" applyProtection="0"/>
    <xf numFmtId="0" fontId="85" fillId="44" borderId="22" applyNumberFormat="0" applyAlignment="0" applyProtection="0"/>
    <xf numFmtId="0" fontId="85" fillId="44" borderId="22" applyNumberFormat="0" applyAlignment="0" applyProtection="0"/>
    <xf numFmtId="0" fontId="85" fillId="44" borderId="22" applyNumberFormat="0" applyAlignment="0" applyProtection="0"/>
    <xf numFmtId="0" fontId="85" fillId="44" borderId="22" applyNumberFormat="0" applyAlignment="0" applyProtection="0"/>
    <xf numFmtId="0" fontId="85" fillId="44" borderId="22" applyNumberFormat="0" applyAlignment="0" applyProtection="0"/>
    <xf numFmtId="201" fontId="26" fillId="0" borderId="0" applyFont="0" applyFill="0" applyBorder="0" applyAlignment="0" applyProtection="0">
      <alignment horizontal="left" indent="1"/>
    </xf>
    <xf numFmtId="0" fontId="24" fillId="0" borderId="21">
      <alignment horizontal="left"/>
    </xf>
    <xf numFmtId="0" fontId="24" fillId="76" borderId="21" applyNumberFormat="0">
      <alignment horizontal="left" vertical="top"/>
    </xf>
    <xf numFmtId="0" fontId="86" fillId="0" borderId="33" applyNumberFormat="0" applyFill="0" applyAlignment="0" applyProtection="0"/>
    <xf numFmtId="0" fontId="87" fillId="0" borderId="34" applyNumberFormat="0" applyFill="0" applyAlignment="0" applyProtection="0"/>
    <xf numFmtId="0" fontId="87" fillId="0" borderId="34" applyNumberFormat="0" applyFill="0" applyAlignment="0" applyProtection="0"/>
    <xf numFmtId="0" fontId="87" fillId="0" borderId="34" applyNumberFormat="0" applyFill="0" applyAlignment="0" applyProtection="0"/>
    <xf numFmtId="0" fontId="87" fillId="0" borderId="34" applyNumberFormat="0" applyFill="0" applyAlignment="0" applyProtection="0"/>
    <xf numFmtId="0" fontId="87" fillId="0" borderId="34" applyNumberFormat="0" applyFill="0" applyAlignment="0" applyProtection="0"/>
    <xf numFmtId="202" fontId="24" fillId="0" borderId="0" applyFont="0" applyFill="0" applyBorder="0" applyAlignment="0" applyProtection="0"/>
    <xf numFmtId="203" fontId="24" fillId="0" borderId="0" applyFont="0" applyFill="0" applyBorder="0" applyAlignment="0" applyProtection="0"/>
    <xf numFmtId="204"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9" fillId="0" borderId="0"/>
    <xf numFmtId="0" fontId="24" fillId="0" borderId="21"/>
    <xf numFmtId="0" fontId="88" fillId="77" borderId="0" applyNumberFormat="0" applyBorder="0" applyAlignment="0" applyProtection="0"/>
    <xf numFmtId="0" fontId="88" fillId="77" borderId="0" applyNumberFormat="0" applyBorder="0" applyAlignment="0" applyProtection="0"/>
    <xf numFmtId="0" fontId="88" fillId="77" borderId="0" applyNumberFormat="0" applyBorder="0" applyAlignment="0" applyProtection="0"/>
    <xf numFmtId="0" fontId="88" fillId="77" borderId="0" applyNumberFormat="0" applyBorder="0" applyAlignment="0" applyProtection="0"/>
    <xf numFmtId="0" fontId="88" fillId="77" borderId="0" applyNumberFormat="0" applyBorder="0" applyAlignment="0" applyProtection="0"/>
    <xf numFmtId="0" fontId="88" fillId="77" borderId="0" applyNumberFormat="0" applyBorder="0" applyAlignment="0" applyProtection="0"/>
    <xf numFmtId="37" fontId="89" fillId="0" borderId="0"/>
    <xf numFmtId="205" fontId="90" fillId="0" borderId="0"/>
    <xf numFmtId="206" fontId="24" fillId="0" borderId="0"/>
    <xf numFmtId="206" fontId="24" fillId="0" borderId="0"/>
    <xf numFmtId="206" fontId="24" fillId="0" borderId="0"/>
    <xf numFmtId="200" fontId="91" fillId="0" borderId="0"/>
    <xf numFmtId="200" fontId="91" fillId="0" borderId="0"/>
    <xf numFmtId="200" fontId="91" fillId="0" borderId="0"/>
    <xf numFmtId="200" fontId="91" fillId="0" borderId="0"/>
    <xf numFmtId="200" fontId="91" fillId="0" borderId="0"/>
    <xf numFmtId="200" fontId="91" fillId="0" borderId="0"/>
    <xf numFmtId="200" fontId="91" fillId="0" borderId="0"/>
    <xf numFmtId="0" fontId="64" fillId="0" borderId="0"/>
    <xf numFmtId="0" fontId="15" fillId="40" borderId="0" applyNumberFormat="0" applyBorder="0" applyAlignment="0" applyProtection="0"/>
    <xf numFmtId="0" fontId="24" fillId="0" borderId="0"/>
    <xf numFmtId="0" fontId="24" fillId="0" borderId="0"/>
    <xf numFmtId="0" fontId="24" fillId="0" borderId="0"/>
    <xf numFmtId="0" fontId="67" fillId="0" borderId="0"/>
    <xf numFmtId="0" fontId="67" fillId="0" borderId="0"/>
    <xf numFmtId="0" fontId="64" fillId="0" borderId="0"/>
    <xf numFmtId="0" fontId="24" fillId="0" borderId="0"/>
    <xf numFmtId="0" fontId="24" fillId="0" borderId="0"/>
    <xf numFmtId="0" fontId="24" fillId="0" borderId="0"/>
    <xf numFmtId="0" fontId="92" fillId="0" borderId="0"/>
    <xf numFmtId="0" fontId="54" fillId="0" borderId="0"/>
    <xf numFmtId="0" fontId="54" fillId="0" borderId="0"/>
    <xf numFmtId="0" fontId="24" fillId="0" borderId="0"/>
    <xf numFmtId="0" fontId="24" fillId="0" borderId="0"/>
    <xf numFmtId="0" fontId="54" fillId="0" borderId="0"/>
    <xf numFmtId="0" fontId="54" fillId="0" borderId="0"/>
    <xf numFmtId="0" fontId="24" fillId="0" borderId="0"/>
    <xf numFmtId="0" fontId="54" fillId="0" borderId="0"/>
    <xf numFmtId="0" fontId="54" fillId="0" borderId="0"/>
    <xf numFmtId="0" fontId="24" fillId="0" borderId="0"/>
    <xf numFmtId="0" fontId="54" fillId="0" borderId="0"/>
    <xf numFmtId="0" fontId="54" fillId="0" borderId="0"/>
    <xf numFmtId="0" fontId="24" fillId="0" borderId="0"/>
    <xf numFmtId="0" fontId="92" fillId="0" borderId="0"/>
    <xf numFmtId="0" fontId="92" fillId="0" borderId="0"/>
    <xf numFmtId="0" fontId="24" fillId="0" borderId="0"/>
    <xf numFmtId="0" fontId="24" fillId="0" borderId="0"/>
    <xf numFmtId="0" fontId="26" fillId="0" borderId="0"/>
    <xf numFmtId="0" fontId="26" fillId="0" borderId="0"/>
    <xf numFmtId="0" fontId="64" fillId="0" borderId="0"/>
    <xf numFmtId="0" fontId="24" fillId="0" borderId="0"/>
    <xf numFmtId="0" fontId="15" fillId="40"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4" fillId="0" borderId="0"/>
    <xf numFmtId="0" fontId="5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54" fillId="0" borderId="0"/>
    <xf numFmtId="0" fontId="24" fillId="0" borderId="0"/>
    <xf numFmtId="0" fontId="15" fillId="0" borderId="0"/>
    <xf numFmtId="0" fontId="67" fillId="0" borderId="0"/>
    <xf numFmtId="0" fontId="67" fillId="0" borderId="0"/>
    <xf numFmtId="0" fontId="24" fillId="0" borderId="0"/>
    <xf numFmtId="0" fontId="15" fillId="0" borderId="0"/>
    <xf numFmtId="0" fontId="15" fillId="0" borderId="0"/>
    <xf numFmtId="0" fontId="24" fillId="0" borderId="0"/>
    <xf numFmtId="0" fontId="15" fillId="0" borderId="0"/>
    <xf numFmtId="0" fontId="15" fillId="0" borderId="0"/>
    <xf numFmtId="0" fontId="24" fillId="0" borderId="0"/>
    <xf numFmtId="0" fontId="15" fillId="0" borderId="0"/>
    <xf numFmtId="0" fontId="15" fillId="0" borderId="0"/>
    <xf numFmtId="0" fontId="15" fillId="0" borderId="0"/>
    <xf numFmtId="0" fontId="26" fillId="0" borderId="0"/>
    <xf numFmtId="0" fontId="15" fillId="0" borderId="0"/>
    <xf numFmtId="0" fontId="15" fillId="40"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4" fillId="0" borderId="0"/>
    <xf numFmtId="0" fontId="15" fillId="0" borderId="0"/>
    <xf numFmtId="0" fontId="24" fillId="0" borderId="0"/>
    <xf numFmtId="0" fontId="24" fillId="0" borderId="0"/>
    <xf numFmtId="0" fontId="64" fillId="0" borderId="0"/>
    <xf numFmtId="0" fontId="15" fillId="0" borderId="0"/>
    <xf numFmtId="0" fontId="24" fillId="0" borderId="0"/>
    <xf numFmtId="0" fontId="24" fillId="0" borderId="0"/>
    <xf numFmtId="0" fontId="5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4" fillId="0" borderId="0"/>
    <xf numFmtId="0" fontId="54" fillId="0" borderId="0"/>
    <xf numFmtId="0" fontId="54" fillId="0" borderId="0"/>
    <xf numFmtId="0" fontId="54" fillId="0" borderId="0"/>
    <xf numFmtId="0" fontId="24" fillId="0" borderId="0"/>
    <xf numFmtId="0" fontId="54"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4" fillId="0" borderId="0"/>
    <xf numFmtId="0" fontId="54" fillId="0" borderId="0"/>
    <xf numFmtId="0" fontId="64" fillId="0" borderId="0"/>
    <xf numFmtId="0" fontId="24" fillId="0" borderId="0"/>
    <xf numFmtId="0" fontId="24" fillId="0" borderId="0"/>
    <xf numFmtId="0" fontId="15" fillId="0" borderId="0"/>
    <xf numFmtId="0" fontId="24" fillId="40" borderId="35" applyNumberFormat="0" applyFont="0" applyAlignment="0" applyProtection="0"/>
    <xf numFmtId="0" fontId="24" fillId="40" borderId="22" applyNumberFormat="0" applyFont="0" applyAlignment="0" applyProtection="0"/>
    <xf numFmtId="0" fontId="24" fillId="40" borderId="22" applyNumberFormat="0" applyFont="0" applyAlignment="0" applyProtection="0"/>
    <xf numFmtId="0" fontId="24" fillId="40" borderId="22" applyNumberFormat="0" applyFont="0" applyAlignment="0" applyProtection="0"/>
    <xf numFmtId="0" fontId="24" fillId="40" borderId="22" applyNumberFormat="0" applyFont="0" applyAlignment="0" applyProtection="0"/>
    <xf numFmtId="0" fontId="24" fillId="40" borderId="22" applyNumberFormat="0" applyFont="0" applyAlignment="0" applyProtection="0"/>
    <xf numFmtId="0" fontId="24" fillId="40" borderId="22" applyNumberFormat="0" applyFont="0" applyAlignment="0" applyProtection="0"/>
    <xf numFmtId="0" fontId="24" fillId="40" borderId="22" applyNumberFormat="0" applyFont="0" applyAlignment="0" applyProtection="0"/>
    <xf numFmtId="0" fontId="24" fillId="40" borderId="22" applyNumberFormat="0" applyFont="0" applyAlignment="0" applyProtection="0"/>
    <xf numFmtId="0" fontId="24" fillId="40" borderId="22" applyNumberFormat="0" applyFont="0" applyAlignment="0" applyProtection="0"/>
    <xf numFmtId="0" fontId="24" fillId="40" borderId="22" applyNumberFormat="0" applyFont="0" applyAlignment="0" applyProtection="0"/>
    <xf numFmtId="49" fontId="93" fillId="0" borderId="0" applyAlignment="0">
      <alignment horizontal="left" vertical="top"/>
    </xf>
    <xf numFmtId="0" fontId="94" fillId="49" borderId="36" applyNumberFormat="0" applyAlignment="0" applyProtection="0"/>
    <xf numFmtId="0" fontId="94" fillId="49" borderId="36" applyNumberFormat="0" applyAlignment="0" applyProtection="0"/>
    <xf numFmtId="0" fontId="94" fillId="42" borderId="36" applyNumberFormat="0" applyAlignment="0" applyProtection="0"/>
    <xf numFmtId="0" fontId="94" fillId="42" borderId="36" applyNumberFormat="0" applyAlignment="0" applyProtection="0"/>
    <xf numFmtId="0" fontId="94" fillId="42" borderId="36" applyNumberFormat="0" applyAlignment="0" applyProtection="0"/>
    <xf numFmtId="0" fontId="94" fillId="42" borderId="36" applyNumberFormat="0" applyAlignment="0" applyProtection="0"/>
    <xf numFmtId="0" fontId="94" fillId="42" borderId="36" applyNumberFormat="0" applyAlignment="0" applyProtection="0"/>
    <xf numFmtId="0" fontId="94" fillId="42" borderId="36" applyNumberFormat="0" applyAlignment="0" applyProtection="0"/>
    <xf numFmtId="0" fontId="94" fillId="42" borderId="36" applyNumberFormat="0" applyAlignment="0" applyProtection="0"/>
    <xf numFmtId="0" fontId="94" fillId="42" borderId="36" applyNumberFormat="0" applyAlignment="0" applyProtection="0"/>
    <xf numFmtId="0" fontId="94" fillId="42" borderId="36" applyNumberFormat="0" applyAlignment="0" applyProtection="0"/>
    <xf numFmtId="0" fontId="94" fillId="42" borderId="36" applyNumberFormat="0" applyAlignment="0" applyProtection="0"/>
    <xf numFmtId="8" fontId="24" fillId="0" borderId="21"/>
    <xf numFmtId="173" fontId="24" fillId="0" borderId="21">
      <alignment horizontal="right"/>
    </xf>
    <xf numFmtId="200" fontId="95" fillId="0" borderId="3">
      <alignment vertical="center"/>
    </xf>
    <xf numFmtId="10" fontId="24" fillId="0" borderId="21"/>
    <xf numFmtId="10" fontId="24" fillId="0" borderId="0" applyFont="0" applyFill="0" applyBorder="0" applyAlignment="0" applyProtection="0"/>
    <xf numFmtId="10" fontId="24" fillId="0" borderId="0" applyFont="0" applyFill="0" applyBorder="0" applyAlignment="0" applyProtection="0"/>
    <xf numFmtId="10"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0"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26" fillId="0" borderId="0" applyFont="0" applyFill="0" applyBorder="0" applyAlignment="0" applyProtection="0"/>
    <xf numFmtId="9" fontId="64" fillId="0" borderId="0" applyFont="0" applyFill="0" applyBorder="0" applyAlignment="0" applyProtection="0"/>
    <xf numFmtId="9" fontId="2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54" fillId="0" borderId="0" applyFont="0" applyFill="0" applyBorder="0" applyAlignment="0" applyProtection="0"/>
    <xf numFmtId="9" fontId="2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5"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207" fontId="96" fillId="0" borderId="0" applyProtection="0"/>
    <xf numFmtId="208" fontId="24" fillId="0" borderId="21">
      <alignment horizontal="center"/>
    </xf>
    <xf numFmtId="0" fontId="97" fillId="0" borderId="21" applyNumberFormat="0" applyFill="0" applyBorder="0" applyAlignment="0" applyProtection="0">
      <protection hidden="1"/>
    </xf>
    <xf numFmtId="0" fontId="98" fillId="0" borderId="0" applyNumberFormat="0" applyFill="0" applyBorder="0" applyAlignment="0"/>
    <xf numFmtId="209" fontId="59" fillId="0" borderId="0" applyFill="0" applyBorder="0" applyProtection="0">
      <alignment horizontal="right"/>
    </xf>
    <xf numFmtId="14" fontId="99" fillId="0" borderId="0" applyNumberFormat="0" applyFill="0" applyBorder="0" applyAlignment="0" applyProtection="0">
      <alignment horizontal="left"/>
    </xf>
    <xf numFmtId="0" fontId="24" fillId="0" borderId="0"/>
    <xf numFmtId="8" fontId="24" fillId="0" borderId="21"/>
    <xf numFmtId="4" fontId="60" fillId="78" borderId="36" applyNumberFormat="0" applyProtection="0">
      <alignment vertical="center"/>
    </xf>
    <xf numFmtId="4" fontId="100" fillId="79" borderId="1" applyNumberFormat="0" applyProtection="0">
      <alignment horizontal="right" vertical="center" wrapText="1"/>
    </xf>
    <xf numFmtId="4" fontId="100" fillId="79" borderId="1" applyNumberFormat="0" applyProtection="0">
      <alignment horizontal="right" vertical="center" wrapText="1"/>
    </xf>
    <xf numFmtId="4" fontId="101" fillId="78" borderId="37" applyNumberFormat="0" applyProtection="0">
      <alignment vertical="center"/>
    </xf>
    <xf numFmtId="4" fontId="101" fillId="78" borderId="37" applyNumberFormat="0" applyProtection="0">
      <alignment vertical="center"/>
    </xf>
    <xf numFmtId="4" fontId="102" fillId="80" borderId="28">
      <alignment vertical="center"/>
    </xf>
    <xf numFmtId="4" fontId="103" fillId="80" borderId="28">
      <alignment vertical="center"/>
    </xf>
    <xf numFmtId="4" fontId="102" fillId="81" borderId="28">
      <alignment vertical="center"/>
    </xf>
    <xf numFmtId="4" fontId="103" fillId="81" borderId="28">
      <alignment vertical="center"/>
    </xf>
    <xf numFmtId="4" fontId="100" fillId="79" borderId="1" applyNumberFormat="0" applyProtection="0">
      <alignment horizontal="left" vertical="center" indent="1"/>
    </xf>
    <xf numFmtId="0" fontId="104" fillId="78" borderId="37" applyNumberFormat="0" applyProtection="0">
      <alignment horizontal="left" vertical="top" indent="1"/>
    </xf>
    <xf numFmtId="0" fontId="104" fillId="78" borderId="37" applyNumberFormat="0" applyProtection="0">
      <alignment horizontal="left" vertical="top" indent="1"/>
    </xf>
    <xf numFmtId="4" fontId="105" fillId="82" borderId="1" applyNumberFormat="0" applyProtection="0">
      <alignment horizontal="left" vertical="center"/>
    </xf>
    <xf numFmtId="4" fontId="105" fillId="82" borderId="1" applyNumberFormat="0" applyProtection="0">
      <alignment horizontal="left" vertical="center"/>
    </xf>
    <xf numFmtId="4" fontId="105" fillId="82" borderId="1" applyNumberFormat="0" applyProtection="0">
      <alignment horizontal="left" vertical="center"/>
    </xf>
    <xf numFmtId="4" fontId="106" fillId="83" borderId="1" applyNumberFormat="0">
      <alignment horizontal="right" vertical="center"/>
    </xf>
    <xf numFmtId="4" fontId="60" fillId="37" borderId="37" applyNumberFormat="0" applyProtection="0">
      <alignment horizontal="right" vertical="center"/>
    </xf>
    <xf numFmtId="4" fontId="60" fillId="37" borderId="37" applyNumberFormat="0" applyProtection="0">
      <alignment horizontal="right" vertical="center"/>
    </xf>
    <xf numFmtId="4" fontId="60" fillId="38" borderId="37" applyNumberFormat="0" applyProtection="0">
      <alignment horizontal="right" vertical="center"/>
    </xf>
    <xf numFmtId="4" fontId="60" fillId="38" borderId="37" applyNumberFormat="0" applyProtection="0">
      <alignment horizontal="right" vertical="center"/>
    </xf>
    <xf numFmtId="4" fontId="60" fillId="62" borderId="37" applyNumberFormat="0" applyProtection="0">
      <alignment horizontal="right" vertical="center"/>
    </xf>
    <xf numFmtId="4" fontId="60" fillId="62" borderId="37" applyNumberFormat="0" applyProtection="0">
      <alignment horizontal="right" vertical="center"/>
    </xf>
    <xf numFmtId="4" fontId="60" fillId="50" borderId="37" applyNumberFormat="0" applyProtection="0">
      <alignment horizontal="right" vertical="center"/>
    </xf>
    <xf numFmtId="4" fontId="60" fillId="50" borderId="37" applyNumberFormat="0" applyProtection="0">
      <alignment horizontal="right" vertical="center"/>
    </xf>
    <xf numFmtId="4" fontId="60" fillId="54" borderId="37" applyNumberFormat="0" applyProtection="0">
      <alignment horizontal="right" vertical="center"/>
    </xf>
    <xf numFmtId="4" fontId="60" fillId="54" borderId="37" applyNumberFormat="0" applyProtection="0">
      <alignment horizontal="right" vertical="center"/>
    </xf>
    <xf numFmtId="4" fontId="60" fillId="69" borderId="37" applyNumberFormat="0" applyProtection="0">
      <alignment horizontal="right" vertical="center"/>
    </xf>
    <xf numFmtId="4" fontId="60" fillId="69" borderId="37" applyNumberFormat="0" applyProtection="0">
      <alignment horizontal="right" vertical="center"/>
    </xf>
    <xf numFmtId="4" fontId="60" fillId="48" borderId="37" applyNumberFormat="0" applyProtection="0">
      <alignment horizontal="right" vertical="center"/>
    </xf>
    <xf numFmtId="4" fontId="60" fillId="48" borderId="37" applyNumberFormat="0" applyProtection="0">
      <alignment horizontal="right" vertical="center"/>
    </xf>
    <xf numFmtId="4" fontId="60" fillId="73" borderId="37" applyNumberFormat="0" applyProtection="0">
      <alignment horizontal="right" vertical="center"/>
    </xf>
    <xf numFmtId="4" fontId="60" fillId="73" borderId="37" applyNumberFormat="0" applyProtection="0">
      <alignment horizontal="right" vertical="center"/>
    </xf>
    <xf numFmtId="4" fontId="60" fillId="47" borderId="37" applyNumberFormat="0" applyProtection="0">
      <alignment horizontal="right" vertical="center"/>
    </xf>
    <xf numFmtId="4" fontId="60" fillId="47" borderId="37" applyNumberFormat="0" applyProtection="0">
      <alignment horizontal="right" vertical="center"/>
    </xf>
    <xf numFmtId="4" fontId="104" fillId="0" borderId="1" applyNumberFormat="0" applyProtection="0">
      <alignment horizontal="left" vertical="center" indent="1"/>
    </xf>
    <xf numFmtId="4" fontId="60" fillId="0" borderId="1" applyNumberFormat="0" applyProtection="0">
      <alignment horizontal="left" vertical="center" indent="1"/>
    </xf>
    <xf numFmtId="4" fontId="107" fillId="84" borderId="0" applyNumberFormat="0" applyProtection="0">
      <alignment horizontal="left" vertical="center" indent="1"/>
    </xf>
    <xf numFmtId="4" fontId="108" fillId="49" borderId="37" applyNumberFormat="0" applyProtection="0">
      <alignment horizontal="center" vertical="center"/>
    </xf>
    <xf numFmtId="4" fontId="108" fillId="49" borderId="37" applyNumberFormat="0" applyProtection="0">
      <alignment horizontal="center" vertical="center"/>
    </xf>
    <xf numFmtId="4" fontId="109" fillId="76" borderId="38">
      <alignment horizontal="left" vertical="center" indent="1"/>
    </xf>
    <xf numFmtId="4" fontId="105" fillId="0" borderId="0" applyNumberFormat="0" applyProtection="0">
      <alignment horizontal="left" vertical="center" indent="1"/>
    </xf>
    <xf numFmtId="4" fontId="105" fillId="0" borderId="0" applyNumberFormat="0" applyProtection="0">
      <alignment horizontal="left" vertical="center" indent="1"/>
    </xf>
    <xf numFmtId="4" fontId="105" fillId="0" borderId="0" applyNumberFormat="0" applyProtection="0">
      <alignment horizontal="left" vertical="center" indent="1"/>
    </xf>
    <xf numFmtId="4" fontId="105" fillId="0" borderId="0" applyNumberFormat="0" applyProtection="0">
      <alignment horizontal="left" vertical="center" indent="1"/>
    </xf>
    <xf numFmtId="4" fontId="105" fillId="0" borderId="0" applyNumberFormat="0" applyProtection="0">
      <alignment horizontal="left" vertical="center" indent="1"/>
    </xf>
    <xf numFmtId="4" fontId="105" fillId="0" borderId="0" applyNumberFormat="0" applyProtection="0">
      <alignment horizontal="left" vertical="center" indent="1"/>
    </xf>
    <xf numFmtId="0" fontId="105" fillId="85" borderId="1" applyNumberFormat="0" applyProtection="0">
      <alignment horizontal="left" vertical="center" indent="2"/>
    </xf>
    <xf numFmtId="0" fontId="105" fillId="85" borderId="1" applyNumberFormat="0" applyProtection="0">
      <alignment horizontal="left" vertical="center" indent="2"/>
    </xf>
    <xf numFmtId="0" fontId="105" fillId="85" borderId="1" applyNumberFormat="0" applyProtection="0">
      <alignment horizontal="left" vertical="center" indent="2"/>
    </xf>
    <xf numFmtId="0" fontId="24" fillId="84" borderId="37" applyNumberFormat="0" applyProtection="0">
      <alignment horizontal="left" vertical="top" indent="1"/>
    </xf>
    <xf numFmtId="0" fontId="24" fillId="84" borderId="37" applyNumberFormat="0" applyProtection="0">
      <alignment horizontal="left" vertical="top" indent="1"/>
    </xf>
    <xf numFmtId="0" fontId="24" fillId="84" borderId="37" applyNumberFormat="0" applyProtection="0">
      <alignment horizontal="left" vertical="top" indent="1"/>
    </xf>
    <xf numFmtId="0" fontId="24" fillId="84" borderId="37" applyNumberFormat="0" applyProtection="0">
      <alignment horizontal="left" vertical="top" indent="1"/>
    </xf>
    <xf numFmtId="0" fontId="24" fillId="84" borderId="37" applyNumberFormat="0" applyProtection="0">
      <alignment horizontal="left" vertical="top" indent="1"/>
    </xf>
    <xf numFmtId="0" fontId="24" fillId="84" borderId="37" applyNumberFormat="0" applyProtection="0">
      <alignment horizontal="left" vertical="top" indent="1"/>
    </xf>
    <xf numFmtId="0" fontId="24" fillId="84" borderId="37" applyNumberFormat="0" applyProtection="0">
      <alignment horizontal="left" vertical="top" indent="1"/>
    </xf>
    <xf numFmtId="0" fontId="92" fillId="0" borderId="1" applyNumberFormat="0" applyProtection="0">
      <alignment horizontal="left" vertical="center" indent="2"/>
    </xf>
    <xf numFmtId="0" fontId="24" fillId="86" borderId="37" applyNumberFormat="0" applyProtection="0">
      <alignment horizontal="left" vertical="top" indent="1"/>
    </xf>
    <xf numFmtId="0" fontId="24" fillId="86" borderId="37" applyNumberFormat="0" applyProtection="0">
      <alignment horizontal="left" vertical="top" indent="1"/>
    </xf>
    <xf numFmtId="0" fontId="24" fillId="86" borderId="37" applyNumberFormat="0" applyProtection="0">
      <alignment horizontal="left" vertical="top" indent="1"/>
    </xf>
    <xf numFmtId="0" fontId="24" fillId="86" borderId="37" applyNumberFormat="0" applyProtection="0">
      <alignment horizontal="left" vertical="top" indent="1"/>
    </xf>
    <xf numFmtId="0" fontId="24" fillId="86" borderId="37" applyNumberFormat="0" applyProtection="0">
      <alignment horizontal="left" vertical="top" indent="1"/>
    </xf>
    <xf numFmtId="0" fontId="24" fillId="86" borderId="37" applyNumberFormat="0" applyProtection="0">
      <alignment horizontal="left" vertical="top" indent="1"/>
    </xf>
    <xf numFmtId="0" fontId="24" fillId="86" borderId="37" applyNumberFormat="0" applyProtection="0">
      <alignment horizontal="left" vertical="top" indent="1"/>
    </xf>
    <xf numFmtId="0" fontId="92" fillId="0" borderId="1" applyNumberFormat="0" applyProtection="0">
      <alignment horizontal="left" vertical="center" indent="2"/>
    </xf>
    <xf numFmtId="0" fontId="24" fillId="70" borderId="37" applyNumberFormat="0" applyProtection="0">
      <alignment horizontal="left" vertical="top" indent="1"/>
    </xf>
    <xf numFmtId="0" fontId="24" fillId="70" borderId="37" applyNumberFormat="0" applyProtection="0">
      <alignment horizontal="left" vertical="top" indent="1"/>
    </xf>
    <xf numFmtId="0" fontId="24" fillId="70" borderId="37" applyNumberFormat="0" applyProtection="0">
      <alignment horizontal="left" vertical="top" indent="1"/>
    </xf>
    <xf numFmtId="0" fontId="24" fillId="70" borderId="37" applyNumberFormat="0" applyProtection="0">
      <alignment horizontal="left" vertical="top" indent="1"/>
    </xf>
    <xf numFmtId="0" fontId="24" fillId="70" borderId="37" applyNumberFormat="0" applyProtection="0">
      <alignment horizontal="left" vertical="top" indent="1"/>
    </xf>
    <xf numFmtId="0" fontId="24" fillId="70" borderId="37" applyNumberFormat="0" applyProtection="0">
      <alignment horizontal="left" vertical="top" indent="1"/>
    </xf>
    <xf numFmtId="0" fontId="24" fillId="70" borderId="37" applyNumberFormat="0" applyProtection="0">
      <alignment horizontal="left" vertical="top" indent="1"/>
    </xf>
    <xf numFmtId="0" fontId="92" fillId="0" borderId="1" applyNumberFormat="0" applyProtection="0">
      <alignment horizontal="left" vertical="center" indent="2"/>
    </xf>
    <xf numFmtId="0" fontId="24" fillId="87" borderId="37" applyNumberFormat="0" applyProtection="0">
      <alignment horizontal="left" vertical="top" indent="1"/>
    </xf>
    <xf numFmtId="0" fontId="24" fillId="87" borderId="37" applyNumberFormat="0" applyProtection="0">
      <alignment horizontal="left" vertical="top" indent="1"/>
    </xf>
    <xf numFmtId="0" fontId="24" fillId="87" borderId="37" applyNumberFormat="0" applyProtection="0">
      <alignment horizontal="left" vertical="top" indent="1"/>
    </xf>
    <xf numFmtId="0" fontId="24" fillId="87" borderId="37" applyNumberFormat="0" applyProtection="0">
      <alignment horizontal="left" vertical="top" indent="1"/>
    </xf>
    <xf numFmtId="0" fontId="24" fillId="87" borderId="37" applyNumberFormat="0" applyProtection="0">
      <alignment horizontal="left" vertical="top" indent="1"/>
    </xf>
    <xf numFmtId="0" fontId="24" fillId="87" borderId="37" applyNumberFormat="0" applyProtection="0">
      <alignment horizontal="left" vertical="top" indent="1"/>
    </xf>
    <xf numFmtId="0" fontId="24" fillId="87" borderId="37" applyNumberFormat="0" applyProtection="0">
      <alignment horizontal="left" vertical="top" indent="1"/>
    </xf>
    <xf numFmtId="0" fontId="24" fillId="88" borderId="1" applyNumberFormat="0">
      <protection locked="0"/>
    </xf>
    <xf numFmtId="0" fontId="24" fillId="88" borderId="1" applyNumberFormat="0">
      <protection locked="0"/>
    </xf>
    <xf numFmtId="0" fontId="24" fillId="88" borderId="1" applyNumberFormat="0">
      <protection locked="0"/>
    </xf>
    <xf numFmtId="0" fontId="24" fillId="88" borderId="1" applyNumberFormat="0">
      <protection locked="0"/>
    </xf>
    <xf numFmtId="4" fontId="60" fillId="75" borderId="37" applyNumberFormat="0" applyProtection="0">
      <alignment vertical="center"/>
    </xf>
    <xf numFmtId="4" fontId="60" fillId="75" borderId="37" applyNumberFormat="0" applyProtection="0">
      <alignment vertical="center"/>
    </xf>
    <xf numFmtId="4" fontId="110" fillId="75" borderId="37" applyNumberFormat="0" applyProtection="0">
      <alignment vertical="center"/>
    </xf>
    <xf numFmtId="4" fontId="110" fillId="75" borderId="37" applyNumberFormat="0" applyProtection="0">
      <alignment vertical="center"/>
    </xf>
    <xf numFmtId="4" fontId="111" fillId="80" borderId="38">
      <alignment vertical="center"/>
    </xf>
    <xf numFmtId="4" fontId="112" fillId="80" borderId="38">
      <alignment vertical="center"/>
    </xf>
    <xf numFmtId="4" fontId="111" fillId="81" borderId="38">
      <alignment vertical="center"/>
    </xf>
    <xf numFmtId="4" fontId="112" fillId="81" borderId="38">
      <alignment vertical="center"/>
    </xf>
    <xf numFmtId="4" fontId="96" fillId="0" borderId="0" applyNumberFormat="0" applyProtection="0">
      <alignment horizontal="left" vertical="center" indent="1"/>
    </xf>
    <xf numFmtId="0" fontId="60" fillId="75" borderId="37" applyNumberFormat="0" applyProtection="0">
      <alignment horizontal="left" vertical="top" indent="1"/>
    </xf>
    <xf numFmtId="0" fontId="60" fillId="75" borderId="37" applyNumberFormat="0" applyProtection="0">
      <alignment horizontal="left" vertical="top" indent="1"/>
    </xf>
    <xf numFmtId="0" fontId="106" fillId="83" borderId="1" applyNumberFormat="0">
      <alignment horizontal="left" vertical="center"/>
    </xf>
    <xf numFmtId="4" fontId="72" fillId="0" borderId="1" applyNumberFormat="0" applyProtection="0">
      <alignment horizontal="left" vertical="center" indent="1"/>
    </xf>
    <xf numFmtId="4" fontId="60" fillId="89" borderId="36" applyNumberFormat="0" applyProtection="0">
      <alignment horizontal="right" vertical="center"/>
    </xf>
    <xf numFmtId="4" fontId="113" fillId="0" borderId="1" applyNumberFormat="0" applyProtection="0">
      <alignment horizontal="right" vertical="center" wrapText="1"/>
    </xf>
    <xf numFmtId="4" fontId="96" fillId="0" borderId="0" applyNumberFormat="0" applyProtection="0">
      <alignment horizontal="right" vertical="center" wrapText="1"/>
    </xf>
    <xf numFmtId="4" fontId="110" fillId="90" borderId="37" applyNumberFormat="0" applyProtection="0">
      <alignment horizontal="right" vertical="center"/>
    </xf>
    <xf numFmtId="4" fontId="110" fillId="90" borderId="37" applyNumberFormat="0" applyProtection="0">
      <alignment horizontal="right" vertical="center"/>
    </xf>
    <xf numFmtId="4" fontId="114" fillId="80" borderId="38">
      <alignment vertical="center"/>
    </xf>
    <xf numFmtId="4" fontId="115" fillId="80" borderId="38">
      <alignment vertical="center"/>
    </xf>
    <xf numFmtId="4" fontId="114" fillId="81" borderId="38">
      <alignment vertical="center"/>
    </xf>
    <xf numFmtId="4" fontId="115" fillId="91" borderId="38">
      <alignment vertical="center"/>
    </xf>
    <xf numFmtId="4" fontId="113" fillId="0" borderId="1" applyNumberFormat="0" applyProtection="0">
      <alignment horizontal="left" vertical="center" indent="1"/>
    </xf>
    <xf numFmtId="4" fontId="113" fillId="0" borderId="1" applyNumberFormat="0" applyProtection="0">
      <alignment horizontal="left" vertical="center" indent="1"/>
    </xf>
    <xf numFmtId="4" fontId="96" fillId="0" borderId="0" applyNumberFormat="0" applyProtection="0">
      <alignment horizontal="left" vertical="center" indent="1"/>
    </xf>
    <xf numFmtId="0" fontId="105" fillId="92" borderId="1" applyNumberFormat="0" applyProtection="0">
      <alignment horizontal="center" vertical="top" wrapText="1"/>
    </xf>
    <xf numFmtId="0" fontId="105" fillId="92" borderId="1" applyNumberFormat="0" applyProtection="0">
      <alignment horizontal="center" vertical="top" wrapText="1"/>
    </xf>
    <xf numFmtId="0" fontId="105" fillId="92" borderId="1" applyNumberFormat="0" applyProtection="0">
      <alignment horizontal="center" vertical="top" wrapText="1"/>
    </xf>
    <xf numFmtId="4" fontId="116" fillId="76" borderId="39">
      <alignment vertical="center"/>
    </xf>
    <xf numFmtId="4" fontId="117" fillId="76" borderId="39">
      <alignment vertical="center"/>
    </xf>
    <xf numFmtId="4" fontId="102" fillId="80" borderId="39">
      <alignment vertical="center"/>
    </xf>
    <xf numFmtId="4" fontId="103" fillId="80" borderId="39">
      <alignment vertical="center"/>
    </xf>
    <xf numFmtId="4" fontId="102" fillId="81" borderId="38">
      <alignment vertical="center"/>
    </xf>
    <xf numFmtId="4" fontId="103" fillId="81" borderId="38">
      <alignment vertical="center"/>
    </xf>
    <xf numFmtId="4" fontId="118" fillId="75" borderId="39">
      <alignment horizontal="left" vertical="center" indent="1"/>
    </xf>
    <xf numFmtId="4" fontId="119" fillId="0" borderId="0" applyNumberFormat="0" applyProtection="0">
      <alignment vertical="center"/>
    </xf>
    <xf numFmtId="4" fontId="120" fillId="0" borderId="37" applyNumberFormat="0" applyProtection="0">
      <alignment horizontal="right" vertical="center"/>
    </xf>
    <xf numFmtId="4" fontId="120" fillId="0" borderId="37" applyNumberFormat="0" applyProtection="0">
      <alignment horizontal="right" vertical="center"/>
    </xf>
    <xf numFmtId="1" fontId="24" fillId="0" borderId="2" applyFill="0" applyBorder="0">
      <alignment horizontal="center"/>
    </xf>
    <xf numFmtId="0" fontId="121" fillId="93" borderId="0"/>
    <xf numFmtId="49" fontId="122" fillId="93" borderId="0"/>
    <xf numFmtId="49" fontId="123" fillId="93" borderId="40"/>
    <xf numFmtId="49" fontId="123" fillId="93" borderId="0"/>
    <xf numFmtId="0" fontId="121" fillId="76" borderId="40">
      <protection locked="0"/>
    </xf>
    <xf numFmtId="0" fontId="121" fillId="93" borderId="0"/>
    <xf numFmtId="0" fontId="124" fillId="94" borderId="0"/>
    <xf numFmtId="0" fontId="124" fillId="95" borderId="0"/>
    <xf numFmtId="0" fontId="124" fillId="96" borderId="0"/>
    <xf numFmtId="0" fontId="125" fillId="0" borderId="0" applyNumberFormat="0" applyFill="0" applyBorder="0" applyAlignment="0" applyProtection="0"/>
    <xf numFmtId="200" fontId="126" fillId="0" borderId="41">
      <alignment horizontal="center"/>
    </xf>
    <xf numFmtId="200" fontId="126" fillId="0" borderId="41">
      <alignment horizontal="center"/>
    </xf>
    <xf numFmtId="0" fontId="24" fillId="0" borderId="21">
      <alignment horizontal="right"/>
    </xf>
    <xf numFmtId="49" fontId="24" fillId="0" borderId="21"/>
    <xf numFmtId="49" fontId="29" fillId="0" borderId="0" applyAlignment="0">
      <alignment horizontal="left" vertical="top"/>
    </xf>
    <xf numFmtId="0" fontId="48" fillId="0" borderId="0"/>
    <xf numFmtId="0" fontId="24" fillId="0" borderId="0"/>
    <xf numFmtId="0" fontId="127" fillId="0" borderId="0" applyNumberFormat="0" applyFont="0" applyFill="0" applyBorder="0" applyAlignment="0" applyProtection="0"/>
    <xf numFmtId="210" fontId="24" fillId="0" borderId="0" applyFill="0" applyBorder="0" applyAlignment="0" applyProtection="0">
      <alignment wrapText="1"/>
    </xf>
    <xf numFmtId="41" fontId="26" fillId="0" borderId="0" applyFont="0" applyFill="0" applyBorder="0" applyAlignment="0" applyProtection="0"/>
    <xf numFmtId="0" fontId="28" fillId="0" borderId="0" applyNumberFormat="0" applyFill="0" applyBorder="0">
      <alignment horizontal="center" wrapText="1"/>
    </xf>
    <xf numFmtId="0" fontId="28" fillId="0" borderId="0" applyNumberFormat="0" applyFill="0" applyBorder="0">
      <alignment horizontal="center" wrapText="1"/>
    </xf>
    <xf numFmtId="40" fontId="128" fillId="0" borderId="0" applyBorder="0">
      <alignment horizontal="right"/>
    </xf>
    <xf numFmtId="49" fontId="129" fillId="0" borderId="3">
      <alignment vertical="center"/>
    </xf>
    <xf numFmtId="49" fontId="29" fillId="0" borderId="0" applyFont="0" applyFill="0" applyBorder="0" applyAlignment="0" applyProtection="0"/>
    <xf numFmtId="211" fontId="29" fillId="0" borderId="0" applyFont="0" applyFill="0" applyBorder="0" applyAlignment="0" applyProtection="0"/>
    <xf numFmtId="212" fontId="26" fillId="0" borderId="0" applyFont="0" applyFill="0" applyBorder="0" applyAlignment="0" applyProtection="0"/>
    <xf numFmtId="0" fontId="130"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24" fillId="0" borderId="42" applyNumberFormat="0" applyFill="0" applyBorder="0" applyAlignment="0" applyProtection="0"/>
    <xf numFmtId="0" fontId="131" fillId="0" borderId="43" applyNumberFormat="0" applyFill="0" applyAlignment="0" applyProtection="0"/>
    <xf numFmtId="0" fontId="131" fillId="0" borderId="43" applyNumberFormat="0" applyFill="0" applyAlignment="0" applyProtection="0"/>
    <xf numFmtId="198" fontId="24" fillId="0" borderId="44">
      <protection locked="0"/>
    </xf>
    <xf numFmtId="198" fontId="24" fillId="0" borderId="44">
      <protection locked="0"/>
    </xf>
    <xf numFmtId="198" fontId="24" fillId="0" borderId="44">
      <protection locked="0"/>
    </xf>
    <xf numFmtId="198" fontId="24" fillId="0" borderId="44">
      <protection locked="0"/>
    </xf>
    <xf numFmtId="198" fontId="24" fillId="0" borderId="44">
      <protection locked="0"/>
    </xf>
    <xf numFmtId="37" fontId="72" fillId="78" borderId="0" applyNumberFormat="0" applyBorder="0" applyAlignment="0" applyProtection="0"/>
    <xf numFmtId="37" fontId="72" fillId="78" borderId="0" applyNumberFormat="0" applyBorder="0" applyAlignment="0" applyProtection="0"/>
    <xf numFmtId="37" fontId="72" fillId="78" borderId="0" applyNumberFormat="0" applyBorder="0" applyAlignment="0" applyProtection="0"/>
    <xf numFmtId="37" fontId="72" fillId="0" borderId="0"/>
    <xf numFmtId="3" fontId="132" fillId="0" borderId="32" applyProtection="0"/>
    <xf numFmtId="170" fontId="133" fillId="0" borderId="0" applyFont="0" applyFill="0" applyBorder="0" applyAlignment="0" applyProtection="0"/>
    <xf numFmtId="213" fontId="73" fillId="0" borderId="0" applyFont="0" applyFill="0" applyBorder="0" applyAlignment="0" applyProtection="0"/>
    <xf numFmtId="214" fontId="73" fillId="0" borderId="0" applyFont="0" applyFill="0" applyBorder="0" applyAlignment="0" applyProtection="0"/>
    <xf numFmtId="215" fontId="73" fillId="0" borderId="0" applyFont="0" applyFill="0" applyBorder="0" applyAlignment="0" applyProtection="0"/>
    <xf numFmtId="0" fontId="110" fillId="0" borderId="0" applyFill="0" applyBorder="0" applyAlignment="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24" fillId="0" borderId="2" applyNumberFormat="0" applyAlignment="0"/>
    <xf numFmtId="0" fontId="24" fillId="0" borderId="21" applyNumberFormat="0" applyAlignment="0"/>
    <xf numFmtId="0" fontId="24" fillId="0" borderId="45" applyNumberFormat="0" applyAlignment="0">
      <alignment horizontal="center"/>
    </xf>
    <xf numFmtId="0" fontId="24" fillId="0" borderId="45" applyNumberFormat="0" applyAlignment="0">
      <alignment horizontal="center"/>
    </xf>
    <xf numFmtId="0" fontId="28" fillId="97" borderId="0" applyBorder="0">
      <alignment horizontal="center"/>
    </xf>
    <xf numFmtId="0" fontId="24" fillId="78" borderId="0" applyBorder="0"/>
    <xf numFmtId="0" fontId="24" fillId="0" borderId="0" applyBorder="0"/>
    <xf numFmtId="209" fontId="28" fillId="98" borderId="0" applyBorder="0"/>
    <xf numFmtId="0" fontId="24" fillId="93" borderId="0" applyBorder="0"/>
    <xf numFmtId="0" fontId="24" fillId="83" borderId="0" applyBorder="0"/>
    <xf numFmtId="0" fontId="24" fillId="93" borderId="0" applyBorder="0">
      <alignment wrapText="1"/>
    </xf>
    <xf numFmtId="209" fontId="28" fillId="83" borderId="0" applyBorder="0"/>
    <xf numFmtId="209" fontId="28" fillId="99" borderId="0" applyBorder="0"/>
    <xf numFmtId="209" fontId="24" fillId="93" borderId="0" applyBorder="0"/>
    <xf numFmtId="0" fontId="24" fillId="100" borderId="0" applyBorder="0"/>
    <xf numFmtId="209" fontId="24" fillId="96" borderId="0" applyBorder="0"/>
    <xf numFmtId="0" fontId="24" fillId="94" borderId="0" applyBorder="0"/>
    <xf numFmtId="0" fontId="135" fillId="101" borderId="0" applyBorder="0"/>
    <xf numFmtId="0" fontId="28" fillId="99" borderId="0" applyNumberFormat="0" applyBorder="0" applyAlignment="0"/>
    <xf numFmtId="0" fontId="28" fillId="37" borderId="0" applyNumberFormat="0" applyBorder="0" applyAlignment="0"/>
    <xf numFmtId="0" fontId="28" fillId="46" borderId="0" applyNumberFormat="0" applyBorder="0" applyAlignment="0"/>
    <xf numFmtId="0" fontId="28" fillId="102" borderId="0" applyNumberFormat="0" applyBorder="0" applyAlignment="0"/>
    <xf numFmtId="0" fontId="28" fillId="103" borderId="0" applyNumberFormat="0" applyBorder="0" applyAlignment="0"/>
    <xf numFmtId="0" fontId="28" fillId="58" borderId="0" applyNumberFormat="0" applyBorder="0" applyAlignment="0"/>
    <xf numFmtId="0" fontId="28" fillId="104" borderId="0" applyNumberFormat="0" applyBorder="0" applyAlignment="0"/>
    <xf numFmtId="1" fontId="28" fillId="94" borderId="1" applyNumberFormat="0" applyAlignment="0">
      <alignment horizontal="center"/>
    </xf>
    <xf numFmtId="1" fontId="28" fillId="94" borderId="1" applyNumberFormat="0" applyAlignment="0">
      <alignment horizontal="center"/>
    </xf>
    <xf numFmtId="1" fontId="28" fillId="94" borderId="1" applyNumberFormat="0" applyAlignment="0">
      <alignment horizontal="center"/>
    </xf>
    <xf numFmtId="1" fontId="28" fillId="70" borderId="1" applyNumberFormat="0" applyAlignment="0">
      <alignment horizontal="left"/>
    </xf>
    <xf numFmtId="1" fontId="28" fillId="70" borderId="1" applyNumberFormat="0" applyAlignment="0">
      <alignment horizontal="left"/>
    </xf>
    <xf numFmtId="1" fontId="28" fillId="70" borderId="1" applyNumberFormat="0" applyAlignment="0">
      <alignment horizontal="left"/>
    </xf>
    <xf numFmtId="0" fontId="28" fillId="70" borderId="1" applyNumberFormat="0" applyAlignment="0"/>
    <xf numFmtId="0" fontId="28" fillId="70" borderId="1" applyNumberFormat="0" applyAlignment="0"/>
    <xf numFmtId="0" fontId="28" fillId="70" borderId="1" applyNumberFormat="0" applyAlignment="0"/>
    <xf numFmtId="1" fontId="24" fillId="0" borderId="0" applyFont="0" applyFill="0" applyBorder="0">
      <alignment horizontal="center"/>
    </xf>
    <xf numFmtId="0" fontId="136" fillId="0" borderId="0" applyFill="0" applyBorder="0" applyAlignment="0" applyProtection="0"/>
    <xf numFmtId="49" fontId="24" fillId="54" borderId="21">
      <alignment horizontal="center"/>
    </xf>
    <xf numFmtId="0" fontId="137" fillId="0" borderId="0"/>
    <xf numFmtId="9" fontId="26" fillId="0" borderId="0" applyFont="0" applyFill="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29" borderId="0" applyNumberFormat="0" applyBorder="0" applyAlignment="0" applyProtection="0"/>
    <xf numFmtId="0" fontId="15" fillId="40" borderId="0" applyNumberFormat="0" applyBorder="0" applyAlignment="0" applyProtection="0"/>
    <xf numFmtId="43" fontId="15" fillId="0" borderId="0" applyFont="0" applyFill="0" applyBorder="0" applyAlignment="0" applyProtection="0"/>
    <xf numFmtId="9" fontId="15" fillId="0" borderId="0" applyFont="0" applyFill="0" applyBorder="0" applyAlignment="0" applyProtection="0"/>
    <xf numFmtId="0" fontId="30" fillId="0" borderId="0"/>
    <xf numFmtId="0" fontId="15" fillId="14" borderId="0" applyNumberFormat="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0" fontId="72" fillId="75" borderId="1" applyNumberFormat="0" applyBorder="0" applyAlignment="0" applyProtection="0"/>
    <xf numFmtId="10" fontId="72" fillId="75" borderId="1" applyNumberFormat="0" applyBorder="0" applyAlignment="0" applyProtection="0"/>
    <xf numFmtId="10" fontId="72" fillId="75" borderId="1" applyNumberFormat="0" applyBorder="0" applyAlignment="0" applyProtection="0"/>
    <xf numFmtId="10" fontId="72" fillId="75" borderId="1"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4" fontId="100" fillId="79" borderId="1" applyNumberFormat="0" applyProtection="0">
      <alignment horizontal="right" vertical="center" wrapText="1"/>
    </xf>
    <xf numFmtId="4" fontId="100" fillId="79" borderId="1" applyNumberFormat="0" applyProtection="0">
      <alignment horizontal="left" vertical="center" indent="1"/>
    </xf>
    <xf numFmtId="4" fontId="105" fillId="82" borderId="1" applyNumberFormat="0" applyProtection="0">
      <alignment horizontal="left" vertical="center"/>
    </xf>
    <xf numFmtId="4" fontId="105" fillId="82" borderId="1" applyNumberFormat="0" applyProtection="0">
      <alignment horizontal="left" vertical="center"/>
    </xf>
    <xf numFmtId="4" fontId="104" fillId="0" borderId="1" applyNumberFormat="0" applyProtection="0">
      <alignment horizontal="left" vertical="center" indent="1"/>
    </xf>
    <xf numFmtId="4" fontId="60" fillId="0" borderId="1" applyNumberFormat="0" applyProtection="0">
      <alignment horizontal="left" vertical="center" indent="1"/>
    </xf>
    <xf numFmtId="0" fontId="105" fillId="85" borderId="1" applyNumberFormat="0" applyProtection="0">
      <alignment horizontal="left" vertical="center" indent="2"/>
    </xf>
    <xf numFmtId="0" fontId="105" fillId="85" borderId="1" applyNumberFormat="0" applyProtection="0">
      <alignment horizontal="left" vertical="center" indent="2"/>
    </xf>
    <xf numFmtId="0" fontId="92" fillId="0" borderId="1" applyNumberFormat="0" applyProtection="0">
      <alignment horizontal="left" vertical="center" indent="2"/>
    </xf>
    <xf numFmtId="0" fontId="92" fillId="0" borderId="1" applyNumberFormat="0" applyProtection="0">
      <alignment horizontal="left" vertical="center" indent="2"/>
    </xf>
    <xf numFmtId="0" fontId="92" fillId="0" borderId="1" applyNumberFormat="0" applyProtection="0">
      <alignment horizontal="left" vertical="center" indent="2"/>
    </xf>
    <xf numFmtId="0" fontId="24" fillId="88" borderId="1" applyNumberFormat="0">
      <protection locked="0"/>
    </xf>
    <xf numFmtId="0" fontId="24" fillId="88" borderId="1" applyNumberFormat="0">
      <protection locked="0"/>
    </xf>
    <xf numFmtId="0" fontId="24" fillId="88" borderId="1" applyNumberFormat="0">
      <protection locked="0"/>
    </xf>
    <xf numFmtId="4" fontId="113" fillId="0" borderId="1" applyNumberFormat="0" applyProtection="0">
      <alignment horizontal="right" vertical="center" wrapText="1"/>
    </xf>
    <xf numFmtId="4" fontId="113" fillId="0" borderId="1" applyNumberFormat="0" applyProtection="0">
      <alignment horizontal="left" vertical="center" indent="1"/>
    </xf>
    <xf numFmtId="4" fontId="113" fillId="0" borderId="1" applyNumberFormat="0" applyProtection="0">
      <alignment horizontal="left" vertical="center" indent="1"/>
    </xf>
    <xf numFmtId="0" fontId="105" fillId="92" borderId="1" applyNumberFormat="0" applyProtection="0">
      <alignment horizontal="center" vertical="top" wrapText="1"/>
    </xf>
    <xf numFmtId="0" fontId="105" fillId="92" borderId="1" applyNumberFormat="0" applyProtection="0">
      <alignment horizontal="center" vertical="top" wrapText="1"/>
    </xf>
    <xf numFmtId="44" fontId="15" fillId="0" borderId="0" applyFont="0" applyFill="0" applyBorder="0" applyAlignment="0" applyProtection="0"/>
    <xf numFmtId="43" fontId="15" fillId="0" borderId="0" applyFont="0" applyFill="0" applyBorder="0" applyAlignment="0" applyProtection="0"/>
    <xf numFmtId="44"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1" fontId="28" fillId="94" borderId="1" applyNumberFormat="0" applyAlignment="0">
      <alignment horizontal="center"/>
    </xf>
    <xf numFmtId="1" fontId="28" fillId="94" borderId="1" applyNumberFormat="0" applyAlignment="0">
      <alignment horizontal="center"/>
    </xf>
    <xf numFmtId="1" fontId="28" fillId="70" borderId="1" applyNumberFormat="0" applyAlignment="0">
      <alignment horizontal="left"/>
    </xf>
    <xf numFmtId="1" fontId="28" fillId="70" borderId="1" applyNumberFormat="0" applyAlignment="0">
      <alignment horizontal="left"/>
    </xf>
    <xf numFmtId="0" fontId="28" fillId="70" borderId="1" applyNumberFormat="0" applyAlignment="0"/>
    <xf numFmtId="0" fontId="28" fillId="70" borderId="1" applyNumberFormat="0" applyAlignment="0"/>
    <xf numFmtId="44" fontId="15" fillId="0" borderId="0" applyFont="0" applyFill="0" applyBorder="0" applyAlignment="0" applyProtection="0"/>
    <xf numFmtId="43" fontId="15" fillId="0" borderId="0" applyFont="0" applyFill="0" applyBorder="0" applyAlignment="0" applyProtection="0"/>
    <xf numFmtId="0" fontId="15" fillId="0" borderId="0"/>
    <xf numFmtId="0" fontId="15" fillId="40" borderId="0" applyNumberFormat="0" applyBorder="0" applyAlignment="0" applyProtection="0"/>
    <xf numFmtId="43" fontId="15" fillId="0" borderId="0" applyFont="0" applyFill="0" applyBorder="0" applyAlignment="0" applyProtection="0"/>
    <xf numFmtId="9" fontId="15" fillId="0" borderId="0" applyFont="0" applyFill="0" applyBorder="0" applyAlignment="0" applyProtection="0"/>
    <xf numFmtId="0" fontId="15" fillId="33" borderId="0" applyNumberFormat="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33" borderId="0" applyNumberFormat="0" applyBorder="0" applyAlignment="0" applyProtection="0"/>
    <xf numFmtId="0" fontId="15" fillId="43" borderId="0" applyNumberFormat="0" applyBorder="0" applyAlignment="0" applyProtection="0"/>
    <xf numFmtId="0" fontId="15" fillId="0" borderId="0"/>
    <xf numFmtId="44" fontId="15" fillId="0" borderId="0" applyFont="0" applyFill="0" applyBorder="0" applyAlignment="0" applyProtection="0"/>
    <xf numFmtId="43" fontId="15" fillId="0" borderId="0" applyFont="0" applyFill="0" applyBorder="0" applyAlignment="0" applyProtection="0"/>
    <xf numFmtId="44"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44" fontId="15" fillId="0" borderId="0" applyFont="0" applyFill="0" applyBorder="0" applyAlignment="0" applyProtection="0"/>
    <xf numFmtId="43" fontId="15" fillId="0" borderId="0" applyFont="0" applyFill="0" applyBorder="0" applyAlignment="0" applyProtection="0"/>
    <xf numFmtId="0" fontId="15" fillId="0" borderId="0"/>
    <xf numFmtId="44" fontId="15" fillId="0" borderId="0" applyFont="0" applyFill="0" applyBorder="0" applyAlignment="0" applyProtection="0"/>
    <xf numFmtId="43" fontId="15" fillId="0" borderId="0" applyFont="0" applyFill="0" applyBorder="0" applyAlignment="0" applyProtection="0"/>
    <xf numFmtId="0" fontId="15" fillId="0" borderId="0"/>
    <xf numFmtId="44" fontId="15" fillId="0" borderId="0" applyFont="0" applyFill="0" applyBorder="0" applyAlignment="0" applyProtection="0"/>
    <xf numFmtId="43" fontId="15" fillId="0" borderId="0" applyFont="0" applyFill="0" applyBorder="0" applyAlignment="0" applyProtection="0"/>
    <xf numFmtId="0" fontId="15" fillId="0" borderId="0"/>
    <xf numFmtId="44" fontId="15" fillId="0" borderId="0" applyFont="0" applyFill="0" applyBorder="0" applyAlignment="0" applyProtection="0"/>
    <xf numFmtId="43" fontId="15" fillId="0" borderId="0" applyFont="0" applyFill="0" applyBorder="0" applyAlignment="0" applyProtection="0"/>
    <xf numFmtId="0" fontId="15" fillId="0" borderId="0"/>
    <xf numFmtId="44" fontId="15" fillId="0" borderId="0" applyFont="0" applyFill="0" applyBorder="0" applyAlignment="0" applyProtection="0"/>
    <xf numFmtId="43" fontId="15" fillId="0" borderId="0" applyFont="0" applyFill="0" applyBorder="0" applyAlignment="0" applyProtection="0"/>
    <xf numFmtId="0" fontId="15" fillId="0" borderId="0"/>
    <xf numFmtId="44"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44" fontId="15" fillId="0" borderId="0" applyFont="0" applyFill="0" applyBorder="0" applyAlignment="0" applyProtection="0"/>
    <xf numFmtId="43" fontId="15" fillId="0" borderId="0" applyFont="0" applyFill="0" applyBorder="0" applyAlignment="0" applyProtection="0"/>
    <xf numFmtId="44" fontId="15" fillId="0" borderId="0" applyFont="0" applyFill="0" applyBorder="0" applyAlignment="0" applyProtection="0"/>
    <xf numFmtId="43" fontId="15" fillId="0" borderId="0" applyFont="0" applyFill="0" applyBorder="0" applyAlignment="0" applyProtection="0"/>
    <xf numFmtId="0" fontId="15" fillId="0" borderId="0"/>
    <xf numFmtId="44" fontId="15" fillId="0" borderId="0" applyFont="0" applyFill="0" applyBorder="0" applyAlignment="0" applyProtection="0"/>
    <xf numFmtId="43" fontId="15" fillId="0" borderId="0" applyFont="0" applyFill="0" applyBorder="0" applyAlignment="0" applyProtection="0"/>
    <xf numFmtId="0" fontId="15" fillId="0" borderId="0"/>
    <xf numFmtId="44" fontId="15" fillId="0" borderId="0" applyFont="0" applyFill="0" applyBorder="0" applyAlignment="0" applyProtection="0"/>
    <xf numFmtId="43" fontId="15" fillId="0" borderId="0" applyFont="0" applyFill="0" applyBorder="0" applyAlignment="0" applyProtection="0"/>
    <xf numFmtId="0" fontId="15" fillId="0" borderId="0"/>
    <xf numFmtId="44" fontId="15" fillId="0" borderId="0" applyFont="0" applyFill="0" applyBorder="0" applyAlignment="0" applyProtection="0"/>
    <xf numFmtId="43" fontId="15" fillId="0" borderId="0" applyFont="0" applyFill="0" applyBorder="0" applyAlignment="0" applyProtection="0"/>
    <xf numFmtId="0" fontId="15" fillId="0" borderId="0"/>
    <xf numFmtId="44" fontId="15" fillId="0" borderId="0" applyFont="0" applyFill="0" applyBorder="0" applyAlignment="0" applyProtection="0"/>
    <xf numFmtId="43" fontId="15" fillId="0" borderId="0" applyFont="0" applyFill="0" applyBorder="0" applyAlignment="0" applyProtection="0"/>
    <xf numFmtId="0" fontId="15" fillId="0" borderId="0"/>
    <xf numFmtId="44"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4" fontId="15" fillId="0" borderId="0" applyFont="0" applyFill="0" applyBorder="0" applyAlignment="0" applyProtection="0"/>
    <xf numFmtId="43" fontId="15" fillId="0" borderId="0" applyFont="0" applyFill="0" applyBorder="0" applyAlignment="0" applyProtection="0"/>
    <xf numFmtId="0" fontId="15" fillId="0" borderId="0"/>
    <xf numFmtId="0" fontId="15" fillId="4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54" fillId="37"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54" fillId="37"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54" fillId="37"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54" fillId="37"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54" fillId="37"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54" fillId="37"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54" fillId="37"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54" fillId="37"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54" fillId="44" borderId="0" applyNumberFormat="0" applyBorder="0" applyAlignment="0" applyProtection="0"/>
    <xf numFmtId="0" fontId="60" fillId="37"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54" fillId="44"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54" fillId="36" borderId="0" applyNumberFormat="0" applyBorder="0" applyAlignment="0" applyProtection="0"/>
    <xf numFmtId="0" fontId="15" fillId="29" borderId="0" applyNumberFormat="0" applyBorder="0" applyAlignment="0" applyProtection="0"/>
    <xf numFmtId="0" fontId="54" fillId="36"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54" fillId="36"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54" fillId="36"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54" fillId="36"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54" fillId="36"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54" fillId="36"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54" fillId="36"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54" fillId="43" borderId="0" applyNumberFormat="0" applyBorder="0" applyAlignment="0" applyProtection="0"/>
    <xf numFmtId="0" fontId="60" fillId="4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54" fillId="43"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54" fillId="42"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54" fillId="42"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54" fillId="42"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54" fillId="42"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54" fillId="42"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54" fillId="42"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54" fillId="42"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54" fillId="42"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54" fillId="41" borderId="0" applyNumberFormat="0" applyBorder="0" applyAlignment="0" applyProtection="0"/>
    <xf numFmtId="0" fontId="60" fillId="88"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54" fillId="4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2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54" fillId="40"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54"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54"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54"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54"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54"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54"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54"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54" fillId="39" borderId="0" applyNumberFormat="0" applyBorder="0" applyAlignment="0" applyProtection="0"/>
    <xf numFmtId="0" fontId="60" fillId="40"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54" fillId="39"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54" fillId="38"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54"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54"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54"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54"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54"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54"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54"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54" fillId="37" borderId="0" applyNumberFormat="0" applyBorder="0" applyAlignment="0" applyProtection="0"/>
    <xf numFmtId="0" fontId="60" fillId="38"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54" fillId="3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17"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54" fillId="36"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54" fillId="36"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54" fillId="36"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54" fillId="36"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54" fillId="36"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54" fillId="36"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54" fillId="36"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54" fillId="36"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54" fillId="36"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24" fillId="0" borderId="0"/>
    <xf numFmtId="0" fontId="15" fillId="0" borderId="0"/>
    <xf numFmtId="0" fontId="15" fillId="0" borderId="0"/>
    <xf numFmtId="0" fontId="2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44" fontId="2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3" fontId="64" fillId="0" borderId="0" applyFont="0" applyFill="0" applyBorder="0" applyAlignment="0" applyProtection="0"/>
    <xf numFmtId="43" fontId="15"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24" fillId="94" borderId="0" applyBorder="0"/>
    <xf numFmtId="209" fontId="24" fillId="96" borderId="0" applyBorder="0"/>
    <xf numFmtId="0" fontId="24" fillId="100" borderId="0" applyBorder="0"/>
    <xf numFmtId="209" fontId="24" fillId="93" borderId="0" applyBorder="0"/>
    <xf numFmtId="0" fontId="24" fillId="93" borderId="0" applyBorder="0">
      <alignment wrapText="1"/>
    </xf>
    <xf numFmtId="0" fontId="24" fillId="83" borderId="0" applyBorder="0"/>
    <xf numFmtId="0" fontId="24" fillId="93" borderId="0" applyBorder="0"/>
    <xf numFmtId="0" fontId="24" fillId="0" borderId="0" applyBorder="0"/>
    <xf numFmtId="0" fontId="24" fillId="78" borderId="0" applyBorder="0"/>
    <xf numFmtId="0" fontId="24" fillId="0" borderId="47" applyNumberFormat="0" applyAlignment="0"/>
    <xf numFmtId="0" fontId="24" fillId="0" borderId="2" applyNumberFormat="0" applyAlignment="0"/>
    <xf numFmtId="37" fontId="72" fillId="0" borderId="0"/>
    <xf numFmtId="0" fontId="24" fillId="0" borderId="42" applyNumberFormat="0" applyFill="0" applyBorder="0" applyAlignment="0" applyProtection="0"/>
    <xf numFmtId="0" fontId="24" fillId="0" borderId="42" applyNumberFormat="0" applyFill="0" applyBorder="0" applyAlignment="0" applyProtection="0"/>
    <xf numFmtId="49" fontId="24" fillId="0" borderId="47"/>
    <xf numFmtId="0" fontId="29" fillId="0" borderId="73" applyNumberFormat="0" applyAlignment="0" applyProtection="0">
      <alignment horizontal="left" vertical="center"/>
    </xf>
    <xf numFmtId="0" fontId="29" fillId="0" borderId="74">
      <alignment horizontal="left" vertical="center"/>
    </xf>
    <xf numFmtId="9" fontId="24" fillId="0" borderId="0" applyFont="0" applyFill="0" applyBorder="0" applyAlignment="0" applyProtection="0"/>
    <xf numFmtId="9" fontId="64" fillId="0" borderId="0" applyFont="0" applyFill="0" applyBorder="0" applyAlignment="0" applyProtection="0"/>
    <xf numFmtId="9" fontId="24" fillId="0" borderId="0" applyFont="0" applyFill="0" applyBorder="0" applyAlignment="0" applyProtection="0"/>
    <xf numFmtId="0" fontId="83" fillId="0" borderId="75" applyNumberFormat="0" applyFill="0" applyAlignment="0" applyProtection="0"/>
    <xf numFmtId="10" fontId="72" fillId="75" borderId="72" applyNumberFormat="0" applyBorder="0" applyAlignment="0" applyProtection="0"/>
    <xf numFmtId="9" fontId="6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24" fillId="0" borderId="0" applyFont="0" applyFill="0" applyBorder="0" applyAlignment="0" applyProtection="0"/>
    <xf numFmtId="9" fontId="64" fillId="0" borderId="0" applyFont="0" applyFill="0" applyBorder="0" applyAlignment="0" applyProtection="0"/>
    <xf numFmtId="9" fontId="24" fillId="0" borderId="0" applyFont="0" applyFill="0" applyBorder="0" applyAlignment="0" applyProtection="0"/>
    <xf numFmtId="9" fontId="64" fillId="0" borderId="0" applyFont="0" applyFill="0" applyBorder="0" applyAlignment="0" applyProtection="0"/>
    <xf numFmtId="9" fontId="24" fillId="0" borderId="0" applyFont="0" applyFill="0" applyBorder="0" applyAlignment="0" applyProtection="0"/>
    <xf numFmtId="9" fontId="64" fillId="0" borderId="0" applyFont="0" applyFill="0" applyBorder="0" applyAlignment="0" applyProtection="0"/>
    <xf numFmtId="0" fontId="24" fillId="0" borderId="0"/>
    <xf numFmtId="0" fontId="64" fillId="0" borderId="0"/>
    <xf numFmtId="0" fontId="24" fillId="0" borderId="0"/>
    <xf numFmtId="0" fontId="64" fillId="0" borderId="0"/>
    <xf numFmtId="0" fontId="15" fillId="0" borderId="0"/>
    <xf numFmtId="0" fontId="64" fillId="0" borderId="0"/>
    <xf numFmtId="0" fontId="64" fillId="0" borderId="0"/>
    <xf numFmtId="0" fontId="64" fillId="0" borderId="0"/>
    <xf numFmtId="0" fontId="15" fillId="0" borderId="0"/>
    <xf numFmtId="0" fontId="64" fillId="0" borderId="0"/>
    <xf numFmtId="0" fontId="24" fillId="0" borderId="0"/>
    <xf numFmtId="0" fontId="64" fillId="0" borderId="0"/>
    <xf numFmtId="0" fontId="2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24" fillId="0" borderId="0"/>
    <xf numFmtId="0" fontId="64" fillId="0" borderId="0"/>
    <xf numFmtId="0" fontId="26" fillId="0" borderId="0"/>
    <xf numFmtId="0" fontId="15" fillId="0" borderId="0"/>
    <xf numFmtId="0" fontId="26" fillId="0" borderId="0"/>
    <xf numFmtId="0" fontId="2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24" fillId="0" borderId="0"/>
    <xf numFmtId="0" fontId="64" fillId="0" borderId="0"/>
    <xf numFmtId="0" fontId="24" fillId="0" borderId="0"/>
    <xf numFmtId="0" fontId="64" fillId="0" borderId="0"/>
    <xf numFmtId="0" fontId="24" fillId="0" borderId="0"/>
    <xf numFmtId="0" fontId="64" fillId="0" borderId="0"/>
    <xf numFmtId="0" fontId="24" fillId="0" borderId="0"/>
    <xf numFmtId="0" fontId="64" fillId="0" borderId="0"/>
    <xf numFmtId="0" fontId="24" fillId="0" borderId="0"/>
    <xf numFmtId="0" fontId="64" fillId="0" borderId="0"/>
    <xf numFmtId="0" fontId="24" fillId="0" borderId="0"/>
    <xf numFmtId="0" fontId="64" fillId="0" borderId="0"/>
    <xf numFmtId="0" fontId="64" fillId="0" borderId="0"/>
    <xf numFmtId="0" fontId="64" fillId="0" borderId="0"/>
    <xf numFmtId="0" fontId="24" fillId="0" borderId="0"/>
    <xf numFmtId="0" fontId="24" fillId="0" borderId="0"/>
    <xf numFmtId="0" fontId="64" fillId="0" borderId="0"/>
    <xf numFmtId="0" fontId="64" fillId="0" borderId="0"/>
    <xf numFmtId="0" fontId="24" fillId="0" borderId="0"/>
    <xf numFmtId="0" fontId="64" fillId="0" borderId="0"/>
    <xf numFmtId="0" fontId="24" fillId="0" borderId="0"/>
    <xf numFmtId="0" fontId="64" fillId="0" borderId="0"/>
    <xf numFmtId="0" fontId="64" fillId="0" borderId="0"/>
    <xf numFmtId="205" fontId="90" fillId="0" borderId="0"/>
    <xf numFmtId="37" fontId="89" fillId="0" borderId="0"/>
    <xf numFmtId="0" fontId="24" fillId="0" borderId="47"/>
    <xf numFmtId="199" fontId="24" fillId="0" borderId="0" applyFont="0" applyFill="0" applyBorder="0" applyAlignment="0" applyProtection="0">
      <alignment horizontal="center"/>
    </xf>
    <xf numFmtId="0" fontId="29" fillId="0" borderId="0" applyNumberFormat="0" applyFont="0" applyFill="0" applyBorder="0" applyProtection="0"/>
    <xf numFmtId="0" fontId="29" fillId="0" borderId="0" applyNumberFormat="0" applyFont="0" applyFill="0" applyBorder="0" applyProtection="0"/>
    <xf numFmtId="0" fontId="76" fillId="0" borderId="0" applyNumberFormat="0" applyFont="0" applyFill="0" applyBorder="0" applyProtection="0"/>
    <xf numFmtId="0" fontId="76" fillId="0" borderId="0" applyNumberFormat="0" applyFont="0" applyFill="0" applyBorder="0" applyProtection="0"/>
    <xf numFmtId="193" fontId="24" fillId="0" borderId="0" applyFont="0" applyFill="0" applyBorder="0" applyAlignment="0" applyProtection="0">
      <alignment horizontal="center"/>
    </xf>
    <xf numFmtId="172" fontId="66" fillId="0" borderId="0" applyFont="0" applyFill="0" applyBorder="0" applyAlignment="0" applyProtection="0"/>
    <xf numFmtId="2" fontId="24" fillId="0" borderId="0" applyFont="0" applyFill="0" applyBorder="0" applyAlignment="0" applyProtection="0"/>
    <xf numFmtId="0" fontId="70" fillId="0" borderId="0" applyNumberFormat="0" applyAlignment="0">
      <alignment horizontal="left"/>
    </xf>
    <xf numFmtId="185" fontId="24" fillId="72" borderId="0">
      <alignment horizontal="center"/>
    </xf>
    <xf numFmtId="44" fontId="6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44"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44" fontId="26"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183" fontId="24" fillId="0" borderId="0" applyFont="0" applyFill="0" applyBorder="0" applyAlignment="0" applyProtection="0"/>
    <xf numFmtId="44" fontId="6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81" fontId="24" fillId="0" borderId="0" applyFont="0" applyFill="0" applyBorder="0" applyAlignment="0" applyProtection="0"/>
    <xf numFmtId="0" fontId="65" fillId="0" borderId="0" applyNumberFormat="0" applyAlignment="0">
      <alignment horizontal="left"/>
    </xf>
    <xf numFmtId="180" fontId="2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43" fontId="15"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179" fontId="24" fillId="0" borderId="0"/>
    <xf numFmtId="179" fontId="24" fillId="0" borderId="0"/>
    <xf numFmtId="179" fontId="24" fillId="0" borderId="0"/>
    <xf numFmtId="179" fontId="24" fillId="0" borderId="0"/>
    <xf numFmtId="179" fontId="24" fillId="0" borderId="0"/>
    <xf numFmtId="179" fontId="24" fillId="0" borderId="0"/>
    <xf numFmtId="179" fontId="24" fillId="0" borderId="0"/>
    <xf numFmtId="49" fontId="24" fillId="0" borderId="47"/>
    <xf numFmtId="49" fontId="24" fillId="0" borderId="47"/>
    <xf numFmtId="175" fontId="56" fillId="70" borderId="20">
      <alignment horizontal="center" vertical="center"/>
    </xf>
    <xf numFmtId="0" fontId="24" fillId="0" borderId="0" applyNumberFormat="0" applyFill="0" applyBorder="0" applyAlignment="0" applyProtection="0"/>
    <xf numFmtId="183" fontId="24" fillId="0" borderId="0" applyFont="0" applyFill="0" applyBorder="0" applyAlignment="0" applyProtection="0"/>
    <xf numFmtId="0" fontId="15" fillId="0" borderId="0"/>
    <xf numFmtId="0" fontId="24" fillId="0" borderId="47">
      <alignment horizontal="center"/>
    </xf>
    <xf numFmtId="0" fontId="139" fillId="0" borderId="0"/>
    <xf numFmtId="180" fontId="24" fillId="0" borderId="0" applyFont="0" applyFill="0" applyBorder="0" applyAlignment="0" applyProtection="0"/>
    <xf numFmtId="0" fontId="24" fillId="0" borderId="47" applyNumberFormat="0" applyAlignment="0"/>
    <xf numFmtId="49" fontId="24" fillId="0" borderId="47"/>
    <xf numFmtId="9" fontId="24" fillId="0" borderId="0" applyFont="0" applyFill="0" applyBorder="0" applyAlignment="0" applyProtection="0"/>
    <xf numFmtId="9" fontId="24" fillId="0" borderId="0" applyFont="0" applyFill="0" applyBorder="0" applyAlignment="0" applyProtection="0"/>
    <xf numFmtId="0" fontId="24" fillId="0" borderId="47"/>
    <xf numFmtId="186" fontId="140" fillId="0" borderId="0">
      <alignment horizontal="right"/>
      <protection locked="0"/>
    </xf>
    <xf numFmtId="180" fontId="24" fillId="0" borderId="0" applyFont="0" applyFill="0" applyBorder="0" applyAlignment="0" applyProtection="0"/>
    <xf numFmtId="49" fontId="24" fillId="0" borderId="47"/>
    <xf numFmtId="0" fontId="139" fillId="0" borderId="0"/>
    <xf numFmtId="0" fontId="15" fillId="40" borderId="0" applyNumberFormat="0" applyBorder="0" applyAlignment="0" applyProtection="0"/>
    <xf numFmtId="0" fontId="15" fillId="33" borderId="0" applyNumberFormat="0" applyBorder="0" applyAlignment="0" applyProtection="0"/>
    <xf numFmtId="0" fontId="24" fillId="0" borderId="0"/>
    <xf numFmtId="0" fontId="15" fillId="40" borderId="0" applyNumberFormat="0" applyBorder="0" applyAlignment="0" applyProtection="0"/>
    <xf numFmtId="0" fontId="15" fillId="40" borderId="0" applyNumberFormat="0" applyBorder="0" applyAlignment="0" applyProtection="0"/>
    <xf numFmtId="0" fontId="15" fillId="29"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24" fillId="0" borderId="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64" fillId="0" borderId="0"/>
    <xf numFmtId="14" fontId="24" fillId="0" borderId="0" applyFont="0" applyFill="0" applyBorder="0" applyAlignment="0" applyProtection="0"/>
    <xf numFmtId="44" fontId="2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182" fontId="66"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179" fontId="24" fillId="0" borderId="0"/>
    <xf numFmtId="180" fontId="24" fillId="0" borderId="0" applyFont="0" applyFill="0" applyBorder="0" applyAlignment="0" applyProtection="0"/>
    <xf numFmtId="0" fontId="24" fillId="0" borderId="0" applyNumberFormat="0" applyFill="0" applyBorder="0" applyAlignment="0" applyProtection="0"/>
    <xf numFmtId="44" fontId="15" fillId="0" borderId="0" applyFont="0" applyFill="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5" borderId="0" applyNumberFormat="0" applyBorder="0" applyAlignment="0" applyProtection="0"/>
    <xf numFmtId="0" fontId="15" fillId="13" borderId="0" applyNumberFormat="0" applyBorder="0" applyAlignment="0" applyProtection="0"/>
    <xf numFmtId="49" fontId="24" fillId="0" borderId="47"/>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64" fillId="0" borderId="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40" borderId="0" applyNumberFormat="0" applyBorder="0" applyAlignment="0" applyProtection="0"/>
    <xf numFmtId="0" fontId="15" fillId="21" borderId="0" applyNumberFormat="0" applyBorder="0" applyAlignment="0" applyProtection="0"/>
    <xf numFmtId="0" fontId="15" fillId="13"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5"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5"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5"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1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5"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13" borderId="0" applyNumberFormat="0" applyBorder="0" applyAlignment="0" applyProtection="0"/>
    <xf numFmtId="0" fontId="15" fillId="45" borderId="0" applyNumberFormat="0" applyBorder="0" applyAlignment="0" applyProtection="0"/>
    <xf numFmtId="0" fontId="24" fillId="0" borderId="0"/>
    <xf numFmtId="0" fontId="24" fillId="0" borderId="0"/>
    <xf numFmtId="0" fontId="15" fillId="40"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60" fillId="105"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54" fillId="36"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5"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5" borderId="0" applyNumberFormat="0" applyBorder="0" applyAlignment="0" applyProtection="0"/>
    <xf numFmtId="0" fontId="15" fillId="33" borderId="0" applyNumberFormat="0" applyBorder="0" applyAlignment="0" applyProtection="0"/>
    <xf numFmtId="0" fontId="15" fillId="40"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0" borderId="0" applyNumberFormat="0" applyBorder="0" applyAlignment="0" applyProtection="0"/>
    <xf numFmtId="0" fontId="15" fillId="33" borderId="0" applyNumberFormat="0" applyBorder="0" applyAlignment="0" applyProtection="0"/>
    <xf numFmtId="0" fontId="15" fillId="45" borderId="0" applyNumberFormat="0" applyBorder="0" applyAlignment="0" applyProtection="0"/>
    <xf numFmtId="0" fontId="15" fillId="4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54" fillId="45"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60" fillId="66" borderId="0" applyNumberFormat="0" applyBorder="0" applyAlignment="0" applyProtection="0"/>
    <xf numFmtId="0" fontId="54" fillId="45"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54" fillId="46"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54" fillId="46"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54" fillId="46"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54" fillId="46"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54" fillId="46"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54" fillId="46"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54" fillId="46"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54" fillId="46"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43" borderId="0" applyNumberFormat="0" applyBorder="0" applyAlignment="0" applyProtection="0"/>
    <xf numFmtId="0" fontId="15" fillId="14"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54" fillId="3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60" fillId="38" borderId="0" applyNumberFormat="0" applyBorder="0" applyAlignment="0" applyProtection="0"/>
    <xf numFmtId="0" fontId="54" fillId="3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54" fillId="3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54" fillId="3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54" fillId="3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54" fillId="3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54" fillId="3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54" fillId="3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54" fillId="38" borderId="0" applyNumberFormat="0" applyBorder="0" applyAlignment="0" applyProtection="0"/>
    <xf numFmtId="0" fontId="15" fillId="18" borderId="0" applyNumberFormat="0" applyBorder="0" applyAlignment="0" applyProtection="0"/>
    <xf numFmtId="0" fontId="54" fillId="3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54" fillId="47"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60" fillId="48" borderId="0" applyNumberFormat="0" applyBorder="0" applyAlignment="0" applyProtection="0"/>
    <xf numFmtId="0" fontId="54" fillId="4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54" fillId="48"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54" fillId="48"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54" fillId="48"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54" fillId="48"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54" fillId="48"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54" fillId="48"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54" fillId="48"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54" fillId="48"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77" borderId="0" applyNumberFormat="0" applyBorder="0" applyAlignment="0" applyProtection="0"/>
    <xf numFmtId="0" fontId="15" fillId="22"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54" fillId="41"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60" fillId="49" borderId="0" applyNumberFormat="0" applyBorder="0" applyAlignment="0" applyProtection="0"/>
    <xf numFmtId="0" fontId="54" fillId="41"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54" fillId="49"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54" fillId="49"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54" fillId="49"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54" fillId="49"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54" fillId="49"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54" fillId="49"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54" fillId="4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54" fillId="49"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37" borderId="0" applyNumberFormat="0" applyBorder="0" applyAlignment="0" applyProtection="0"/>
    <xf numFmtId="0" fontId="15" fillId="26"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54" fillId="45"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60" fillId="66" borderId="0" applyNumberFormat="0" applyBorder="0" applyAlignment="0" applyProtection="0"/>
    <xf numFmtId="0" fontId="54" fillId="45"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54" fillId="46"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54" fillId="46"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54" fillId="46"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54" fillId="46"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54" fillId="46"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54" fillId="46"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54" fillId="46"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54" fillId="46"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3" borderId="0" applyNumberFormat="0" applyBorder="0" applyAlignment="0" applyProtection="0"/>
    <xf numFmtId="0" fontId="15" fillId="3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54" fillId="50"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60" fillId="44" borderId="0" applyNumberFormat="0" applyBorder="0" applyAlignment="0" applyProtection="0"/>
    <xf numFmtId="0" fontId="54" fillId="5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54" fillId="4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54" fillId="44"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54" fillId="4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54" fillId="44"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54" fillId="4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54" fillId="44"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54" fillId="4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54" fillId="44"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15" fillId="40" borderId="0" applyNumberFormat="0" applyBorder="0" applyAlignment="0" applyProtection="0"/>
    <xf numFmtId="0" fontId="15" fillId="34" borderId="0" applyNumberFormat="0" applyBorder="0" applyAlignment="0" applyProtection="0"/>
    <xf numFmtId="0" fontId="55" fillId="51" borderId="0" applyNumberFormat="0" applyBorder="0" applyAlignment="0" applyProtection="0"/>
    <xf numFmtId="0" fontId="135" fillId="66" borderId="0" applyNumberFormat="0" applyBorder="0" applyAlignment="0" applyProtection="0"/>
    <xf numFmtId="0" fontId="55" fillId="46" borderId="0" applyNumberFormat="0" applyBorder="0" applyAlignment="0" applyProtection="0"/>
    <xf numFmtId="0" fontId="46" fillId="15" borderId="0" applyNumberFormat="0" applyBorder="0" applyAlignment="0" applyProtection="0"/>
    <xf numFmtId="0" fontId="46" fillId="43" borderId="0" applyNumberFormat="0" applyBorder="0" applyAlignment="0" applyProtection="0"/>
    <xf numFmtId="0" fontId="46" fillId="15" borderId="0" applyNumberFormat="0" applyBorder="0" applyAlignment="0" applyProtection="0"/>
    <xf numFmtId="0" fontId="55" fillId="38" borderId="0" applyNumberFormat="0" applyBorder="0" applyAlignment="0" applyProtection="0"/>
    <xf numFmtId="0" fontId="135" fillId="38" borderId="0" applyNumberFormat="0" applyBorder="0" applyAlignment="0" applyProtection="0"/>
    <xf numFmtId="0" fontId="55" fillId="38" borderId="0" applyNumberFormat="0" applyBorder="0" applyAlignment="0" applyProtection="0"/>
    <xf numFmtId="0" fontId="46" fillId="19" borderId="0" applyNumberFormat="0" applyBorder="0" applyAlignment="0" applyProtection="0"/>
    <xf numFmtId="0" fontId="46" fillId="69" borderId="0" applyNumberFormat="0" applyBorder="0" applyAlignment="0" applyProtection="0"/>
    <xf numFmtId="0" fontId="46" fillId="19" borderId="0" applyNumberFormat="0" applyBorder="0" applyAlignment="0" applyProtection="0"/>
    <xf numFmtId="0" fontId="55" fillId="47" borderId="0" applyNumberFormat="0" applyBorder="0" applyAlignment="0" applyProtection="0"/>
    <xf numFmtId="0" fontId="135" fillId="48" borderId="0" applyNumberFormat="0" applyBorder="0" applyAlignment="0" applyProtection="0"/>
    <xf numFmtId="0" fontId="55" fillId="48" borderId="0" applyNumberFormat="0" applyBorder="0" applyAlignment="0" applyProtection="0"/>
    <xf numFmtId="0" fontId="46" fillId="23" borderId="0" applyNumberFormat="0" applyBorder="0" applyAlignment="0" applyProtection="0"/>
    <xf numFmtId="0" fontId="46" fillId="50" borderId="0" applyNumberFormat="0" applyBorder="0" applyAlignment="0" applyProtection="0"/>
    <xf numFmtId="0" fontId="46" fillId="23" borderId="0" applyNumberFormat="0" applyBorder="0" applyAlignment="0" applyProtection="0"/>
    <xf numFmtId="0" fontId="55" fillId="52" borderId="0" applyNumberFormat="0" applyBorder="0" applyAlignment="0" applyProtection="0"/>
    <xf numFmtId="0" fontId="135" fillId="49" borderId="0" applyNumberFormat="0" applyBorder="0" applyAlignment="0" applyProtection="0"/>
    <xf numFmtId="0" fontId="55" fillId="49" borderId="0" applyNumberFormat="0" applyBorder="0" applyAlignment="0" applyProtection="0"/>
    <xf numFmtId="0" fontId="46" fillId="27" borderId="0" applyNumberFormat="0" applyBorder="0" applyAlignment="0" applyProtection="0"/>
    <xf numFmtId="0" fontId="46" fillId="37" borderId="0" applyNumberFormat="0" applyBorder="0" applyAlignment="0" applyProtection="0"/>
    <xf numFmtId="0" fontId="46" fillId="27" borderId="0" applyNumberFormat="0" applyBorder="0" applyAlignment="0" applyProtection="0"/>
    <xf numFmtId="0" fontId="55" fillId="53" borderId="0" applyNumberFormat="0" applyBorder="0" applyAlignment="0" applyProtection="0"/>
    <xf numFmtId="0" fontId="135" fillId="66" borderId="0" applyNumberFormat="0" applyBorder="0" applyAlignment="0" applyProtection="0"/>
    <xf numFmtId="0" fontId="55" fillId="53" borderId="0" applyNumberFormat="0" applyBorder="0" applyAlignment="0" applyProtection="0"/>
    <xf numFmtId="0" fontId="46" fillId="31" borderId="0" applyNumberFormat="0" applyBorder="0" applyAlignment="0" applyProtection="0"/>
    <xf numFmtId="0" fontId="46" fillId="43" borderId="0" applyNumberFormat="0" applyBorder="0" applyAlignment="0" applyProtection="0"/>
    <xf numFmtId="0" fontId="46" fillId="31" borderId="0" applyNumberFormat="0" applyBorder="0" applyAlignment="0" applyProtection="0"/>
    <xf numFmtId="0" fontId="55" fillId="54" borderId="0" applyNumberFormat="0" applyBorder="0" applyAlignment="0" applyProtection="0"/>
    <xf numFmtId="0" fontId="135" fillId="44" borderId="0" applyNumberFormat="0" applyBorder="0" applyAlignment="0" applyProtection="0"/>
    <xf numFmtId="0" fontId="55" fillId="44" borderId="0" applyNumberFormat="0" applyBorder="0" applyAlignment="0" applyProtection="0"/>
    <xf numFmtId="0" fontId="46" fillId="35" borderId="0" applyNumberFormat="0" applyBorder="0" applyAlignment="0" applyProtection="0"/>
    <xf numFmtId="0" fontId="46" fillId="38" borderId="0" applyNumberFormat="0" applyBorder="0" applyAlignment="0" applyProtection="0"/>
    <xf numFmtId="0" fontId="46" fillId="35" borderId="0" applyNumberFormat="0" applyBorder="0" applyAlignment="0" applyProtection="0"/>
    <xf numFmtId="0" fontId="54" fillId="106" borderId="0" applyNumberFormat="0" applyBorder="0" applyAlignment="0" applyProtection="0"/>
    <xf numFmtId="0" fontId="54" fillId="106"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106" borderId="0" applyNumberFormat="0" applyBorder="0" applyAlignment="0" applyProtection="0"/>
    <xf numFmtId="0" fontId="54" fillId="65" borderId="0" applyNumberFormat="0" applyBorder="0" applyAlignment="0" applyProtection="0"/>
    <xf numFmtId="0" fontId="54" fillId="65"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65" borderId="0" applyNumberFormat="0" applyBorder="0" applyAlignment="0" applyProtection="0"/>
    <xf numFmtId="0" fontId="55" fillId="107" borderId="0" applyNumberFormat="0" applyBorder="0" applyAlignment="0" applyProtection="0"/>
    <xf numFmtId="0" fontId="55" fillId="57" borderId="0" applyNumberFormat="0" applyBorder="0" applyAlignment="0" applyProtection="0"/>
    <xf numFmtId="0" fontId="55" fillId="57" borderId="0" applyNumberFormat="0" applyBorder="0" applyAlignment="0" applyProtection="0"/>
    <xf numFmtId="0" fontId="55" fillId="107"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5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46" fillId="12"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46" fillId="12"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46" fillId="12"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46" fillId="12"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46" fillId="12" borderId="0" applyNumberFormat="0" applyBorder="0" applyAlignment="0" applyProtection="0"/>
    <xf numFmtId="0" fontId="46" fillId="109" borderId="0" applyNumberFormat="0" applyBorder="0" applyAlignment="0" applyProtection="0"/>
    <xf numFmtId="0" fontId="46" fillId="109" borderId="0" applyNumberFormat="0" applyBorder="0" applyAlignment="0" applyProtection="0"/>
    <xf numFmtId="0" fontId="46" fillId="12" borderId="0" applyNumberFormat="0" applyBorder="0" applyAlignment="0" applyProtection="0"/>
    <xf numFmtId="0" fontId="55" fillId="58" borderId="0" applyNumberFormat="0" applyBorder="0" applyAlignment="0" applyProtection="0"/>
    <xf numFmtId="0" fontId="55" fillId="108" borderId="0" applyNumberFormat="0" applyBorder="0" applyAlignment="0" applyProtection="0"/>
    <xf numFmtId="0" fontId="55" fillId="53" borderId="0" applyNumberFormat="0" applyBorder="0" applyAlignment="0" applyProtection="0"/>
    <xf numFmtId="0" fontId="46" fillId="12" borderId="0" applyNumberFormat="0" applyBorder="0" applyAlignment="0" applyProtection="0"/>
    <xf numFmtId="0" fontId="55" fillId="58"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55" fillId="58" borderId="0" applyNumberFormat="0" applyBorder="0" applyAlignment="0" applyProtection="0"/>
    <xf numFmtId="0" fontId="55" fillId="108" borderId="0" applyNumberFormat="0" applyBorder="0" applyAlignment="0" applyProtection="0"/>
    <xf numFmtId="0" fontId="55" fillId="5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55" fillId="58" borderId="0" applyNumberFormat="0" applyBorder="0" applyAlignment="0" applyProtection="0"/>
    <xf numFmtId="0" fontId="55" fillId="108" borderId="0" applyNumberFormat="0" applyBorder="0" applyAlignment="0" applyProtection="0"/>
    <xf numFmtId="0" fontId="55" fillId="5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55" fillId="10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108" borderId="0" applyNumberFormat="0" applyBorder="0" applyAlignment="0" applyProtection="0"/>
    <xf numFmtId="0" fontId="55" fillId="53"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5" fillId="53" borderId="0" applyNumberFormat="0" applyBorder="0" applyAlignment="0" applyProtection="0"/>
    <xf numFmtId="0" fontId="55" fillId="108" borderId="0" applyNumberFormat="0" applyBorder="0" applyAlignment="0" applyProtection="0"/>
    <xf numFmtId="0" fontId="55" fillId="108" borderId="0" applyNumberFormat="0" applyBorder="0" applyAlignment="0" applyProtection="0"/>
    <xf numFmtId="0" fontId="54" fillId="110" borderId="0" applyNumberFormat="0" applyBorder="0" applyAlignment="0" applyProtection="0"/>
    <xf numFmtId="0" fontId="54" fillId="110" borderId="0" applyNumberFormat="0" applyBorder="0" applyAlignment="0" applyProtection="0"/>
    <xf numFmtId="0" fontId="54" fillId="59" borderId="0" applyNumberFormat="0" applyBorder="0" applyAlignment="0" applyProtection="0"/>
    <xf numFmtId="0" fontId="54" fillId="59" borderId="0" applyNumberFormat="0" applyBorder="0" applyAlignment="0" applyProtection="0"/>
    <xf numFmtId="0" fontId="54" fillId="110" borderId="0" applyNumberFormat="0" applyBorder="0" applyAlignment="0" applyProtection="0"/>
    <xf numFmtId="0" fontId="54" fillId="64" borderId="0" applyNumberFormat="0" applyBorder="0" applyAlignment="0" applyProtection="0"/>
    <xf numFmtId="0" fontId="54" fillId="64" borderId="0" applyNumberFormat="0" applyBorder="0" applyAlignment="0" applyProtection="0"/>
    <xf numFmtId="0" fontId="54" fillId="60" borderId="0" applyNumberFormat="0" applyBorder="0" applyAlignment="0" applyProtection="0"/>
    <xf numFmtId="0" fontId="54" fillId="60" borderId="0" applyNumberFormat="0" applyBorder="0" applyAlignment="0" applyProtection="0"/>
    <xf numFmtId="0" fontId="54" fillId="64" borderId="0" applyNumberFormat="0" applyBorder="0" applyAlignment="0" applyProtection="0"/>
    <xf numFmtId="0" fontId="55" fillId="60"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55" fillId="60"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62"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46" fillId="16"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46" fillId="16"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46" fillId="16"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46" fillId="16"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46" fillId="16" borderId="0" applyNumberFormat="0" applyBorder="0" applyAlignment="0" applyProtection="0"/>
    <xf numFmtId="0" fontId="46" fillId="69" borderId="0" applyNumberFormat="0" applyBorder="0" applyAlignment="0" applyProtection="0"/>
    <xf numFmtId="0" fontId="46" fillId="69" borderId="0" applyNumberFormat="0" applyBorder="0" applyAlignment="0" applyProtection="0"/>
    <xf numFmtId="0" fontId="46" fillId="16" borderId="0" applyNumberFormat="0" applyBorder="0" applyAlignment="0" applyProtection="0"/>
    <xf numFmtId="0" fontId="55" fillId="111" borderId="0" applyNumberFormat="0" applyBorder="0" applyAlignment="0" applyProtection="0"/>
    <xf numFmtId="0" fontId="46" fillId="16" borderId="0" applyNumberFormat="0" applyBorder="0" applyAlignment="0" applyProtection="0"/>
    <xf numFmtId="0" fontId="55" fillId="6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55" fillId="111"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55" fillId="111"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55" fillId="111" borderId="0" applyNumberFormat="0" applyBorder="0" applyAlignment="0" applyProtection="0"/>
    <xf numFmtId="0" fontId="55" fillId="62"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5" fillId="62" borderId="0" applyNumberFormat="0" applyBorder="0" applyAlignment="0" applyProtection="0"/>
    <xf numFmtId="0" fontId="55" fillId="111" borderId="0" applyNumberFormat="0" applyBorder="0" applyAlignment="0" applyProtection="0"/>
    <xf numFmtId="0" fontId="55" fillId="111" borderId="0" applyNumberFormat="0" applyBorder="0" applyAlignment="0" applyProtection="0"/>
    <xf numFmtId="0" fontId="54" fillId="112" borderId="0" applyNumberFormat="0" applyBorder="0" applyAlignment="0" applyProtection="0"/>
    <xf numFmtId="0" fontId="54" fillId="112" borderId="0" applyNumberFormat="0" applyBorder="0" applyAlignment="0" applyProtection="0"/>
    <xf numFmtId="0" fontId="54" fillId="63" borderId="0" applyNumberFormat="0" applyBorder="0" applyAlignment="0" applyProtection="0"/>
    <xf numFmtId="0" fontId="54" fillId="63" borderId="0" applyNumberFormat="0" applyBorder="0" applyAlignment="0" applyProtection="0"/>
    <xf numFmtId="0" fontId="54" fillId="112" borderId="0" applyNumberFormat="0" applyBorder="0" applyAlignment="0" applyProtection="0"/>
    <xf numFmtId="0" fontId="54" fillId="113" borderId="0" applyNumberFormat="0" applyBorder="0" applyAlignment="0" applyProtection="0"/>
    <xf numFmtId="0" fontId="54" fillId="113" borderId="0" applyNumberFormat="0" applyBorder="0" applyAlignment="0" applyProtection="0"/>
    <xf numFmtId="0" fontId="54" fillId="64" borderId="0" applyNumberFormat="0" applyBorder="0" applyAlignment="0" applyProtection="0"/>
    <xf numFmtId="0" fontId="54" fillId="64" borderId="0" applyNumberFormat="0" applyBorder="0" applyAlignment="0" applyProtection="0"/>
    <xf numFmtId="0" fontId="54" fillId="113" borderId="0" applyNumberFormat="0" applyBorder="0" applyAlignment="0" applyProtection="0"/>
    <xf numFmtId="0" fontId="55" fillId="114" borderId="0" applyNumberFormat="0" applyBorder="0" applyAlignment="0" applyProtection="0"/>
    <xf numFmtId="0" fontId="55" fillId="65" borderId="0" applyNumberFormat="0" applyBorder="0" applyAlignment="0" applyProtection="0"/>
    <xf numFmtId="0" fontId="55" fillId="65" borderId="0" applyNumberFormat="0" applyBorder="0" applyAlignment="0" applyProtection="0"/>
    <xf numFmtId="0" fontId="55" fillId="114"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48"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46" fillId="20"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46" fillId="20"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46" fillId="20"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46" fillId="20"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46" fillId="20" borderId="0" applyNumberFormat="0" applyBorder="0" applyAlignment="0" applyProtection="0"/>
    <xf numFmtId="0" fontId="46" fillId="50" borderId="0" applyNumberFormat="0" applyBorder="0" applyAlignment="0" applyProtection="0"/>
    <xf numFmtId="0" fontId="46" fillId="50" borderId="0" applyNumberFormat="0" applyBorder="0" applyAlignment="0" applyProtection="0"/>
    <xf numFmtId="0" fontId="46" fillId="20" borderId="0" applyNumberFormat="0" applyBorder="0" applyAlignment="0" applyProtection="0"/>
    <xf numFmtId="0" fontId="55" fillId="115" borderId="0" applyNumberFormat="0" applyBorder="0" applyAlignment="0" applyProtection="0"/>
    <xf numFmtId="0" fontId="46" fillId="20" borderId="0" applyNumberFormat="0" applyBorder="0" applyAlignment="0" applyProtection="0"/>
    <xf numFmtId="0" fontId="55" fillId="48"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55" fillId="115"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55" fillId="115"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55" fillId="61" borderId="0" applyNumberFormat="0" applyBorder="0" applyAlignment="0" applyProtection="0"/>
    <xf numFmtId="0" fontId="55" fillId="48" borderId="0" applyNumberFormat="0" applyBorder="0" applyAlignment="0" applyProtection="0"/>
    <xf numFmtId="0" fontId="55" fillId="115" borderId="0" applyNumberFormat="0" applyBorder="0" applyAlignment="0" applyProtection="0"/>
    <xf numFmtId="0" fontId="55" fillId="61" borderId="0" applyNumberFormat="0" applyBorder="0" applyAlignment="0" applyProtection="0"/>
    <xf numFmtId="0" fontId="55" fillId="115" borderId="0" applyNumberFormat="0" applyBorder="0" applyAlignment="0" applyProtection="0"/>
    <xf numFmtId="0" fontId="55" fillId="48" borderId="0" applyNumberFormat="0" applyBorder="0" applyAlignment="0" applyProtection="0"/>
    <xf numFmtId="0" fontId="55" fillId="115" borderId="0" applyNumberFormat="0" applyBorder="0" applyAlignment="0" applyProtection="0"/>
    <xf numFmtId="0" fontId="55" fillId="115" borderId="0" applyNumberFormat="0" applyBorder="0" applyAlignment="0" applyProtection="0"/>
    <xf numFmtId="0" fontId="54" fillId="110" borderId="0" applyNumberFormat="0" applyBorder="0" applyAlignment="0" applyProtection="0"/>
    <xf numFmtId="0" fontId="54" fillId="110" borderId="0" applyNumberFormat="0" applyBorder="0" applyAlignment="0" applyProtection="0"/>
    <xf numFmtId="0" fontId="54" fillId="64" borderId="0" applyNumberFormat="0" applyBorder="0" applyAlignment="0" applyProtection="0"/>
    <xf numFmtId="0" fontId="54" fillId="64" borderId="0" applyNumberFormat="0" applyBorder="0" applyAlignment="0" applyProtection="0"/>
    <xf numFmtId="0" fontId="54" fillId="110" borderId="0" applyNumberFormat="0" applyBorder="0" applyAlignment="0" applyProtection="0"/>
    <xf numFmtId="0" fontId="54" fillId="61" borderId="0" applyNumberFormat="0" applyBorder="0" applyAlignment="0" applyProtection="0"/>
    <xf numFmtId="0" fontId="54" fillId="61" borderId="0" applyNumberFormat="0" applyBorder="0" applyAlignment="0" applyProtection="0"/>
    <xf numFmtId="0" fontId="54" fillId="65" borderId="0" applyNumberFormat="0" applyBorder="0" applyAlignment="0" applyProtection="0"/>
    <xf numFmtId="0" fontId="54" fillId="65" borderId="0" applyNumberFormat="0" applyBorder="0" applyAlignment="0" applyProtection="0"/>
    <xf numFmtId="0" fontId="54" fillId="61" borderId="0" applyNumberFormat="0" applyBorder="0" applyAlignment="0" applyProtection="0"/>
    <xf numFmtId="0" fontId="55" fillId="64" borderId="0" applyNumberFormat="0" applyBorder="0" applyAlignment="0" applyProtection="0"/>
    <xf numFmtId="0" fontId="55" fillId="65" borderId="0" applyNumberFormat="0" applyBorder="0" applyAlignment="0" applyProtection="0"/>
    <xf numFmtId="0" fontId="55" fillId="65" borderId="0" applyNumberFormat="0" applyBorder="0" applyAlignment="0" applyProtection="0"/>
    <xf numFmtId="0" fontId="55" fillId="64"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52"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46" fillId="24"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46" fillId="24"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46" fillId="24"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46" fillId="24"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46" fillId="24"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24" borderId="0" applyNumberFormat="0" applyBorder="0" applyAlignment="0" applyProtection="0"/>
    <xf numFmtId="0" fontId="55" fillId="52" borderId="0" applyNumberFormat="0" applyBorder="0" applyAlignment="0" applyProtection="0"/>
    <xf numFmtId="0" fontId="55" fillId="116" borderId="0" applyNumberFormat="0" applyBorder="0" applyAlignment="0" applyProtection="0"/>
    <xf numFmtId="0" fontId="55" fillId="66" borderId="0" applyNumberFormat="0" applyBorder="0" applyAlignment="0" applyProtection="0"/>
    <xf numFmtId="0" fontId="46" fillId="24" borderId="0" applyNumberFormat="0" applyBorder="0" applyAlignment="0" applyProtection="0"/>
    <xf numFmtId="0" fontId="55" fillId="52"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55" fillId="52" borderId="0" applyNumberFormat="0" applyBorder="0" applyAlignment="0" applyProtection="0"/>
    <xf numFmtId="0" fontId="55" fillId="116" borderId="0" applyNumberFormat="0" applyBorder="0" applyAlignment="0" applyProtection="0"/>
    <xf numFmtId="0" fontId="55" fillId="66"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55" fillId="52" borderId="0" applyNumberFormat="0" applyBorder="0" applyAlignment="0" applyProtection="0"/>
    <xf numFmtId="0" fontId="55" fillId="116" borderId="0" applyNumberFormat="0" applyBorder="0" applyAlignment="0" applyProtection="0"/>
    <xf numFmtId="0" fontId="55" fillId="66"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55" fillId="117"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116" borderId="0" applyNumberFormat="0" applyBorder="0" applyAlignment="0" applyProtection="0"/>
    <xf numFmtId="0" fontId="55" fillId="66" borderId="0" applyNumberFormat="0" applyBorder="0" applyAlignment="0" applyProtection="0"/>
    <xf numFmtId="0" fontId="55" fillId="117" borderId="0" applyNumberFormat="0" applyBorder="0" applyAlignment="0" applyProtection="0"/>
    <xf numFmtId="0" fontId="55" fillId="116" borderId="0" applyNumberFormat="0" applyBorder="0" applyAlignment="0" applyProtection="0"/>
    <xf numFmtId="0" fontId="55" fillId="66" borderId="0" applyNumberFormat="0" applyBorder="0" applyAlignment="0" applyProtection="0"/>
    <xf numFmtId="0" fontId="55" fillId="116" borderId="0" applyNumberFormat="0" applyBorder="0" applyAlignment="0" applyProtection="0"/>
    <xf numFmtId="0" fontId="55" fillId="116" borderId="0" applyNumberFormat="0" applyBorder="0" applyAlignment="0" applyProtection="0"/>
    <xf numFmtId="0" fontId="54" fillId="63" borderId="0" applyNumberFormat="0" applyBorder="0" applyAlignment="0" applyProtection="0"/>
    <xf numFmtId="0" fontId="54" fillId="63"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63" borderId="0" applyNumberFormat="0" applyBorder="0" applyAlignment="0" applyProtection="0"/>
    <xf numFmtId="0" fontId="54" fillId="56" borderId="0" applyNumberFormat="0" applyBorder="0" applyAlignment="0" applyProtection="0"/>
    <xf numFmtId="0" fontId="55" fillId="107"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53"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46" fillId="28"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46" fillId="28"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46" fillId="28"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46" fillId="28"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55" fillId="107" borderId="0" applyNumberFormat="0" applyBorder="0" applyAlignment="0" applyProtection="0"/>
    <xf numFmtId="0" fontId="46" fillId="28" borderId="0" applyNumberFormat="0" applyBorder="0" applyAlignment="0" applyProtection="0"/>
    <xf numFmtId="0" fontId="55" fillId="53"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55" fillId="107"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55" fillId="107"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55" fillId="118" borderId="0" applyNumberFormat="0" applyBorder="0" applyAlignment="0" applyProtection="0"/>
    <xf numFmtId="0" fontId="55" fillId="53" borderId="0" applyNumberFormat="0" applyBorder="0" applyAlignment="0" applyProtection="0"/>
    <xf numFmtId="0" fontId="55" fillId="107" borderId="0" applyNumberFormat="0" applyBorder="0" applyAlignment="0" applyProtection="0"/>
    <xf numFmtId="0" fontId="55" fillId="118" borderId="0" applyNumberFormat="0" applyBorder="0" applyAlignment="0" applyProtection="0"/>
    <xf numFmtId="0" fontId="55" fillId="107" borderId="0" applyNumberFormat="0" applyBorder="0" applyAlignment="0" applyProtection="0"/>
    <xf numFmtId="0" fontId="55" fillId="53" borderId="0" applyNumberFormat="0" applyBorder="0" applyAlignment="0" applyProtection="0"/>
    <xf numFmtId="0" fontId="55" fillId="107" borderId="0" applyNumberFormat="0" applyBorder="0" applyAlignment="0" applyProtection="0"/>
    <xf numFmtId="0" fontId="55" fillId="107" borderId="0" applyNumberFormat="0" applyBorder="0" applyAlignment="0" applyProtection="0"/>
    <xf numFmtId="0" fontId="54" fillId="67" borderId="0" applyNumberFormat="0" applyBorder="0" applyAlignment="0" applyProtection="0"/>
    <xf numFmtId="0" fontId="54" fillId="68" borderId="0" applyNumberFormat="0" applyBorder="0" applyAlignment="0" applyProtection="0"/>
    <xf numFmtId="0" fontId="54" fillId="68" borderId="0" applyNumberFormat="0" applyBorder="0" applyAlignment="0" applyProtection="0"/>
    <xf numFmtId="0" fontId="54" fillId="60" borderId="0" applyNumberFormat="0" applyBorder="0" applyAlignment="0" applyProtection="0"/>
    <xf numFmtId="0" fontId="54" fillId="60" borderId="0" applyNumberFormat="0" applyBorder="0" applyAlignment="0" applyProtection="0"/>
    <xf numFmtId="0" fontId="54" fillId="68" borderId="0" applyNumberFormat="0" applyBorder="0" applyAlignment="0" applyProtection="0"/>
    <xf numFmtId="0" fontId="55" fillId="119" borderId="0" applyNumberFormat="0" applyBorder="0" applyAlignment="0" applyProtection="0"/>
    <xf numFmtId="0" fontId="55" fillId="68" borderId="0" applyNumberFormat="0" applyBorder="0" applyAlignment="0" applyProtection="0"/>
    <xf numFmtId="0" fontId="55" fillId="68" borderId="0" applyNumberFormat="0" applyBorder="0" applyAlignment="0" applyProtection="0"/>
    <xf numFmtId="0" fontId="55" fillId="119"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69"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46" fillId="32"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46" fillId="32"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46" fillId="32"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46" fillId="32"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0" fontId="46" fillId="32" borderId="0" applyNumberFormat="0" applyBorder="0" applyAlignment="0" applyProtection="0"/>
    <xf numFmtId="0" fontId="46" fillId="62" borderId="0" applyNumberFormat="0" applyBorder="0" applyAlignment="0" applyProtection="0"/>
    <xf numFmtId="0" fontId="46" fillId="62" borderId="0" applyNumberFormat="0" applyBorder="0" applyAlignment="0" applyProtection="0"/>
    <xf numFmtId="0" fontId="46" fillId="32" borderId="0" applyNumberFormat="0" applyBorder="0" applyAlignment="0" applyProtection="0"/>
    <xf numFmtId="0" fontId="55" fillId="69" borderId="0" applyNumberFormat="0" applyBorder="0" applyAlignment="0" applyProtection="0"/>
    <xf numFmtId="0" fontId="55" fillId="120" borderId="0" applyNumberFormat="0" applyBorder="0" applyAlignment="0" applyProtection="0"/>
    <xf numFmtId="0" fontId="55" fillId="50" borderId="0" applyNumberFormat="0" applyBorder="0" applyAlignment="0" applyProtection="0"/>
    <xf numFmtId="0" fontId="46" fillId="32" borderId="0" applyNumberFormat="0" applyBorder="0" applyAlignment="0" applyProtection="0"/>
    <xf numFmtId="0" fontId="55" fillId="69"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55" fillId="69" borderId="0" applyNumberFormat="0" applyBorder="0" applyAlignment="0" applyProtection="0"/>
    <xf numFmtId="0" fontId="55" fillId="120" borderId="0" applyNumberFormat="0" applyBorder="0" applyAlignment="0" applyProtection="0"/>
    <xf numFmtId="0" fontId="55" fillId="50"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55" fillId="69" borderId="0" applyNumberFormat="0" applyBorder="0" applyAlignment="0" applyProtection="0"/>
    <xf numFmtId="0" fontId="55" fillId="120" borderId="0" applyNumberFormat="0" applyBorder="0" applyAlignment="0" applyProtection="0"/>
    <xf numFmtId="0" fontId="55" fillId="50"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55" fillId="69" borderId="0" applyNumberFormat="0" applyBorder="0" applyAlignment="0" applyProtection="0"/>
    <xf numFmtId="0" fontId="55" fillId="69"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55" fillId="121" borderId="0" applyNumberFormat="0" applyBorder="0" applyAlignment="0" applyProtection="0"/>
    <xf numFmtId="0" fontId="55" fillId="69" borderId="0" applyNumberFormat="0" applyBorder="0" applyAlignment="0" applyProtection="0"/>
    <xf numFmtId="0" fontId="55" fillId="69" borderId="0" applyNumberFormat="0" applyBorder="0" applyAlignment="0" applyProtection="0"/>
    <xf numFmtId="0" fontId="55" fillId="120" borderId="0" applyNumberFormat="0" applyBorder="0" applyAlignment="0" applyProtection="0"/>
    <xf numFmtId="0" fontId="55" fillId="50" borderId="0" applyNumberFormat="0" applyBorder="0" applyAlignment="0" applyProtection="0"/>
    <xf numFmtId="0" fontId="55" fillId="121" borderId="0" applyNumberFormat="0" applyBorder="0" applyAlignment="0" applyProtection="0"/>
    <xf numFmtId="0" fontId="55" fillId="120" borderId="0" applyNumberFormat="0" applyBorder="0" applyAlignment="0" applyProtection="0"/>
    <xf numFmtId="0" fontId="55" fillId="50" borderId="0" applyNumberFormat="0" applyBorder="0" applyAlignment="0" applyProtection="0"/>
    <xf numFmtId="0" fontId="55" fillId="120" borderId="0" applyNumberFormat="0" applyBorder="0" applyAlignment="0" applyProtection="0"/>
    <xf numFmtId="0" fontId="55" fillId="120" borderId="0" applyNumberFormat="0" applyBorder="0" applyAlignment="0" applyProtection="0"/>
    <xf numFmtId="176" fontId="24" fillId="70" borderId="20">
      <alignment horizontal="center" vertical="center"/>
    </xf>
    <xf numFmtId="175" fontId="56" fillId="70" borderId="20">
      <alignment horizontal="center" vertical="center"/>
    </xf>
    <xf numFmtId="176" fontId="24" fillId="70" borderId="20">
      <alignment horizontal="center" vertical="center"/>
    </xf>
    <xf numFmtId="175" fontId="56" fillId="70" borderId="20">
      <alignment horizontal="center" vertical="center"/>
    </xf>
    <xf numFmtId="200" fontId="143" fillId="0" borderId="0"/>
    <xf numFmtId="200" fontId="143" fillId="0" borderId="0"/>
    <xf numFmtId="200" fontId="143" fillId="0" borderId="0"/>
    <xf numFmtId="200" fontId="143" fillId="0" borderId="0"/>
    <xf numFmtId="0" fontId="57" fillId="49" borderId="47" applyNumberFormat="0" applyFont="0" applyBorder="0" applyAlignment="0" applyProtection="0">
      <protection hidden="1"/>
    </xf>
    <xf numFmtId="0" fontId="144" fillId="60" borderId="0" applyNumberFormat="0" applyBorder="0" applyAlignment="0" applyProtection="0"/>
    <xf numFmtId="0" fontId="145" fillId="67"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145" fillId="67" borderId="0" applyNumberFormat="0" applyBorder="0" applyAlignment="0" applyProtection="0"/>
    <xf numFmtId="0" fontId="37" fillId="6"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145" fillId="67" borderId="0" applyNumberFormat="0" applyBorder="0" applyAlignment="0" applyProtection="0"/>
    <xf numFmtId="0" fontId="37" fillId="6" borderId="0" applyNumberFormat="0" applyBorder="0" applyAlignment="0" applyProtection="0"/>
    <xf numFmtId="0" fontId="58" fillId="37"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58" fillId="37" borderId="0" applyNumberFormat="0" applyBorder="0" applyAlignment="0" applyProtection="0"/>
    <xf numFmtId="0" fontId="61" fillId="49" borderId="22" applyNumberFormat="0" applyAlignment="0" applyProtection="0"/>
    <xf numFmtId="0" fontId="62" fillId="122" borderId="22" applyNumberFormat="0" applyAlignment="0" applyProtection="0"/>
    <xf numFmtId="0" fontId="146" fillId="123" borderId="54" applyNumberFormat="0" applyAlignment="0" applyProtection="0"/>
    <xf numFmtId="0" fontId="146" fillId="123" borderId="54" applyNumberFormat="0" applyAlignment="0" applyProtection="0"/>
    <xf numFmtId="0" fontId="146" fillId="123" borderId="54" applyNumberFormat="0" applyAlignment="0" applyProtection="0"/>
    <xf numFmtId="0" fontId="41" fillId="9" borderId="14" applyNumberFormat="0" applyAlignment="0" applyProtection="0"/>
    <xf numFmtId="0" fontId="147" fillId="88" borderId="14" applyNumberFormat="0" applyAlignment="0" applyProtection="0"/>
    <xf numFmtId="0" fontId="41" fillId="9" borderId="14" applyNumberFormat="0" applyAlignment="0" applyProtection="0"/>
    <xf numFmtId="0" fontId="63" fillId="61" borderId="23" applyNumberFormat="0" applyAlignment="0" applyProtection="0"/>
    <xf numFmtId="0" fontId="63" fillId="116" borderId="23" applyNumberFormat="0" applyAlignment="0" applyProtection="0"/>
    <xf numFmtId="0" fontId="63" fillId="46" borderId="23" applyNumberFormat="0" applyAlignment="0" applyProtection="0"/>
    <xf numFmtId="0" fontId="63" fillId="116" borderId="23" applyNumberFormat="0" applyAlignment="0" applyProtection="0"/>
    <xf numFmtId="0" fontId="63" fillId="116" borderId="23" applyNumberFormat="0" applyAlignment="0" applyProtection="0"/>
    <xf numFmtId="0" fontId="63" fillId="71" borderId="23" applyNumberFormat="0" applyAlignment="0" applyProtection="0"/>
    <xf numFmtId="0" fontId="43" fillId="10" borderId="17" applyNumberFormat="0" applyAlignment="0" applyProtection="0"/>
    <xf numFmtId="0" fontId="43" fillId="10" borderId="17" applyNumberFormat="0" applyAlignment="0" applyProtection="0"/>
    <xf numFmtId="0" fontId="63" fillId="46" borderId="23" applyNumberFormat="0" applyAlignment="0" applyProtection="0"/>
    <xf numFmtId="41" fontId="26" fillId="0" borderId="0" applyFont="0" applyFill="0" applyBorder="0" applyAlignment="0" applyProtection="0"/>
    <xf numFmtId="41" fontId="26" fillId="0" borderId="0" applyFont="0" applyFill="0" applyBorder="0" applyAlignment="0" applyProtection="0"/>
    <xf numFmtId="41" fontId="148" fillId="0" borderId="0" applyFont="0" applyFill="0" applyBorder="0" applyAlignment="0" applyProtection="0"/>
    <xf numFmtId="38" fontId="64" fillId="0" borderId="0" applyFont="0" applyFill="0" applyBorder="0" applyAlignment="0" applyProtection="0"/>
    <xf numFmtId="41" fontId="2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43" fontId="64" fillId="0" borderId="0" applyFont="0" applyFill="0" applyBorder="0" applyAlignment="0" applyProtection="0"/>
    <xf numFmtId="43" fontId="15"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15"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180" fontId="2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6"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180" fontId="24"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43" fontId="15" fillId="0" borderId="0" applyFont="0" applyFill="0" applyBorder="0" applyAlignment="0" applyProtection="0"/>
    <xf numFmtId="43" fontId="60" fillId="0" borderId="0" applyFont="0" applyFill="0" applyBorder="0" applyAlignment="0" applyProtection="0"/>
    <xf numFmtId="43" fontId="15" fillId="0" borderId="0" applyFont="0" applyFill="0" applyBorder="0" applyAlignment="0" applyProtection="0"/>
    <xf numFmtId="43" fontId="26"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43" fontId="24"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43" fontId="24"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43" fontId="24"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43" fontId="24"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43" fontId="24"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6"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6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60"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60" fillId="0" borderId="0" applyFont="0" applyFill="0" applyBorder="0" applyAlignment="0" applyProtection="0"/>
    <xf numFmtId="43" fontId="26"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43" fontId="60"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6"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6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26"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6"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6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26"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6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6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180" fontId="2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80" fontId="24" fillId="0" borderId="0" applyFont="0" applyFill="0" applyBorder="0" applyAlignment="0" applyProtection="0"/>
    <xf numFmtId="43" fontId="9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43" fontId="9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0" fillId="0" borderId="0" applyFont="0" applyFill="0" applyBorder="0" applyAlignment="0" applyProtection="0"/>
    <xf numFmtId="43" fontId="15"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0" fillId="0" borderId="0" applyFont="0" applyFill="0" applyBorder="0" applyAlignment="0" applyProtection="0"/>
    <xf numFmtId="43" fontId="15"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5"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43" fontId="26" fillId="0" borderId="0" applyFont="0" applyFill="0" applyBorder="0" applyAlignment="0" applyProtection="0"/>
    <xf numFmtId="43" fontId="1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43" fontId="90"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43" fontId="2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80" fontId="24" fillId="0" borderId="0" applyFont="0" applyFill="0" applyBorder="0" applyAlignment="0" applyProtection="0"/>
    <xf numFmtId="43" fontId="6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180"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24" fillId="0" borderId="0" applyFont="0" applyFill="0" applyBorder="0" applyAlignment="0" applyProtection="0"/>
    <xf numFmtId="183" fontId="24"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4" fillId="0" borderId="0" applyFont="0" applyFill="0" applyBorder="0" applyAlignment="0" applyProtection="0"/>
    <xf numFmtId="44" fontId="6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24"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183" fontId="24"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183" fontId="24" fillId="0" borderId="0" applyFont="0" applyFill="0" applyBorder="0" applyAlignment="0" applyProtection="0"/>
    <xf numFmtId="44" fontId="2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4" fillId="0" borderId="0" applyFont="0" applyFill="0" applyBorder="0" applyAlignment="0" applyProtection="0"/>
    <xf numFmtId="44" fontId="2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2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2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2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2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183"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26"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2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2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0" fillId="0" borderId="0" applyFont="0" applyFill="0" applyBorder="0" applyAlignment="0" applyProtection="0"/>
    <xf numFmtId="44" fontId="15"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64"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5"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183" fontId="24"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2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183" fontId="2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0"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0" fillId="0" borderId="0" applyFont="0" applyFill="0" applyBorder="0" applyAlignment="0" applyProtection="0"/>
    <xf numFmtId="44" fontId="24" fillId="0" borderId="0" applyFont="0" applyFill="0" applyBorder="0" applyAlignment="0" applyProtection="0"/>
    <xf numFmtId="44" fontId="60" fillId="0" borderId="0" applyFont="0" applyFill="0" applyBorder="0" applyAlignment="0" applyProtection="0"/>
    <xf numFmtId="44" fontId="24" fillId="0" borderId="0" applyFont="0" applyFill="0" applyBorder="0" applyAlignment="0" applyProtection="0"/>
    <xf numFmtId="44" fontId="60" fillId="0" borderId="0" applyFont="0" applyFill="0" applyBorder="0" applyAlignment="0" applyProtection="0"/>
    <xf numFmtId="44" fontId="24" fillId="0" borderId="0" applyFont="0" applyFill="0" applyBorder="0" applyAlignment="0" applyProtection="0"/>
    <xf numFmtId="44" fontId="64"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8"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183" fontId="24" fillId="0" borderId="0" applyFont="0" applyFill="0" applyBorder="0" applyAlignment="0" applyProtection="0"/>
    <xf numFmtId="44" fontId="24" fillId="0" borderId="0" applyFont="0" applyFill="0" applyBorder="0" applyAlignment="0" applyProtection="0"/>
    <xf numFmtId="44" fontId="2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54" fillId="0" borderId="0" applyFont="0" applyFill="0" applyBorder="0" applyAlignment="0" applyProtection="0"/>
    <xf numFmtId="44" fontId="64" fillId="0" borderId="0" applyFont="0" applyFill="0" applyBorder="0" applyAlignment="0" applyProtection="0"/>
    <xf numFmtId="183"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183" fontId="2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24" fillId="0" borderId="0" applyFont="0" applyFill="0" applyBorder="0" applyAlignment="0" applyProtection="0"/>
    <xf numFmtId="44" fontId="64" fillId="0" borderId="0" applyFont="0" applyFill="0" applyBorder="0" applyAlignment="0" applyProtection="0"/>
    <xf numFmtId="6" fontId="69" fillId="0" borderId="0">
      <protection locked="0"/>
    </xf>
    <xf numFmtId="14" fontId="24" fillId="0" borderId="0" applyFont="0" applyFill="0" applyBorder="0" applyAlignment="0" applyProtection="0"/>
    <xf numFmtId="0" fontId="131" fillId="124" borderId="0" applyNumberFormat="0" applyBorder="0" applyAlignment="0" applyProtection="0"/>
    <xf numFmtId="0" fontId="131" fillId="125" borderId="0" applyNumberFormat="0" applyBorder="0" applyAlignment="0" applyProtection="0"/>
    <xf numFmtId="0" fontId="131" fillId="124" borderId="0" applyNumberFormat="0" applyBorder="0" applyAlignment="0" applyProtection="0"/>
    <xf numFmtId="0" fontId="131" fillId="126" borderId="0" applyNumberFormat="0" applyBorder="0" applyAlignment="0" applyProtection="0"/>
    <xf numFmtId="0" fontId="131" fillId="127" borderId="0" applyNumberFormat="0" applyBorder="0" applyAlignment="0" applyProtection="0"/>
    <xf numFmtId="0" fontId="131" fillId="126" borderId="0" applyNumberFormat="0" applyBorder="0" applyAlignment="0" applyProtection="0"/>
    <xf numFmtId="0" fontId="131" fillId="128" borderId="0" applyNumberFormat="0" applyBorder="0" applyAlignment="0" applyProtection="0"/>
    <xf numFmtId="0" fontId="131" fillId="128" borderId="0" applyNumberFormat="0" applyBorder="0" applyAlignment="0" applyProtection="0"/>
    <xf numFmtId="0" fontId="149" fillId="0" borderId="0" applyNumberFormat="0" applyFill="0" applyBorder="0" applyAlignment="0" applyProtection="0"/>
    <xf numFmtId="0" fontId="71"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71" fillId="0" borderId="0" applyNumberFormat="0" applyFill="0" applyBorder="0" applyAlignment="0" applyProtection="0"/>
    <xf numFmtId="192" fontId="24" fillId="0" borderId="0">
      <protection locked="0"/>
    </xf>
    <xf numFmtId="2" fontId="24" fillId="0" borderId="0" applyFont="0" applyFill="0" applyBorder="0" applyAlignment="0" applyProtection="0"/>
    <xf numFmtId="192" fontId="24" fillId="0" borderId="0">
      <protection locked="0"/>
    </xf>
    <xf numFmtId="2" fontId="24" fillId="0" borderId="0" applyFont="0" applyFill="0" applyBorder="0" applyAlignment="0" applyProtection="0"/>
    <xf numFmtId="0" fontId="74" fillId="39" borderId="0" applyNumberFormat="0" applyBorder="0" applyAlignment="0" applyProtection="0"/>
    <xf numFmtId="0" fontId="74" fillId="129" borderId="0" applyNumberFormat="0" applyBorder="0" applyAlignment="0" applyProtection="0"/>
    <xf numFmtId="0" fontId="54" fillId="113" borderId="0" applyNumberFormat="0" applyBorder="0" applyAlignment="0" applyProtection="0"/>
    <xf numFmtId="0" fontId="74" fillId="39" borderId="0" applyNumberFormat="0" applyBorder="0" applyAlignment="0" applyProtection="0"/>
    <xf numFmtId="0" fontId="54" fillId="113" borderId="0" applyNumberFormat="0" applyBorder="0" applyAlignment="0" applyProtection="0"/>
    <xf numFmtId="0" fontId="54" fillId="113" borderId="0" applyNumberFormat="0" applyBorder="0" applyAlignment="0" applyProtection="0"/>
    <xf numFmtId="0" fontId="54" fillId="113" borderId="0" applyNumberFormat="0" applyBorder="0" applyAlignment="0" applyProtection="0"/>
    <xf numFmtId="0" fontId="74" fillId="73" borderId="0" applyNumberFormat="0" applyBorder="0" applyAlignment="0" applyProtection="0"/>
    <xf numFmtId="0" fontId="36" fillId="5" borderId="0" applyNumberFormat="0" applyBorder="0" applyAlignment="0" applyProtection="0"/>
    <xf numFmtId="0" fontId="36" fillId="43" borderId="0" applyNumberFormat="0" applyBorder="0" applyAlignment="0" applyProtection="0"/>
    <xf numFmtId="0" fontId="36" fillId="5" borderId="0" applyNumberFormat="0" applyBorder="0" applyAlignment="0" applyProtection="0"/>
    <xf numFmtId="0" fontId="77" fillId="0" borderId="26" applyNumberFormat="0" applyFill="0" applyAlignment="0" applyProtection="0"/>
    <xf numFmtId="0" fontId="76" fillId="0" borderId="0" applyNumberFormat="0" applyFont="0" applyFill="0" applyBorder="0" applyProtection="0"/>
    <xf numFmtId="0" fontId="76" fillId="0" borderId="0" applyNumberFormat="0" applyFont="0" applyFill="0" applyBorder="0" applyProtection="0"/>
    <xf numFmtId="0" fontId="78" fillId="0" borderId="55" applyNumberFormat="0" applyFill="0" applyAlignment="0" applyProtection="0"/>
    <xf numFmtId="0" fontId="78" fillId="0" borderId="55" applyNumberFormat="0" applyFill="0" applyAlignment="0" applyProtection="0"/>
    <xf numFmtId="0" fontId="76" fillId="0" borderId="0" applyNumberFormat="0" applyFont="0" applyFill="0" applyBorder="0" applyProtection="0"/>
    <xf numFmtId="0" fontId="76" fillId="0" borderId="0" applyNumberFormat="0" applyFont="0" applyFill="0" applyBorder="0" applyProtection="0"/>
    <xf numFmtId="0" fontId="78" fillId="0" borderId="27" applyNumberFormat="0" applyFill="0" applyAlignment="0" applyProtection="0"/>
    <xf numFmtId="0" fontId="33" fillId="0" borderId="11" applyNumberFormat="0" applyFill="0" applyAlignment="0" applyProtection="0"/>
    <xf numFmtId="0" fontId="150" fillId="0" borderId="56" applyNumberFormat="0" applyFill="0" applyAlignment="0" applyProtection="0"/>
    <xf numFmtId="0" fontId="33" fillId="0" borderId="11" applyNumberFormat="0" applyFill="0" applyAlignment="0" applyProtection="0"/>
    <xf numFmtId="0" fontId="79" fillId="0" borderId="28" applyNumberFormat="0" applyFill="0" applyAlignment="0" applyProtection="0"/>
    <xf numFmtId="0" fontId="29" fillId="0" borderId="0" applyNumberFormat="0" applyFont="0" applyFill="0" applyBorder="0" applyProtection="0"/>
    <xf numFmtId="0" fontId="29" fillId="0" borderId="0" applyNumberFormat="0" applyFont="0" applyFill="0" applyBorder="0" applyProtection="0"/>
    <xf numFmtId="0" fontId="80" fillId="0" borderId="57" applyNumberFormat="0" applyFill="0" applyAlignment="0" applyProtection="0"/>
    <xf numFmtId="0" fontId="80" fillId="0" borderId="57" applyNumberFormat="0" applyFill="0" applyAlignment="0" applyProtection="0"/>
    <xf numFmtId="0" fontId="29" fillId="0" borderId="0" applyNumberFormat="0" applyFont="0" applyFill="0" applyBorder="0" applyProtection="0"/>
    <xf numFmtId="0" fontId="29" fillId="0" borderId="0" applyNumberFormat="0" applyFont="0" applyFill="0" applyBorder="0" applyProtection="0"/>
    <xf numFmtId="0" fontId="80" fillId="0" borderId="29" applyNumberFormat="0" applyFill="0" applyAlignment="0" applyProtection="0"/>
    <xf numFmtId="0" fontId="34" fillId="0" borderId="12" applyNumberFormat="0" applyFill="0" applyAlignment="0" applyProtection="0"/>
    <xf numFmtId="0" fontId="151" fillId="0" borderId="58" applyNumberFormat="0" applyFill="0" applyAlignment="0" applyProtection="0"/>
    <xf numFmtId="0" fontId="34" fillId="0" borderId="12" applyNumberFormat="0" applyFill="0" applyAlignment="0" applyProtection="0"/>
    <xf numFmtId="0" fontId="81" fillId="0" borderId="30" applyNumberFormat="0" applyFill="0" applyAlignment="0" applyProtection="0"/>
    <xf numFmtId="0" fontId="82" fillId="0" borderId="59" applyNumberFormat="0" applyFill="0" applyAlignment="0" applyProtection="0"/>
    <xf numFmtId="0" fontId="82" fillId="0" borderId="60" applyNumberFormat="0" applyFill="0" applyAlignment="0" applyProtection="0"/>
    <xf numFmtId="0" fontId="81" fillId="0" borderId="30" applyNumberFormat="0" applyFill="0" applyAlignment="0" applyProtection="0"/>
    <xf numFmtId="0" fontId="82" fillId="0" borderId="60" applyNumberFormat="0" applyFill="0" applyAlignment="0" applyProtection="0"/>
    <xf numFmtId="0" fontId="82" fillId="0" borderId="60" applyNumberFormat="0" applyFill="0" applyAlignment="0" applyProtection="0"/>
    <xf numFmtId="0" fontId="82" fillId="0" borderId="31" applyNumberFormat="0" applyFill="0" applyAlignment="0" applyProtection="0"/>
    <xf numFmtId="0" fontId="35" fillId="0" borderId="13" applyNumberFormat="0" applyFill="0" applyAlignment="0" applyProtection="0"/>
    <xf numFmtId="0" fontId="152" fillId="0" borderId="61" applyNumberFormat="0" applyFill="0" applyAlignment="0" applyProtection="0"/>
    <xf numFmtId="0" fontId="35" fillId="0" borderId="13" applyNumberFormat="0" applyFill="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35" fillId="0" borderId="0" applyNumberFormat="0" applyFill="0" applyBorder="0" applyAlignment="0" applyProtection="0"/>
    <xf numFmtId="0" fontId="152" fillId="0" borderId="0" applyNumberFormat="0" applyFill="0" applyBorder="0" applyAlignment="0" applyProtection="0"/>
    <xf numFmtId="0" fontId="35" fillId="0" borderId="0" applyNumberFormat="0" applyFill="0" applyBorder="0" applyAlignment="0" applyProtection="0"/>
    <xf numFmtId="0" fontId="153"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47" fillId="0" borderId="0" applyNumberFormat="0" applyFill="0" applyBorder="0" applyAlignment="0" applyProtection="0"/>
    <xf numFmtId="0" fontId="153"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85" fillId="44" borderId="22"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157" fillId="68" borderId="54" applyNumberFormat="0" applyAlignment="0" applyProtection="0"/>
    <xf numFmtId="0" fontId="157" fillId="68" borderId="54" applyNumberFormat="0" applyAlignment="0" applyProtection="0"/>
    <xf numFmtId="0" fontId="157" fillId="68" borderId="5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85" fillId="44" borderId="22" applyNumberFormat="0" applyAlignment="0" applyProtection="0"/>
    <xf numFmtId="0" fontId="85" fillId="44" borderId="22" applyNumberFormat="0" applyAlignment="0" applyProtection="0"/>
    <xf numFmtId="0" fontId="39" fillId="8" borderId="14" applyNumberFormat="0" applyAlignment="0" applyProtection="0"/>
    <xf numFmtId="0" fontId="39" fillId="8" borderId="14" applyNumberFormat="0" applyAlignment="0" applyProtection="0"/>
    <xf numFmtId="0" fontId="157" fillId="68" borderId="22" applyNumberFormat="0" applyAlignment="0" applyProtection="0"/>
    <xf numFmtId="0" fontId="85" fillId="44" borderId="22" applyNumberFormat="0" applyAlignment="0" applyProtection="0"/>
    <xf numFmtId="0" fontId="157" fillId="68" borderId="22"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8" borderId="14" applyNumberFormat="0" applyAlignment="0" applyProtection="0"/>
    <xf numFmtId="0" fontId="39" fillId="77" borderId="14" applyNumberFormat="0" applyAlignment="0" applyProtection="0"/>
    <xf numFmtId="0" fontId="39" fillId="77" borderId="14" applyNumberFormat="0" applyAlignment="0" applyProtection="0"/>
    <xf numFmtId="0" fontId="39" fillId="8" borderId="14" applyNumberFormat="0" applyAlignment="0" applyProtection="0"/>
    <xf numFmtId="0" fontId="39" fillId="8" borderId="14" applyNumberFormat="0" applyAlignment="0" applyProtection="0"/>
    <xf numFmtId="0" fontId="86" fillId="0" borderId="33" applyNumberFormat="0" applyFill="0" applyAlignment="0" applyProtection="0"/>
    <xf numFmtId="0" fontId="74" fillId="0" borderId="62" applyNumberFormat="0" applyFill="0" applyAlignment="0" applyProtection="0"/>
    <xf numFmtId="0" fontId="86" fillId="0" borderId="33" applyNumberFormat="0" applyFill="0" applyAlignment="0" applyProtection="0"/>
    <xf numFmtId="0" fontId="74" fillId="0" borderId="62" applyNumberFormat="0" applyFill="0" applyAlignment="0" applyProtection="0"/>
    <xf numFmtId="0" fontId="74" fillId="0" borderId="62" applyNumberFormat="0" applyFill="0" applyAlignment="0" applyProtection="0"/>
    <xf numFmtId="0" fontId="87" fillId="0" borderId="34" applyNumberFormat="0" applyFill="0" applyAlignment="0" applyProtection="0"/>
    <xf numFmtId="0" fontId="42" fillId="0" borderId="16" applyNumberFormat="0" applyFill="0" applyAlignment="0" applyProtection="0"/>
    <xf numFmtId="0" fontId="158" fillId="0" borderId="63" applyNumberFormat="0" applyFill="0" applyAlignment="0" applyProtection="0"/>
    <xf numFmtId="0" fontId="42" fillId="0" borderId="16" applyNumberFormat="0" applyFill="0" applyAlignment="0" applyProtection="0"/>
    <xf numFmtId="0" fontId="88" fillId="68" borderId="0" applyNumberFormat="0" applyBorder="0" applyAlignment="0" applyProtection="0"/>
    <xf numFmtId="0" fontId="74" fillId="68" borderId="0" applyNumberFormat="0" applyBorder="0" applyAlignment="0" applyProtection="0"/>
    <xf numFmtId="0" fontId="159" fillId="7" borderId="0" applyNumberFormat="0" applyBorder="0" applyAlignment="0" applyProtection="0"/>
    <xf numFmtId="0" fontId="159" fillId="7" borderId="0" applyNumberFormat="0" applyBorder="0" applyAlignment="0" applyProtection="0"/>
    <xf numFmtId="0" fontId="74" fillId="68" borderId="0" applyNumberFormat="0" applyBorder="0" applyAlignment="0" applyProtection="0"/>
    <xf numFmtId="0" fontId="142" fillId="7" borderId="0" applyNumberFormat="0" applyBorder="0" applyAlignment="0" applyProtection="0"/>
    <xf numFmtId="0" fontId="88" fillId="77" borderId="0" applyNumberFormat="0" applyBorder="0" applyAlignment="0" applyProtection="0"/>
    <xf numFmtId="0" fontId="88" fillId="77" borderId="0" applyNumberFormat="0" applyBorder="0" applyAlignment="0" applyProtection="0"/>
    <xf numFmtId="0" fontId="74" fillId="68" borderId="0" applyNumberFormat="0" applyBorder="0" applyAlignment="0" applyProtection="0"/>
    <xf numFmtId="0" fontId="142" fillId="7" borderId="0" applyNumberFormat="0" applyBorder="0" applyAlignment="0" applyProtection="0"/>
    <xf numFmtId="0" fontId="88" fillId="77" borderId="0" applyNumberFormat="0" applyBorder="0" applyAlignment="0" applyProtection="0"/>
    <xf numFmtId="0" fontId="142" fillId="7" borderId="0" applyNumberFormat="0" applyBorder="0" applyAlignment="0" applyProtection="0"/>
    <xf numFmtId="0" fontId="142" fillId="7" borderId="0" applyNumberFormat="0" applyBorder="0" applyAlignment="0" applyProtection="0"/>
    <xf numFmtId="0" fontId="88" fillId="77" borderId="0" applyNumberFormat="0" applyBorder="0" applyAlignment="0" applyProtection="0"/>
    <xf numFmtId="206" fontId="24" fillId="0" borderId="0"/>
    <xf numFmtId="205" fontId="90" fillId="0" borderId="0"/>
    <xf numFmtId="206" fontId="24" fillId="0" borderId="0"/>
    <xf numFmtId="205" fontId="90" fillId="0" borderId="0"/>
    <xf numFmtId="0" fontId="15" fillId="0" borderId="0"/>
    <xf numFmtId="0" fontId="90" fillId="0" borderId="0"/>
    <xf numFmtId="0" fontId="15" fillId="0" borderId="0"/>
    <xf numFmtId="0" fontId="15" fillId="0" borderId="0"/>
    <xf numFmtId="0" fontId="90" fillId="0" borderId="0"/>
    <xf numFmtId="0" fontId="15" fillId="0" borderId="0"/>
    <xf numFmtId="0" fontId="15" fillId="0" borderId="0"/>
    <xf numFmtId="0" fontId="90" fillId="0" borderId="0"/>
    <xf numFmtId="0" fontId="24" fillId="0" borderId="0"/>
    <xf numFmtId="0" fontId="24" fillId="0" borderId="0"/>
    <xf numFmtId="0" fontId="2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200" fontId="160" fillId="0" borderId="0"/>
    <xf numFmtId="0" fontId="15" fillId="0" borderId="0"/>
    <xf numFmtId="0" fontId="24" fillId="0" borderId="0"/>
    <xf numFmtId="0" fontId="24" fillId="0" borderId="0"/>
    <xf numFmtId="0" fontId="2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4" fillId="0" borderId="0"/>
    <xf numFmtId="0" fontId="26" fillId="0" borderId="0"/>
    <xf numFmtId="0" fontId="15" fillId="0" borderId="0"/>
    <xf numFmtId="0" fontId="15" fillId="0" borderId="0"/>
    <xf numFmtId="0" fontId="24" fillId="0" borderId="0"/>
    <xf numFmtId="0" fontId="2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6" fillId="0" borderId="0"/>
    <xf numFmtId="0" fontId="67" fillId="0" borderId="0"/>
    <xf numFmtId="0" fontId="15" fillId="0" borderId="0"/>
    <xf numFmtId="0" fontId="6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0" borderId="0"/>
    <xf numFmtId="0" fontId="26" fillId="0" borderId="0"/>
    <xf numFmtId="0" fontId="15" fillId="0" borderId="0"/>
    <xf numFmtId="200" fontId="160" fillId="0" borderId="0"/>
    <xf numFmtId="0" fontId="15" fillId="0" borderId="0"/>
    <xf numFmtId="0" fontId="15" fillId="0" borderId="0"/>
    <xf numFmtId="0" fontId="15" fillId="0" borderId="0"/>
    <xf numFmtId="0" fontId="15" fillId="0" borderId="0"/>
    <xf numFmtId="0" fontId="15" fillId="0" borderId="0"/>
    <xf numFmtId="0" fontId="24" fillId="0" borderId="0"/>
    <xf numFmtId="0" fontId="15" fillId="0" borderId="0"/>
    <xf numFmtId="0" fontId="24" fillId="0" borderId="0"/>
    <xf numFmtId="0" fontId="15" fillId="0" borderId="0"/>
    <xf numFmtId="0" fontId="15" fillId="0" borderId="0"/>
    <xf numFmtId="0" fontId="15" fillId="0" borderId="0"/>
    <xf numFmtId="0" fontId="2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15" fillId="0" borderId="0"/>
    <xf numFmtId="0" fontId="92" fillId="0" borderId="0"/>
    <xf numFmtId="0" fontId="92" fillId="0" borderId="0"/>
    <xf numFmtId="0" fontId="26" fillId="0" borderId="0"/>
    <xf numFmtId="0" fontId="24" fillId="0" borderId="0"/>
    <xf numFmtId="0" fontId="26" fillId="0" borderId="0"/>
    <xf numFmtId="0" fontId="15" fillId="0" borderId="0"/>
    <xf numFmtId="0" fontId="72" fillId="130" borderId="0"/>
    <xf numFmtId="0" fontId="15" fillId="0" borderId="0"/>
    <xf numFmtId="0" fontId="24" fillId="0" borderId="0"/>
    <xf numFmtId="0" fontId="24" fillId="0" borderId="0"/>
    <xf numFmtId="0" fontId="72" fillId="130" borderId="0"/>
    <xf numFmtId="0" fontId="24" fillId="0" borderId="0"/>
    <xf numFmtId="0" fontId="54" fillId="0" borderId="0"/>
    <xf numFmtId="0" fontId="54" fillId="0" borderId="0"/>
    <xf numFmtId="0" fontId="26" fillId="0" borderId="0"/>
    <xf numFmtId="0" fontId="15" fillId="0" borderId="0"/>
    <xf numFmtId="0" fontId="15" fillId="0" borderId="0"/>
    <xf numFmtId="0" fontId="15" fillId="0" borderId="0"/>
    <xf numFmtId="0" fontId="15" fillId="0" borderId="0"/>
    <xf numFmtId="0" fontId="15" fillId="0" borderId="0"/>
    <xf numFmtId="0" fontId="15" fillId="0" borderId="0"/>
    <xf numFmtId="0" fontId="26" fillId="0" borderId="0"/>
    <xf numFmtId="0" fontId="26" fillId="0" borderId="0"/>
    <xf numFmtId="0" fontId="15" fillId="0" borderId="0"/>
    <xf numFmtId="0" fontId="15" fillId="0" borderId="0"/>
    <xf numFmtId="0" fontId="64" fillId="0" borderId="0"/>
    <xf numFmtId="0" fontId="15" fillId="0" borderId="0"/>
    <xf numFmtId="0" fontId="15" fillId="0" borderId="0"/>
    <xf numFmtId="0" fontId="160"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26" fillId="0" borderId="0"/>
    <xf numFmtId="0" fontId="2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4" fillId="0" borderId="0"/>
    <xf numFmtId="0" fontId="15" fillId="0" borderId="0"/>
    <xf numFmtId="0" fontId="15" fillId="0" borderId="0"/>
    <xf numFmtId="0" fontId="15" fillId="0" borderId="0"/>
    <xf numFmtId="0" fontId="15" fillId="0" borderId="0"/>
    <xf numFmtId="0" fontId="15" fillId="0" borderId="0"/>
    <xf numFmtId="0" fontId="15" fillId="0" borderId="0"/>
    <xf numFmtId="0" fontId="26" fillId="0" borderId="0"/>
    <xf numFmtId="0" fontId="15" fillId="0" borderId="0"/>
    <xf numFmtId="0" fontId="24" fillId="0" borderId="0"/>
    <xf numFmtId="0" fontId="15" fillId="0" borderId="0"/>
    <xf numFmtId="0" fontId="26" fillId="0" borderId="0"/>
    <xf numFmtId="0" fontId="26" fillId="0" borderId="0"/>
    <xf numFmtId="0" fontId="2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4" fillId="0" borderId="0"/>
    <xf numFmtId="0" fontId="24" fillId="0" borderId="0"/>
    <xf numFmtId="0" fontId="2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6" fillId="0" borderId="0"/>
    <xf numFmtId="0" fontId="26" fillId="0" borderId="0"/>
    <xf numFmtId="0" fontId="64" fillId="0" borderId="0"/>
    <xf numFmtId="0" fontId="15" fillId="0" borderId="0"/>
    <xf numFmtId="0" fontId="15" fillId="0" borderId="0"/>
    <xf numFmtId="0" fontId="15" fillId="0" borderId="0"/>
    <xf numFmtId="0" fontId="64" fillId="0" borderId="0"/>
    <xf numFmtId="0" fontId="15" fillId="0" borderId="0"/>
    <xf numFmtId="0" fontId="15" fillId="0" borderId="0"/>
    <xf numFmtId="0" fontId="64" fillId="0" borderId="0"/>
    <xf numFmtId="0" fontId="15" fillId="0" borderId="0"/>
    <xf numFmtId="0" fontId="15" fillId="0" borderId="0"/>
    <xf numFmtId="0" fontId="64" fillId="0" borderId="0"/>
    <xf numFmtId="0" fontId="15" fillId="0" borderId="0"/>
    <xf numFmtId="0" fontId="64" fillId="0" borderId="0"/>
    <xf numFmtId="0" fontId="15" fillId="0" borderId="0"/>
    <xf numFmtId="0" fontId="15" fillId="0" borderId="0"/>
    <xf numFmtId="0" fontId="64" fillId="0" borderId="0"/>
    <xf numFmtId="0" fontId="15" fillId="0" borderId="0"/>
    <xf numFmtId="0" fontId="15" fillId="0" borderId="0"/>
    <xf numFmtId="0" fontId="15" fillId="0" borderId="0"/>
    <xf numFmtId="0" fontId="15" fillId="0" borderId="0"/>
    <xf numFmtId="0" fontId="60" fillId="0" borderId="0"/>
    <xf numFmtId="0" fontId="24" fillId="0" borderId="0"/>
    <xf numFmtId="0" fontId="54" fillId="0" borderId="0"/>
    <xf numFmtId="0" fontId="15" fillId="0" borderId="0"/>
    <xf numFmtId="0" fontId="26" fillId="0" borderId="0"/>
    <xf numFmtId="0" fontId="26" fillId="0" borderId="0"/>
    <xf numFmtId="0" fontId="60" fillId="0" borderId="0"/>
    <xf numFmtId="0" fontId="15" fillId="0" borderId="0"/>
    <xf numFmtId="0" fontId="2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0" borderId="0"/>
    <xf numFmtId="0" fontId="15" fillId="0" borderId="0"/>
    <xf numFmtId="0" fontId="15" fillId="0" borderId="0"/>
    <xf numFmtId="0" fontId="15" fillId="0" borderId="0"/>
    <xf numFmtId="0" fontId="15" fillId="0" borderId="0"/>
    <xf numFmtId="0" fontId="15" fillId="0" borderId="0"/>
    <xf numFmtId="0" fontId="24" fillId="0" borderId="0"/>
    <xf numFmtId="0" fontId="15" fillId="0" borderId="0"/>
    <xf numFmtId="0" fontId="15" fillId="0" borderId="0"/>
    <xf numFmtId="0" fontId="24" fillId="0" borderId="0"/>
    <xf numFmtId="0" fontId="15" fillId="0" borderId="0"/>
    <xf numFmtId="0" fontId="15" fillId="0" borderId="0"/>
    <xf numFmtId="0" fontId="15" fillId="0" borderId="0"/>
    <xf numFmtId="0" fontId="15" fillId="0" borderId="0"/>
    <xf numFmtId="0" fontId="24" fillId="0" borderId="0"/>
    <xf numFmtId="0" fontId="24" fillId="0" borderId="0"/>
    <xf numFmtId="0" fontId="64" fillId="0" borderId="0"/>
    <xf numFmtId="0" fontId="54" fillId="0" borderId="0"/>
    <xf numFmtId="0" fontId="15" fillId="0" borderId="0"/>
    <xf numFmtId="0" fontId="24" fillId="0" borderId="0"/>
    <xf numFmtId="0" fontId="5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4" fillId="0" borderId="0"/>
    <xf numFmtId="0" fontId="24" fillId="0" borderId="0"/>
    <xf numFmtId="0" fontId="6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4" fillId="0" borderId="0"/>
    <xf numFmtId="0" fontId="60" fillId="0" borderId="0"/>
    <xf numFmtId="0" fontId="54" fillId="0" borderId="0"/>
    <xf numFmtId="0" fontId="26" fillId="0" borderId="0"/>
    <xf numFmtId="0" fontId="72" fillId="130" borderId="0"/>
    <xf numFmtId="0" fontId="60" fillId="0" borderId="0"/>
    <xf numFmtId="0" fontId="26" fillId="0" borderId="0"/>
    <xf numFmtId="0" fontId="6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6" fillId="0" borderId="0"/>
    <xf numFmtId="0" fontId="2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2" fillId="0" borderId="0"/>
    <xf numFmtId="0" fontId="15" fillId="0" borderId="0"/>
    <xf numFmtId="0" fontId="6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0" borderId="0"/>
    <xf numFmtId="0" fontId="26" fillId="0" borderId="0"/>
    <xf numFmtId="0" fontId="24"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0" borderId="0"/>
    <xf numFmtId="0" fontId="26" fillId="0" borderId="0"/>
    <xf numFmtId="0" fontId="15" fillId="0" borderId="0"/>
    <xf numFmtId="0" fontId="2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6" fillId="0" borderId="0"/>
    <xf numFmtId="0" fontId="26" fillId="0" borderId="0"/>
    <xf numFmtId="0" fontId="6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4" fillId="0" borderId="0"/>
    <xf numFmtId="0" fontId="15" fillId="0" borderId="0"/>
    <xf numFmtId="0" fontId="24" fillId="0" borderId="0"/>
    <xf numFmtId="0" fontId="26" fillId="0" borderId="0"/>
    <xf numFmtId="0" fontId="26" fillId="0" borderId="0"/>
    <xf numFmtId="0" fontId="6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4" fillId="0" borderId="0"/>
    <xf numFmtId="216"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4" fillId="0" borderId="0"/>
    <xf numFmtId="0" fontId="24" fillId="0" borderId="0"/>
    <xf numFmtId="0" fontId="54" fillId="0" borderId="0"/>
    <xf numFmtId="0" fontId="54" fillId="0" borderId="0"/>
    <xf numFmtId="0" fontId="54" fillId="0" borderId="0"/>
    <xf numFmtId="0" fontId="54" fillId="0" borderId="0"/>
    <xf numFmtId="0" fontId="26" fillId="0" borderId="0"/>
    <xf numFmtId="0" fontId="72" fillId="130" borderId="0"/>
    <xf numFmtId="0" fontId="72" fillId="130" borderId="0"/>
    <xf numFmtId="0" fontId="54" fillId="0" borderId="0"/>
    <xf numFmtId="0" fontId="54" fillId="0" borderId="0"/>
    <xf numFmtId="0" fontId="72" fillId="130" borderId="0"/>
    <xf numFmtId="0" fontId="72" fillId="130" borderId="0"/>
    <xf numFmtId="0" fontId="24" fillId="0" borderId="0"/>
    <xf numFmtId="0" fontId="54" fillId="0" borderId="0"/>
    <xf numFmtId="0" fontId="54" fillId="0" borderId="0"/>
    <xf numFmtId="216"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216" fontId="15" fillId="0" borderId="0"/>
    <xf numFmtId="216" fontId="15"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2" fillId="130" borderId="0"/>
    <xf numFmtId="0" fontId="72" fillId="130" borderId="0"/>
    <xf numFmtId="0" fontId="54" fillId="0" borderId="0"/>
    <xf numFmtId="0" fontId="54" fillId="0" borderId="0"/>
    <xf numFmtId="0" fontId="54" fillId="0" borderId="0"/>
    <xf numFmtId="0" fontId="24" fillId="0" borderId="0"/>
    <xf numFmtId="0" fontId="24" fillId="0" borderId="0"/>
    <xf numFmtId="0" fontId="5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4" fillId="0" borderId="0"/>
    <xf numFmtId="0" fontId="24" fillId="0" borderId="0"/>
    <xf numFmtId="0" fontId="24" fillId="0" borderId="0"/>
    <xf numFmtId="0" fontId="5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4" fillId="0" borderId="0"/>
    <xf numFmtId="0" fontId="24" fillId="0" borderId="0"/>
    <xf numFmtId="0" fontId="24"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4" fillId="0" borderId="0"/>
    <xf numFmtId="0" fontId="24" fillId="0" borderId="0"/>
    <xf numFmtId="0" fontId="24" fillId="0" borderId="0"/>
    <xf numFmtId="0" fontId="5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4" fillId="0" borderId="0"/>
    <xf numFmtId="0" fontId="5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4" fillId="0" borderId="0"/>
    <xf numFmtId="0" fontId="67" fillId="0" borderId="0"/>
    <xf numFmtId="0" fontId="64" fillId="0" borderId="0"/>
    <xf numFmtId="0" fontId="67" fillId="0" borderId="0"/>
    <xf numFmtId="0" fontId="138" fillId="0" borderId="0"/>
    <xf numFmtId="0" fontId="24" fillId="0" borderId="0"/>
    <xf numFmtId="0" fontId="24" fillId="0" borderId="0"/>
    <xf numFmtId="0" fontId="24" fillId="0" borderId="0"/>
    <xf numFmtId="0" fontId="15" fillId="0" borderId="0"/>
    <xf numFmtId="0" fontId="15" fillId="0" borderId="0"/>
    <xf numFmtId="0" fontId="15" fillId="0" borderId="0"/>
    <xf numFmtId="0" fontId="24" fillId="0" borderId="0"/>
    <xf numFmtId="0" fontId="64" fillId="0" borderId="0"/>
    <xf numFmtId="0" fontId="15" fillId="0" borderId="0"/>
    <xf numFmtId="0" fontId="15" fillId="0" borderId="0"/>
    <xf numFmtId="0" fontId="15" fillId="0" borderId="0"/>
    <xf numFmtId="0" fontId="24" fillId="0" borderId="0"/>
    <xf numFmtId="0" fontId="15" fillId="0" borderId="0"/>
    <xf numFmtId="0" fontId="15" fillId="0" borderId="0"/>
    <xf numFmtId="0" fontId="15" fillId="0" borderId="0"/>
    <xf numFmtId="0" fontId="24" fillId="0" borderId="0"/>
    <xf numFmtId="0" fontId="64" fillId="0" borderId="0"/>
    <xf numFmtId="0" fontId="15" fillId="0" borderId="0"/>
    <xf numFmtId="0" fontId="15" fillId="0" borderId="0"/>
    <xf numFmtId="0" fontId="15" fillId="0" borderId="0"/>
    <xf numFmtId="0" fontId="2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4" fillId="0" borderId="0"/>
    <xf numFmtId="0" fontId="6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0" borderId="0"/>
    <xf numFmtId="0" fontId="26" fillId="0" borderId="0"/>
    <xf numFmtId="0" fontId="6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0" borderId="0"/>
    <xf numFmtId="0" fontId="24" fillId="0" borderId="0"/>
    <xf numFmtId="0" fontId="26"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24" fillId="0" borderId="0"/>
    <xf numFmtId="0" fontId="67" fillId="0" borderId="0"/>
    <xf numFmtId="0" fontId="64" fillId="0" borderId="0"/>
    <xf numFmtId="0" fontId="6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6"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15"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5"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76" applyNumberFormat="0" applyAlignment="0">
      <alignment horizontal="center"/>
    </xf>
    <xf numFmtId="0" fontId="24" fillId="0" borderId="0"/>
    <xf numFmtId="0" fontId="24" fillId="0" borderId="0"/>
    <xf numFmtId="0" fontId="24" fillId="0" borderId="21" applyNumberFormat="0" applyAlignment="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9" fontId="24" fillId="0" borderId="21"/>
    <xf numFmtId="0" fontId="24" fillId="0" borderId="0"/>
    <xf numFmtId="0" fontId="24" fillId="0" borderId="0"/>
    <xf numFmtId="4" fontId="60" fillId="89" borderId="77" applyNumberFormat="0" applyProtection="0">
      <alignment horizontal="right" vertical="center"/>
    </xf>
    <xf numFmtId="0" fontId="24" fillId="0" borderId="0"/>
    <xf numFmtId="0" fontId="24" fillId="0" borderId="0"/>
    <xf numFmtId="4" fontId="60" fillId="78" borderId="77" applyNumberFormat="0" applyProtection="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2" fillId="13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21"/>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15" fillId="0" borderId="0"/>
    <xf numFmtId="0" fontId="26" fillId="0" borderId="0"/>
    <xf numFmtId="0" fontId="15" fillId="0" borderId="0"/>
    <xf numFmtId="0" fontId="15" fillId="0" borderId="0"/>
    <xf numFmtId="0" fontId="60" fillId="0" borderId="0"/>
    <xf numFmtId="0" fontId="15"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216" fontId="14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0" fillId="0" borderId="0"/>
    <xf numFmtId="0" fontId="24" fillId="0" borderId="0"/>
    <xf numFmtId="0" fontId="60"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xf numFmtId="0" fontId="64" fillId="0" borderId="0"/>
    <xf numFmtId="0" fontId="24" fillId="0" borderId="0"/>
    <xf numFmtId="0" fontId="24" fillId="0" borderId="0"/>
    <xf numFmtId="0" fontId="26" fillId="0" borderId="0"/>
    <xf numFmtId="0" fontId="64" fillId="0" borderId="0"/>
    <xf numFmtId="0" fontId="24" fillId="0" borderId="0"/>
    <xf numFmtId="0" fontId="24" fillId="0" borderId="0"/>
    <xf numFmtId="0" fontId="26" fillId="0" borderId="0"/>
    <xf numFmtId="0" fontId="64" fillId="0" borderId="0"/>
    <xf numFmtId="0" fontId="24" fillId="0" borderId="0"/>
    <xf numFmtId="0" fontId="24" fillId="0" borderId="0"/>
    <xf numFmtId="0" fontId="24" fillId="0" borderId="0"/>
    <xf numFmtId="0" fontId="24" fillId="0" borderId="0"/>
    <xf numFmtId="0" fontId="24" fillId="0" borderId="0"/>
    <xf numFmtId="0" fontId="26" fillId="0" borderId="0"/>
    <xf numFmtId="0" fontId="64" fillId="0" borderId="0"/>
    <xf numFmtId="0" fontId="24" fillId="0" borderId="0"/>
    <xf numFmtId="0" fontId="24" fillId="0" borderId="0"/>
    <xf numFmtId="0" fontId="26" fillId="0" borderId="0"/>
    <xf numFmtId="0" fontId="64" fillId="0" borderId="0"/>
    <xf numFmtId="0" fontId="24" fillId="0" borderId="0"/>
    <xf numFmtId="0" fontId="24" fillId="0" borderId="0"/>
    <xf numFmtId="0" fontId="26" fillId="0" borderId="0"/>
    <xf numFmtId="0" fontId="64" fillId="0" borderId="0"/>
    <xf numFmtId="0" fontId="24" fillId="0" borderId="0"/>
    <xf numFmtId="0" fontId="24" fillId="0" borderId="0"/>
    <xf numFmtId="0" fontId="26" fillId="0" borderId="0"/>
    <xf numFmtId="0" fontId="64" fillId="0" borderId="0"/>
    <xf numFmtId="0" fontId="24" fillId="0" borderId="0"/>
    <xf numFmtId="0" fontId="24" fillId="0" borderId="0"/>
    <xf numFmtId="0" fontId="26" fillId="0" borderId="0"/>
    <xf numFmtId="0" fontId="64" fillId="0" borderId="0"/>
    <xf numFmtId="0" fontId="24" fillId="0" borderId="0"/>
    <xf numFmtId="0" fontId="24" fillId="0" borderId="0"/>
    <xf numFmtId="0" fontId="26" fillId="0" borderId="0"/>
    <xf numFmtId="0" fontId="64" fillId="0" borderId="0"/>
    <xf numFmtId="0" fontId="24" fillId="0" borderId="0"/>
    <xf numFmtId="0" fontId="24" fillId="0" borderId="0"/>
    <xf numFmtId="0" fontId="26" fillId="0" borderId="0"/>
    <xf numFmtId="0" fontId="24" fillId="0" borderId="0"/>
    <xf numFmtId="0" fontId="24" fillId="0" borderId="0"/>
    <xf numFmtId="0" fontId="24" fillId="0" borderId="0"/>
    <xf numFmtId="0" fontId="26"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15" fillId="0" borderId="0"/>
    <xf numFmtId="0" fontId="24" fillId="0" borderId="0"/>
    <xf numFmtId="0" fontId="15" fillId="0" borderId="0"/>
    <xf numFmtId="0" fontId="24" fillId="0" borderId="0"/>
    <xf numFmtId="0" fontId="15" fillId="0" borderId="0"/>
    <xf numFmtId="0" fontId="15" fillId="0" borderId="0"/>
    <xf numFmtId="0" fontId="15" fillId="0" borderId="0"/>
    <xf numFmtId="0" fontId="24" fillId="0" borderId="0"/>
    <xf numFmtId="0" fontId="24" fillId="0" borderId="0"/>
    <xf numFmtId="0" fontId="15" fillId="0" borderId="0"/>
    <xf numFmtId="0" fontId="15" fillId="0" borderId="0"/>
    <xf numFmtId="0" fontId="15" fillId="0" borderId="0"/>
    <xf numFmtId="0" fontId="15" fillId="0" borderId="0"/>
    <xf numFmtId="0" fontId="15" fillId="0" borderId="0"/>
    <xf numFmtId="0" fontId="24" fillId="0" borderId="0"/>
    <xf numFmtId="0" fontId="24" fillId="0" borderId="0"/>
    <xf numFmtId="0" fontId="24" fillId="0" borderId="0"/>
    <xf numFmtId="0" fontId="15" fillId="0" borderId="0"/>
    <xf numFmtId="216" fontId="15" fillId="0" borderId="0"/>
    <xf numFmtId="0" fontId="24" fillId="0" borderId="0"/>
    <xf numFmtId="0" fontId="24" fillId="0" borderId="0"/>
    <xf numFmtId="0" fontId="15" fillId="0" borderId="0"/>
    <xf numFmtId="0" fontId="24" fillId="0" borderId="0"/>
    <xf numFmtId="0" fontId="15" fillId="0" borderId="0"/>
    <xf numFmtId="216"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15" fillId="0" borderId="0"/>
    <xf numFmtId="0" fontId="15" fillId="0" borderId="0"/>
    <xf numFmtId="0" fontId="24" fillId="0" borderId="0"/>
    <xf numFmtId="0" fontId="15" fillId="0" borderId="0"/>
    <xf numFmtId="0" fontId="15"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15" fillId="0" borderId="0"/>
    <xf numFmtId="0" fontId="15"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60"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216" fontId="15"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216" fontId="15" fillId="0" borderId="0"/>
    <xf numFmtId="0" fontId="15" fillId="0" borderId="0"/>
    <xf numFmtId="0" fontId="26"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60" fillId="0" borderId="0"/>
    <xf numFmtId="0" fontId="15" fillId="0" borderId="0"/>
    <xf numFmtId="0" fontId="15" fillId="0" borderId="0"/>
    <xf numFmtId="0" fontId="24" fillId="0" borderId="0"/>
    <xf numFmtId="0" fontId="24" fillId="0" borderId="0"/>
    <xf numFmtId="0" fontId="26" fillId="0" borderId="0"/>
    <xf numFmtId="0" fontId="64" fillId="0" borderId="0"/>
    <xf numFmtId="0" fontId="24" fillId="0" borderId="0"/>
    <xf numFmtId="0" fontId="24" fillId="0" borderId="0"/>
    <xf numFmtId="0" fontId="26" fillId="0" borderId="0"/>
    <xf numFmtId="0" fontId="24" fillId="0" borderId="0"/>
    <xf numFmtId="0" fontId="24" fillId="0" borderId="0"/>
    <xf numFmtId="0" fontId="24" fillId="0" borderId="0"/>
    <xf numFmtId="0" fontId="26" fillId="0" borderId="0"/>
    <xf numFmtId="0" fontId="64" fillId="0" borderId="0"/>
    <xf numFmtId="0" fontId="24" fillId="0" borderId="0"/>
    <xf numFmtId="0" fontId="24" fillId="0" borderId="0"/>
    <xf numFmtId="0" fontId="26" fillId="0" borderId="0"/>
    <xf numFmtId="0" fontId="24" fillId="0" borderId="0"/>
    <xf numFmtId="0" fontId="24" fillId="0" borderId="0"/>
    <xf numFmtId="0" fontId="24" fillId="0" borderId="0"/>
    <xf numFmtId="0" fontId="26" fillId="0" borderId="0"/>
    <xf numFmtId="0" fontId="64" fillId="0" borderId="0"/>
    <xf numFmtId="0" fontId="24" fillId="0" borderId="0"/>
    <xf numFmtId="0" fontId="24" fillId="0" borderId="0"/>
    <xf numFmtId="0" fontId="64" fillId="0" borderId="0"/>
    <xf numFmtId="0" fontId="24" fillId="0" borderId="0"/>
    <xf numFmtId="0" fontId="24" fillId="0" borderId="0"/>
    <xf numFmtId="0" fontId="64" fillId="0" borderId="0"/>
    <xf numFmtId="0" fontId="24" fillId="0" borderId="0"/>
    <xf numFmtId="0" fontId="24" fillId="0" borderId="0"/>
    <xf numFmtId="0" fontId="64" fillId="0" borderId="0"/>
    <xf numFmtId="0" fontId="24" fillId="0" borderId="0"/>
    <xf numFmtId="0" fontId="24" fillId="0" borderId="0"/>
    <xf numFmtId="0" fontId="26" fillId="0" borderId="0"/>
    <xf numFmtId="0" fontId="24" fillId="0" borderId="0"/>
    <xf numFmtId="0" fontId="24" fillId="0" borderId="0"/>
    <xf numFmtId="0" fontId="24" fillId="0" borderId="0"/>
    <xf numFmtId="0" fontId="26"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64" fillId="0" borderId="0"/>
    <xf numFmtId="0" fontId="24" fillId="0" borderId="0"/>
    <xf numFmtId="0" fontId="15" fillId="0" borderId="0"/>
    <xf numFmtId="0" fontId="24" fillId="0" borderId="0"/>
    <xf numFmtId="0" fontId="24" fillId="0" borderId="0"/>
    <xf numFmtId="0" fontId="15" fillId="0" borderId="0"/>
    <xf numFmtId="0" fontId="54" fillId="0" borderId="0"/>
    <xf numFmtId="0" fontId="24" fillId="0" borderId="0"/>
    <xf numFmtId="0" fontId="24" fillId="0" borderId="0"/>
    <xf numFmtId="0" fontId="24" fillId="0" borderId="0"/>
    <xf numFmtId="0" fontId="26" fillId="0" borderId="0"/>
    <xf numFmtId="0" fontId="15" fillId="0" borderId="0"/>
    <xf numFmtId="0" fontId="24" fillId="0" borderId="0"/>
    <xf numFmtId="0" fontId="24" fillId="0" borderId="0"/>
    <xf numFmtId="0" fontId="15" fillId="0" borderId="0"/>
    <xf numFmtId="0" fontId="26" fillId="0" borderId="0"/>
    <xf numFmtId="0" fontId="64" fillId="0" borderId="0"/>
    <xf numFmtId="0" fontId="24" fillId="0" borderId="0"/>
    <xf numFmtId="0" fontId="24"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15"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9" fontId="24" fillId="0" borderId="21"/>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15" fillId="0" borderId="0"/>
    <xf numFmtId="0" fontId="24" fillId="0" borderId="0"/>
    <xf numFmtId="0" fontId="64" fillId="0" borderId="0"/>
    <xf numFmtId="0" fontId="15" fillId="0" borderId="0"/>
    <xf numFmtId="49" fontId="24" fillId="0" borderId="21"/>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64" fillId="0" borderId="0"/>
    <xf numFmtId="0" fontId="24" fillId="0" borderId="0"/>
    <xf numFmtId="0" fontId="24" fillId="0" borderId="0"/>
    <xf numFmtId="0" fontId="54" fillId="0" borderId="0"/>
    <xf numFmtId="0" fontId="24" fillId="0" borderId="0"/>
    <xf numFmtId="0" fontId="15" fillId="0" borderId="0"/>
    <xf numFmtId="0" fontId="24" fillId="0" borderId="0"/>
    <xf numFmtId="0" fontId="24" fillId="0" borderId="0"/>
    <xf numFmtId="0" fontId="15" fillId="0" borderId="0"/>
    <xf numFmtId="0" fontId="26" fillId="0" borderId="0"/>
    <xf numFmtId="0" fontId="64" fillId="0" borderId="0"/>
    <xf numFmtId="0" fontId="24" fillId="0" borderId="0"/>
    <xf numFmtId="0" fontId="15" fillId="0" borderId="0"/>
    <xf numFmtId="0" fontId="64" fillId="0" borderId="0"/>
    <xf numFmtId="0" fontId="64" fillId="0" borderId="0"/>
    <xf numFmtId="0" fontId="24" fillId="0" borderId="0"/>
    <xf numFmtId="0" fontId="24" fillId="0" borderId="0"/>
    <xf numFmtId="0" fontId="54" fillId="0" borderId="0"/>
    <xf numFmtId="0" fontId="24" fillId="0" borderId="0"/>
    <xf numFmtId="0" fontId="15" fillId="0" borderId="0"/>
    <xf numFmtId="0" fontId="15" fillId="0" borderId="0"/>
    <xf numFmtId="0" fontId="64" fillId="0" borderId="0"/>
    <xf numFmtId="0" fontId="24" fillId="0" borderId="0"/>
    <xf numFmtId="0" fontId="24" fillId="0" borderId="0"/>
    <xf numFmtId="0" fontId="15" fillId="0" borderId="0"/>
    <xf numFmtId="0" fontId="64" fillId="0" borderId="0"/>
    <xf numFmtId="0" fontId="24" fillId="0" borderId="0"/>
    <xf numFmtId="0" fontId="64" fillId="0" borderId="0"/>
    <xf numFmtId="0" fontId="24" fillId="0" borderId="0"/>
    <xf numFmtId="0" fontId="24" fillId="0" borderId="0"/>
    <xf numFmtId="0" fontId="54" fillId="0" borderId="0"/>
    <xf numFmtId="0" fontId="24" fillId="0" borderId="0"/>
    <xf numFmtId="0" fontId="24" fillId="0" borderId="0"/>
    <xf numFmtId="0" fontId="15" fillId="0" borderId="0"/>
    <xf numFmtId="0" fontId="64" fillId="0" borderId="0"/>
    <xf numFmtId="0" fontId="64" fillId="0" borderId="0"/>
    <xf numFmtId="0" fontId="15" fillId="0" borderId="0"/>
    <xf numFmtId="0" fontId="24" fillId="0" borderId="0"/>
    <xf numFmtId="0" fontId="24" fillId="0" borderId="0"/>
    <xf numFmtId="0" fontId="64" fillId="0" borderId="0"/>
    <xf numFmtId="0" fontId="24" fillId="0" borderId="0"/>
    <xf numFmtId="0" fontId="24" fillId="0" borderId="0"/>
    <xf numFmtId="0" fontId="5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15" fillId="0" borderId="0"/>
    <xf numFmtId="0" fontId="64" fillId="0" borderId="0"/>
    <xf numFmtId="0" fontId="15" fillId="0" borderId="0"/>
    <xf numFmtId="0" fontId="15" fillId="0" borderId="0"/>
    <xf numFmtId="0" fontId="24" fillId="0" borderId="0"/>
    <xf numFmtId="0" fontId="15" fillId="0" borderId="0"/>
    <xf numFmtId="0" fontId="24" fillId="0" borderId="0"/>
    <xf numFmtId="0" fontId="64" fillId="0" borderId="0"/>
    <xf numFmtId="0" fontId="15" fillId="0" borderId="0"/>
    <xf numFmtId="0" fontId="24" fillId="0" borderId="0"/>
    <xf numFmtId="0" fontId="64" fillId="0" borderId="0"/>
    <xf numFmtId="0" fontId="15" fillId="0" borderId="0"/>
    <xf numFmtId="0" fontId="24" fillId="0" borderId="0"/>
    <xf numFmtId="0" fontId="64" fillId="0" borderId="0"/>
    <xf numFmtId="0" fontId="24" fillId="0" borderId="0"/>
    <xf numFmtId="0" fontId="24" fillId="0" borderId="0"/>
    <xf numFmtId="0" fontId="54" fillId="0" borderId="0"/>
    <xf numFmtId="0" fontId="24"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 fillId="70" borderId="72" applyNumberFormat="0" applyAlignment="0"/>
    <xf numFmtId="0" fontId="24" fillId="0" borderId="0"/>
    <xf numFmtId="0" fontId="24" fillId="0" borderId="0"/>
    <xf numFmtId="1" fontId="28" fillId="70" borderId="72" applyNumberFormat="0" applyAlignment="0">
      <alignment horizontal="left"/>
    </xf>
    <xf numFmtId="0" fontId="24" fillId="0" borderId="0"/>
    <xf numFmtId="0" fontId="24" fillId="0" borderId="0"/>
    <xf numFmtId="1" fontId="28" fillId="94" borderId="72" applyNumberFormat="0" applyAlignment="0">
      <alignment horizontal="center"/>
    </xf>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216"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6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15" fillId="0" borderId="0"/>
    <xf numFmtId="0" fontId="24" fillId="0" borderId="0"/>
    <xf numFmtId="0" fontId="15" fillId="0" borderId="0"/>
    <xf numFmtId="0" fontId="24" fillId="0" borderId="0"/>
    <xf numFmtId="0" fontId="24" fillId="0" borderId="0"/>
    <xf numFmtId="0" fontId="24" fillId="0" borderId="76" applyNumberFormat="0" applyAlignment="0">
      <alignment horizont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3" fontId="132" fillId="0" borderId="75"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64" fillId="0" borderId="0"/>
    <xf numFmtId="0" fontId="24" fillId="0" borderId="0"/>
    <xf numFmtId="0" fontId="24" fillId="0" borderId="0"/>
    <xf numFmtId="0" fontId="24" fillId="0" borderId="0"/>
    <xf numFmtId="0" fontId="15" fillId="0" borderId="0"/>
    <xf numFmtId="0" fontId="24" fillId="0" borderId="0"/>
    <xf numFmtId="0" fontId="15" fillId="0" borderId="0"/>
    <xf numFmtId="0" fontId="15" fillId="0" borderId="0"/>
    <xf numFmtId="0" fontId="15" fillId="0" borderId="0"/>
    <xf numFmtId="0" fontId="24" fillId="0" borderId="0"/>
    <xf numFmtId="0" fontId="15" fillId="0" borderId="0"/>
    <xf numFmtId="0" fontId="24" fillId="0" borderId="0"/>
    <xf numFmtId="0" fontId="72" fillId="130" borderId="0"/>
    <xf numFmtId="0" fontId="24" fillId="0" borderId="0"/>
    <xf numFmtId="0" fontId="24" fillId="0" borderId="0"/>
    <xf numFmtId="0" fontId="60" fillId="0" borderId="0"/>
    <xf numFmtId="0" fontId="24" fillId="0" borderId="0"/>
    <xf numFmtId="0" fontId="24" fillId="0" borderId="0"/>
    <xf numFmtId="0" fontId="24" fillId="0" borderId="0"/>
    <xf numFmtId="0" fontId="64" fillId="0" borderId="0"/>
    <xf numFmtId="0" fontId="24" fillId="0" borderId="0"/>
    <xf numFmtId="0" fontId="24" fillId="0" borderId="0"/>
    <xf numFmtId="0" fontId="24" fillId="0" borderId="0"/>
    <xf numFmtId="0" fontId="24" fillId="0" borderId="0"/>
    <xf numFmtId="0" fontId="15" fillId="0" borderId="0"/>
    <xf numFmtId="0" fontId="15" fillId="0" borderId="0"/>
    <xf numFmtId="0" fontId="60" fillId="0" borderId="0"/>
    <xf numFmtId="0" fontId="24" fillId="0" borderId="0"/>
    <xf numFmtId="0" fontId="24" fillId="0" borderId="0"/>
    <xf numFmtId="0" fontId="15" fillId="0" borderId="0"/>
    <xf numFmtId="0" fontId="15" fillId="0" borderId="0"/>
    <xf numFmtId="0" fontId="24" fillId="0" borderId="0"/>
    <xf numFmtId="0" fontId="72" fillId="130" borderId="0"/>
    <xf numFmtId="216" fontId="24" fillId="0" borderId="0"/>
    <xf numFmtId="0" fontId="24" fillId="0" borderId="0"/>
    <xf numFmtId="0" fontId="24" fillId="0" borderId="0"/>
    <xf numFmtId="0" fontId="24" fillId="0" borderId="0"/>
    <xf numFmtId="0" fontId="24" fillId="0" borderId="0"/>
    <xf numFmtId="0" fontId="60" fillId="0" borderId="0"/>
    <xf numFmtId="0" fontId="24" fillId="0" borderId="0"/>
    <xf numFmtId="0" fontId="15" fillId="0" borderId="0"/>
    <xf numFmtId="0" fontId="24" fillId="0" borderId="0"/>
    <xf numFmtId="0" fontId="15" fillId="0" borderId="0"/>
    <xf numFmtId="0" fontId="24" fillId="0" borderId="0"/>
    <xf numFmtId="0" fontId="24" fillId="0" borderId="0"/>
    <xf numFmtId="0" fontId="15" fillId="0" borderId="0"/>
    <xf numFmtId="0" fontId="24" fillId="0" borderId="0"/>
    <xf numFmtId="0" fontId="15" fillId="0" borderId="0"/>
    <xf numFmtId="0" fontId="24" fillId="0" borderId="0"/>
    <xf numFmtId="0" fontId="24" fillId="0" borderId="0"/>
    <xf numFmtId="0" fontId="24" fillId="0" borderId="0"/>
    <xf numFmtId="0" fontId="24"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24" fillId="0" borderId="0"/>
    <xf numFmtId="0" fontId="15" fillId="0" borderId="0"/>
    <xf numFmtId="0" fontId="15" fillId="0" borderId="0"/>
    <xf numFmtId="0" fontId="15" fillId="0" borderId="0"/>
    <xf numFmtId="0" fontId="24" fillId="0" borderId="0"/>
    <xf numFmtId="0" fontId="15" fillId="0" borderId="0"/>
    <xf numFmtId="0" fontId="15" fillId="0" borderId="0"/>
    <xf numFmtId="0" fontId="24" fillId="0" borderId="0"/>
    <xf numFmtId="0" fontId="24" fillId="0" borderId="0"/>
    <xf numFmtId="0" fontId="15" fillId="0" borderId="0"/>
    <xf numFmtId="0" fontId="24" fillId="0" borderId="0"/>
    <xf numFmtId="0" fontId="15" fillId="0" borderId="0"/>
    <xf numFmtId="0" fontId="64" fillId="0" borderId="0"/>
    <xf numFmtId="0" fontId="15" fillId="0" borderId="0"/>
    <xf numFmtId="0" fontId="15" fillId="0" borderId="0"/>
    <xf numFmtId="0" fontId="24" fillId="0" borderId="0"/>
    <xf numFmtId="0" fontId="15" fillId="0" borderId="0"/>
    <xf numFmtId="0" fontId="15" fillId="0" borderId="0"/>
    <xf numFmtId="0" fontId="5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6"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6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15" fillId="0" borderId="0"/>
    <xf numFmtId="0" fontId="24" fillId="0" borderId="0"/>
    <xf numFmtId="0" fontId="15" fillId="0" borderId="0"/>
    <xf numFmtId="0" fontId="60"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60" fillId="0" borderId="0"/>
    <xf numFmtId="0" fontId="54" fillId="0" borderId="0"/>
    <xf numFmtId="0" fontId="72" fillId="13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15" fillId="0" borderId="0"/>
    <xf numFmtId="0" fontId="24" fillId="0" borderId="0"/>
    <xf numFmtId="0" fontId="15" fillId="0" borderId="0"/>
    <xf numFmtId="0" fontId="15" fillId="0" borderId="0"/>
    <xf numFmtId="0" fontId="15" fillId="0" borderId="0"/>
    <xf numFmtId="0" fontId="24" fillId="0" borderId="0"/>
    <xf numFmtId="0" fontId="15" fillId="0" borderId="0"/>
    <xf numFmtId="0" fontId="15" fillId="0" borderId="0"/>
    <xf numFmtId="0" fontId="15" fillId="0" borderId="0"/>
    <xf numFmtId="0" fontId="64" fillId="0" borderId="0"/>
    <xf numFmtId="0" fontId="15" fillId="0" borderId="0"/>
    <xf numFmtId="0" fontId="15" fillId="0" borderId="0"/>
    <xf numFmtId="0" fontId="15" fillId="0" borderId="0"/>
    <xf numFmtId="0" fontId="64" fillId="0" borderId="0"/>
    <xf numFmtId="0" fontId="15" fillId="0" borderId="0"/>
    <xf numFmtId="0" fontId="15" fillId="0" borderId="0"/>
    <xf numFmtId="0" fontId="15" fillId="0" borderId="0"/>
    <xf numFmtId="0" fontId="64" fillId="0" borderId="0"/>
    <xf numFmtId="0" fontId="15" fillId="0" borderId="0"/>
    <xf numFmtId="0" fontId="15"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24" fillId="0" borderId="0"/>
    <xf numFmtId="0" fontId="24" fillId="0" borderId="0"/>
    <xf numFmtId="0" fontId="72" fillId="130" borderId="0"/>
    <xf numFmtId="0" fontId="24" fillId="0" borderId="0"/>
    <xf numFmtId="0" fontId="24" fillId="0" borderId="0"/>
    <xf numFmtId="0" fontId="24" fillId="0" borderId="0"/>
    <xf numFmtId="0" fontId="24" fillId="0" borderId="0"/>
    <xf numFmtId="0" fontId="24" fillId="0" borderId="0"/>
    <xf numFmtId="0" fontId="72" fillId="130" borderId="0"/>
    <xf numFmtId="0" fontId="24" fillId="0" borderId="0"/>
    <xf numFmtId="0" fontId="72" fillId="130" borderId="0"/>
    <xf numFmtId="0" fontId="24" fillId="0" borderId="0"/>
    <xf numFmtId="0" fontId="24" fillId="0" borderId="0"/>
    <xf numFmtId="0" fontId="2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6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15" fillId="0" borderId="0"/>
    <xf numFmtId="0" fontId="15" fillId="0" borderId="0"/>
    <xf numFmtId="0" fontId="64" fillId="0" borderId="0"/>
    <xf numFmtId="0" fontId="15" fillId="0" borderId="0"/>
    <xf numFmtId="0" fontId="64" fillId="0" borderId="0"/>
    <xf numFmtId="0" fontId="15" fillId="0" borderId="0"/>
    <xf numFmtId="0" fontId="6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4" fillId="67" borderId="35" applyNumberFormat="0" applyFont="0" applyAlignment="0" applyProtection="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15" fillId="11" borderId="18" applyNumberFormat="0" applyFont="0" applyAlignment="0" applyProtection="0"/>
    <xf numFmtId="0" fontId="15" fillId="11" borderId="18" applyNumberFormat="0" applyFont="0" applyAlignment="0" applyProtection="0"/>
    <xf numFmtId="0" fontId="24" fillId="0" borderId="0"/>
    <xf numFmtId="0" fontId="15" fillId="11" borderId="18" applyNumberFormat="0" applyFont="0" applyAlignment="0" applyProtection="0"/>
    <xf numFmtId="0" fontId="24" fillId="40" borderId="35"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72" fillId="67" borderId="54" applyNumberFormat="0" applyFont="0" applyAlignment="0" applyProtection="0"/>
    <xf numFmtId="0" fontId="60" fillId="40" borderId="35" applyNumberFormat="0" applyFont="0" applyAlignment="0" applyProtection="0"/>
    <xf numFmtId="0" fontId="24" fillId="0" borderId="0"/>
    <xf numFmtId="0" fontId="24" fillId="0" borderId="0"/>
    <xf numFmtId="0" fontId="72" fillId="67" borderId="54" applyNumberFormat="0" applyFont="0" applyAlignment="0" applyProtection="0"/>
    <xf numFmtId="0" fontId="60" fillId="40" borderId="35" applyNumberFormat="0" applyFont="0" applyAlignment="0" applyProtection="0"/>
    <xf numFmtId="0" fontId="24" fillId="0" borderId="0"/>
    <xf numFmtId="0" fontId="15" fillId="11" borderId="18" applyNumberFormat="0" applyFont="0" applyAlignment="0" applyProtection="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54" fillId="11" borderId="18" applyNumberFormat="0" applyFont="0" applyAlignment="0" applyProtection="0"/>
    <xf numFmtId="0" fontId="60" fillId="40" borderId="35" applyNumberFormat="0" applyFont="0" applyAlignment="0" applyProtection="0"/>
    <xf numFmtId="0" fontId="24" fillId="0" borderId="0"/>
    <xf numFmtId="0" fontId="15" fillId="11" borderId="18" applyNumberFormat="0" applyFont="0" applyAlignment="0" applyProtection="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40" borderId="35" applyNumberFormat="0" applyFont="0" applyAlignment="0" applyProtection="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15"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72" fillId="67" borderId="54"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15"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15" fillId="11" borderId="18" applyNumberFormat="0" applyFont="0" applyAlignment="0" applyProtection="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15"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24" fillId="40" borderId="22" applyNumberFormat="0" applyFont="0" applyAlignment="0" applyProtection="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40" borderId="22"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72" fillId="67" borderId="54" applyNumberFormat="0" applyFont="0" applyAlignment="0" applyProtection="0"/>
    <xf numFmtId="0" fontId="24" fillId="0" borderId="0"/>
    <xf numFmtId="0" fontId="24" fillId="0" borderId="0"/>
    <xf numFmtId="0" fontId="54" fillId="11" borderId="18" applyNumberFormat="0" applyFont="0" applyAlignment="0" applyProtection="0"/>
    <xf numFmtId="0" fontId="15"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24" fillId="40" borderId="22" applyNumberFormat="0" applyFont="0" applyAlignment="0" applyProtection="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24" fillId="40" borderId="22" applyNumberFormat="0" applyFont="0" applyAlignment="0" applyProtection="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24" fillId="40" borderId="22" applyNumberFormat="0" applyFont="0" applyAlignment="0" applyProtection="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15" fillId="11" borderId="18" applyNumberFormat="0" applyFont="0" applyAlignment="0" applyProtection="0"/>
    <xf numFmtId="0" fontId="24" fillId="0" borderId="0"/>
    <xf numFmtId="0" fontId="24" fillId="0" borderId="0"/>
    <xf numFmtId="0" fontId="24" fillId="0" borderId="0"/>
    <xf numFmtId="0" fontId="54" fillId="11" borderId="18" applyNumberFormat="0" applyFont="0" applyAlignment="0" applyProtection="0"/>
    <xf numFmtId="0" fontId="24" fillId="0" borderId="0"/>
    <xf numFmtId="0" fontId="24" fillId="0" borderId="0"/>
    <xf numFmtId="0" fontId="94" fillId="122" borderId="36" applyNumberFormat="0" applyAlignment="0" applyProtection="0"/>
    <xf numFmtId="0" fontId="24" fillId="0" borderId="0"/>
    <xf numFmtId="0" fontId="24" fillId="0" borderId="0"/>
    <xf numFmtId="0" fontId="24" fillId="0" borderId="0"/>
    <xf numFmtId="0" fontId="24" fillId="0" borderId="0"/>
    <xf numFmtId="0" fontId="94" fillId="123" borderId="36" applyNumberFormat="0" applyAlignment="0" applyProtection="0"/>
    <xf numFmtId="0" fontId="94" fillId="49" borderId="36" applyNumberFormat="0" applyAlignment="0" applyProtection="0"/>
    <xf numFmtId="0" fontId="24" fillId="0" borderId="0"/>
    <xf numFmtId="0" fontId="94" fillId="123" borderId="36" applyNumberFormat="0" applyAlignment="0" applyProtection="0"/>
    <xf numFmtId="0" fontId="94" fillId="49" borderId="36" applyNumberFormat="0" applyAlignment="0" applyProtection="0"/>
    <xf numFmtId="0" fontId="24" fillId="0" borderId="0"/>
    <xf numFmtId="0" fontId="24" fillId="0" borderId="0"/>
    <xf numFmtId="0" fontId="94" fillId="49" borderId="36" applyNumberFormat="0" applyAlignment="0" applyProtection="0"/>
    <xf numFmtId="0" fontId="24" fillId="0" borderId="0"/>
    <xf numFmtId="0" fontId="24" fillId="0" borderId="0"/>
    <xf numFmtId="0" fontId="24" fillId="0" borderId="0"/>
    <xf numFmtId="0" fontId="94" fillId="42" borderId="36" applyNumberFormat="0" applyAlignment="0" applyProtection="0"/>
    <xf numFmtId="0" fontId="40" fillId="9" borderId="15" applyNumberForma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0" fillId="9" borderId="15" applyNumberFormat="0" applyAlignment="0" applyProtection="0"/>
    <xf numFmtId="0" fontId="24" fillId="0" borderId="0"/>
    <xf numFmtId="0" fontId="24" fillId="0" borderId="0"/>
    <xf numFmtId="10" fontId="24" fillId="0" borderId="0" applyFont="0" applyFill="0" applyBorder="0" applyAlignment="0" applyProtection="0"/>
    <xf numFmtId="0" fontId="24" fillId="0" borderId="0"/>
    <xf numFmtId="0" fontId="24" fillId="0" borderId="0"/>
    <xf numFmtId="10" fontId="24" fillId="0" borderId="0" applyFont="0" applyFill="0" applyBorder="0" applyAlignment="0" applyProtection="0"/>
    <xf numFmtId="0" fontId="24" fillId="0" borderId="0"/>
    <xf numFmtId="0" fontId="24" fillId="0" borderId="0"/>
    <xf numFmtId="0" fontId="24" fillId="0" borderId="0"/>
    <xf numFmtId="10"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9" fontId="64" fillId="0" borderId="0" applyFont="0" applyFill="0" applyBorder="0" applyAlignment="0" applyProtection="0"/>
    <xf numFmtId="9" fontId="24" fillId="0" borderId="0" applyFont="0" applyFill="0" applyBorder="0" applyAlignment="0" applyProtection="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9" fontId="26" fillId="0" borderId="0" applyFont="0" applyFill="0" applyBorder="0" applyAlignment="0" applyProtection="0"/>
    <xf numFmtId="0" fontId="24" fillId="0" borderId="0"/>
    <xf numFmtId="9" fontId="24" fillId="0" borderId="0" applyFont="0" applyFill="0" applyBorder="0" applyAlignment="0" applyProtection="0"/>
    <xf numFmtId="9" fontId="15" fillId="0" borderId="0" applyFont="0" applyFill="0" applyBorder="0" applyAlignment="0" applyProtection="0"/>
    <xf numFmtId="0" fontId="24" fillId="0" borderId="0"/>
    <xf numFmtId="0" fontId="24" fillId="0" borderId="0"/>
    <xf numFmtId="9" fontId="26" fillId="0" borderId="0" applyFont="0" applyFill="0" applyBorder="0" applyAlignment="0" applyProtection="0"/>
    <xf numFmtId="0" fontId="24" fillId="0" borderId="0"/>
    <xf numFmtId="0" fontId="24" fillId="0" borderId="0"/>
    <xf numFmtId="0" fontId="24" fillId="0" borderId="0"/>
    <xf numFmtId="9" fontId="26"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9" fontId="26" fillId="0" borderId="0" applyFont="0" applyFill="0" applyBorder="0" applyAlignment="0" applyProtection="0"/>
    <xf numFmtId="0" fontId="24" fillId="0" borderId="0"/>
    <xf numFmtId="9" fontId="64" fillId="0" borderId="0" applyFont="0" applyFill="0" applyBorder="0" applyAlignment="0" applyProtection="0"/>
    <xf numFmtId="9" fontId="15"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9" fontId="26"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9" fontId="26"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6"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9" fontId="26" fillId="0" borderId="0" applyFont="0" applyFill="0" applyBorder="0" applyAlignment="0" applyProtection="0"/>
    <xf numFmtId="0" fontId="24" fillId="0" borderId="0"/>
    <xf numFmtId="9" fontId="6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9" fontId="26"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9" fontId="26"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9" fontId="26"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9" fontId="26"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9" fontId="60" fillId="0" borderId="0" applyFont="0" applyFill="0" applyBorder="0" applyAlignment="0" applyProtection="0"/>
    <xf numFmtId="9" fontId="24" fillId="0" borderId="0" applyFont="0" applyFill="0" applyBorder="0" applyAlignment="0" applyProtection="0"/>
    <xf numFmtId="0" fontId="24" fillId="0" borderId="0"/>
    <xf numFmtId="9" fontId="26" fillId="0" borderId="0" applyFont="0" applyFill="0" applyBorder="0" applyAlignment="0" applyProtection="0"/>
    <xf numFmtId="0" fontId="24" fillId="0" borderId="0"/>
    <xf numFmtId="9" fontId="6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9" fontId="6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9" fontId="15" fillId="0" borderId="0" applyFont="0" applyFill="0" applyBorder="0" applyAlignment="0" applyProtection="0"/>
    <xf numFmtId="0" fontId="24" fillId="0" borderId="0"/>
    <xf numFmtId="0" fontId="24" fillId="0" borderId="0"/>
    <xf numFmtId="0" fontId="24" fillId="0" borderId="0"/>
    <xf numFmtId="9" fontId="54" fillId="0" borderId="0" applyFont="0" applyFill="0" applyBorder="0" applyAlignment="0" applyProtection="0"/>
    <xf numFmtId="9" fontId="15" fillId="0" borderId="0" applyFont="0" applyFill="0" applyBorder="0" applyAlignment="0" applyProtection="0"/>
    <xf numFmtId="0" fontId="24" fillId="0" borderId="0"/>
    <xf numFmtId="0" fontId="24" fillId="0" borderId="0"/>
    <xf numFmtId="9" fontId="5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9" fontId="26" fillId="0" borderId="0" applyFont="0" applyFill="0" applyBorder="0" applyAlignment="0" applyProtection="0"/>
    <xf numFmtId="0" fontId="24" fillId="0" borderId="0"/>
    <xf numFmtId="0" fontId="24" fillId="0" borderId="0"/>
    <xf numFmtId="0" fontId="24" fillId="0" borderId="0"/>
    <xf numFmtId="9" fontId="26"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9" fontId="26"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6" fillId="0" borderId="0" applyFont="0" applyFill="0" applyBorder="0" applyAlignment="0" applyProtection="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6" fillId="0" borderId="0" applyFont="0" applyFill="0" applyBorder="0" applyAlignment="0" applyProtection="0"/>
    <xf numFmtId="0" fontId="24" fillId="0" borderId="0"/>
    <xf numFmtId="9" fontId="26"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9" fontId="6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6"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9" fontId="6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9" fontId="54" fillId="0" borderId="0" applyFont="0" applyFill="0" applyBorder="0" applyAlignment="0" applyProtection="0"/>
    <xf numFmtId="0" fontId="24" fillId="0" borderId="0"/>
    <xf numFmtId="0" fontId="24" fillId="0" borderId="0"/>
    <xf numFmtId="9" fontId="54" fillId="0" borderId="0" applyFont="0" applyFill="0" applyBorder="0" applyAlignment="0" applyProtection="0"/>
    <xf numFmtId="0" fontId="24" fillId="0" borderId="0"/>
    <xf numFmtId="0" fontId="24" fillId="0" borderId="0"/>
    <xf numFmtId="0" fontId="24" fillId="0" borderId="0"/>
    <xf numFmtId="9" fontId="54" fillId="0" borderId="0" applyFont="0" applyFill="0" applyBorder="0" applyAlignment="0" applyProtection="0"/>
    <xf numFmtId="0" fontId="24" fillId="0" borderId="0"/>
    <xf numFmtId="0" fontId="24" fillId="0" borderId="0"/>
    <xf numFmtId="0" fontId="24" fillId="0" borderId="0"/>
    <xf numFmtId="9" fontId="5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9" fontId="54" fillId="0" borderId="0" applyFont="0" applyFill="0" applyBorder="0" applyAlignment="0" applyProtection="0"/>
    <xf numFmtId="0" fontId="24" fillId="0" borderId="0"/>
    <xf numFmtId="0" fontId="24" fillId="0" borderId="0"/>
    <xf numFmtId="9" fontId="54" fillId="0" borderId="0" applyFont="0" applyFill="0" applyBorder="0" applyAlignment="0" applyProtection="0"/>
    <xf numFmtId="0" fontId="24" fillId="0" borderId="0"/>
    <xf numFmtId="0" fontId="24" fillId="0" borderId="0"/>
    <xf numFmtId="0" fontId="24" fillId="0" borderId="0"/>
    <xf numFmtId="9" fontId="54" fillId="0" borderId="0" applyFont="0" applyFill="0" applyBorder="0" applyAlignment="0" applyProtection="0"/>
    <xf numFmtId="0" fontId="24" fillId="0" borderId="0"/>
    <xf numFmtId="0" fontId="24" fillId="0" borderId="0"/>
    <xf numFmtId="0" fontId="24" fillId="0" borderId="0"/>
    <xf numFmtId="9" fontId="5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9" fontId="26"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9" fontId="26"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9" fontId="6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9" fontId="26" fillId="0" borderId="0" applyFont="0" applyFill="0" applyBorder="0" applyAlignment="0" applyProtection="0"/>
    <xf numFmtId="0" fontId="24" fillId="0" borderId="0"/>
    <xf numFmtId="0" fontId="24" fillId="0" borderId="0"/>
    <xf numFmtId="0" fontId="24" fillId="0" borderId="0"/>
    <xf numFmtId="9" fontId="26" fillId="0" borderId="0" applyFont="0" applyFill="0" applyBorder="0" applyAlignment="0" applyProtection="0"/>
    <xf numFmtId="0" fontId="24" fillId="0" borderId="0"/>
    <xf numFmtId="0" fontId="24" fillId="0" borderId="0"/>
    <xf numFmtId="9" fontId="54" fillId="0" borderId="0" applyFont="0" applyFill="0" applyBorder="0" applyAlignment="0" applyProtection="0"/>
    <xf numFmtId="0" fontId="24" fillId="0" borderId="0"/>
    <xf numFmtId="9" fontId="15" fillId="0" borderId="0" applyFont="0" applyFill="0" applyBorder="0" applyAlignment="0" applyProtection="0"/>
    <xf numFmtId="0" fontId="24" fillId="0" borderId="0"/>
    <xf numFmtId="9" fontId="15" fillId="0" borderId="0" applyFont="0" applyFill="0" applyBorder="0" applyAlignment="0" applyProtection="0"/>
    <xf numFmtId="0" fontId="24" fillId="0" borderId="0"/>
    <xf numFmtId="0" fontId="24" fillId="0" borderId="0"/>
    <xf numFmtId="0" fontId="24" fillId="0" borderId="0"/>
    <xf numFmtId="9" fontId="54" fillId="0" borderId="0" applyFont="0" applyFill="0" applyBorder="0" applyAlignment="0" applyProtection="0"/>
    <xf numFmtId="0" fontId="24" fillId="0" borderId="0"/>
    <xf numFmtId="0" fontId="24" fillId="0" borderId="0"/>
    <xf numFmtId="0" fontId="24" fillId="0" borderId="0"/>
    <xf numFmtId="9" fontId="54" fillId="0" borderId="0" applyFont="0" applyFill="0" applyBorder="0" applyAlignment="0" applyProtection="0"/>
    <xf numFmtId="0" fontId="24" fillId="0" borderId="0"/>
    <xf numFmtId="0" fontId="24" fillId="0" borderId="0"/>
    <xf numFmtId="0" fontId="24" fillId="0" borderId="0"/>
    <xf numFmtId="9" fontId="54" fillId="0" borderId="0" applyFont="0" applyFill="0" applyBorder="0" applyAlignment="0" applyProtection="0"/>
    <xf numFmtId="9" fontId="64" fillId="0" borderId="0" applyFont="0" applyFill="0" applyBorder="0" applyAlignment="0" applyProtection="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xf numFmtId="9" fontId="15" fillId="0" borderId="0" applyFont="0" applyFill="0" applyBorder="0" applyAlignment="0" applyProtection="0"/>
    <xf numFmtId="9" fontId="24" fillId="0" borderId="0" applyFont="0" applyFill="0" applyBorder="0" applyAlignment="0" applyProtection="0"/>
    <xf numFmtId="9" fontId="15" fillId="0" borderId="0" applyFont="0" applyFill="0" applyBorder="0" applyAlignment="0" applyProtection="0"/>
    <xf numFmtId="0" fontId="24" fillId="0" borderId="0"/>
    <xf numFmtId="0" fontId="24" fillId="0" borderId="0"/>
    <xf numFmtId="0" fontId="24" fillId="0" borderId="0"/>
    <xf numFmtId="0" fontId="24" fillId="0" borderId="0"/>
    <xf numFmtId="9" fontId="26"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6" fillId="0" borderId="0" applyFont="0" applyFill="0" applyBorder="0" applyAlignment="0" applyProtection="0"/>
    <xf numFmtId="0" fontId="24" fillId="0" borderId="0"/>
    <xf numFmtId="0" fontId="24" fillId="0" borderId="0"/>
    <xf numFmtId="0" fontId="24" fillId="0" borderId="0"/>
    <xf numFmtId="9" fontId="26" fillId="0" borderId="0" applyFont="0" applyFill="0" applyBorder="0" applyAlignment="0" applyProtection="0"/>
    <xf numFmtId="0" fontId="24" fillId="0" borderId="0"/>
    <xf numFmtId="0" fontId="24" fillId="0" borderId="0"/>
    <xf numFmtId="0" fontId="24" fillId="0" borderId="0"/>
    <xf numFmtId="9" fontId="26" fillId="0" borderId="0" applyFont="0" applyFill="0" applyBorder="0" applyAlignment="0" applyProtection="0"/>
    <xf numFmtId="0" fontId="24" fillId="0" borderId="0"/>
    <xf numFmtId="0" fontId="24" fillId="0" borderId="0"/>
    <xf numFmtId="0" fontId="24" fillId="0" borderId="0"/>
    <xf numFmtId="9" fontId="54" fillId="0" borderId="0" applyFont="0" applyFill="0" applyBorder="0" applyAlignment="0" applyProtection="0"/>
    <xf numFmtId="0" fontId="24" fillId="0" borderId="0"/>
    <xf numFmtId="0" fontId="24" fillId="0" borderId="0"/>
    <xf numFmtId="0" fontId="24" fillId="0" borderId="0"/>
    <xf numFmtId="9" fontId="54" fillId="0" borderId="0" applyFont="0" applyFill="0" applyBorder="0" applyAlignment="0" applyProtection="0"/>
    <xf numFmtId="9" fontId="6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9" fontId="5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9" fontId="72" fillId="0" borderId="0" applyFont="0" applyFill="0" applyBorder="0" applyAlignment="0" applyProtection="0"/>
    <xf numFmtId="9" fontId="26"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9" fontId="54"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9" fontId="54" fillId="0" borderId="0" applyFont="0" applyFill="0" applyBorder="0" applyAlignment="0" applyProtection="0"/>
    <xf numFmtId="9" fontId="64" fillId="0" borderId="0" applyFont="0" applyFill="0" applyBorder="0" applyAlignment="0" applyProtection="0"/>
    <xf numFmtId="0" fontId="24" fillId="0" borderId="0"/>
    <xf numFmtId="0" fontId="24" fillId="0" borderId="0"/>
    <xf numFmtId="0" fontId="24" fillId="0" borderId="0"/>
    <xf numFmtId="9" fontId="54" fillId="0" borderId="0" applyFont="0" applyFill="0" applyBorder="0" applyAlignment="0" applyProtection="0"/>
    <xf numFmtId="0" fontId="24" fillId="0" borderId="0"/>
    <xf numFmtId="0" fontId="24" fillId="0" borderId="0"/>
    <xf numFmtId="9" fontId="54"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9" fontId="6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207" fontId="96" fillId="0" borderId="0" applyProtection="0"/>
    <xf numFmtId="0" fontId="24" fillId="0" borderId="0"/>
    <xf numFmtId="0" fontId="24" fillId="0" borderId="0"/>
    <xf numFmtId="0" fontId="24" fillId="0" borderId="0"/>
    <xf numFmtId="0" fontId="97" fillId="0" borderId="47" applyNumberFormat="0" applyFill="0" applyBorder="0" applyAlignment="0" applyProtection="0">
      <protection hidden="1"/>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 fontId="72" fillId="77" borderId="54" applyNumberFormat="0" applyProtection="0">
      <alignment vertical="center"/>
    </xf>
    <xf numFmtId="0" fontId="24" fillId="0" borderId="0"/>
    <xf numFmtId="0" fontId="24" fillId="0" borderId="0"/>
    <xf numFmtId="4" fontId="60" fillId="78" borderId="36" applyNumberFormat="0" applyProtection="0">
      <alignment vertical="center"/>
    </xf>
    <xf numFmtId="4" fontId="72" fillId="77" borderId="54" applyNumberFormat="0" applyProtection="0">
      <alignment vertical="center"/>
    </xf>
    <xf numFmtId="0" fontId="24" fillId="0" borderId="0"/>
    <xf numFmtId="0" fontId="24" fillId="0" borderId="0"/>
    <xf numFmtId="0" fontId="24" fillId="0" borderId="0"/>
    <xf numFmtId="4" fontId="72" fillId="77" borderId="54" applyNumberFormat="0" applyProtection="0">
      <alignment vertical="center"/>
    </xf>
    <xf numFmtId="0" fontId="24" fillId="0" borderId="0"/>
    <xf numFmtId="0" fontId="24" fillId="0" borderId="0"/>
    <xf numFmtId="4" fontId="72" fillId="77" borderId="54" applyNumberFormat="0" applyProtection="0">
      <alignment vertical="center"/>
    </xf>
    <xf numFmtId="4" fontId="60" fillId="78" borderId="36" applyNumberFormat="0" applyProtection="0">
      <alignment vertical="center"/>
    </xf>
    <xf numFmtId="0" fontId="24" fillId="0" borderId="0"/>
    <xf numFmtId="0" fontId="24" fillId="0" borderId="0"/>
    <xf numFmtId="0" fontId="24" fillId="0" borderId="0"/>
    <xf numFmtId="4" fontId="72" fillId="77" borderId="54" applyNumberFormat="0" applyProtection="0">
      <alignment vertical="center"/>
    </xf>
    <xf numFmtId="4" fontId="100" fillId="79" borderId="1" applyNumberFormat="0" applyProtection="0">
      <alignment horizontal="right" vertical="center" wrapText="1"/>
    </xf>
    <xf numFmtId="4" fontId="60" fillId="78" borderId="36" applyNumberFormat="0" applyProtection="0">
      <alignment vertical="center"/>
    </xf>
    <xf numFmtId="0" fontId="24" fillId="0" borderId="0"/>
    <xf numFmtId="4" fontId="60" fillId="78" borderId="36" applyNumberFormat="0" applyProtection="0">
      <alignment vertical="center"/>
    </xf>
    <xf numFmtId="0" fontId="24" fillId="0" borderId="0"/>
    <xf numFmtId="0" fontId="24" fillId="0" borderId="0"/>
    <xf numFmtId="4" fontId="104" fillId="77" borderId="37" applyNumberFormat="0" applyProtection="0">
      <alignment vertical="center"/>
    </xf>
    <xf numFmtId="0" fontId="24" fillId="0" borderId="0"/>
    <xf numFmtId="0" fontId="24" fillId="0" borderId="0"/>
    <xf numFmtId="0" fontId="24" fillId="0" borderId="0"/>
    <xf numFmtId="0" fontId="24" fillId="0" borderId="0"/>
    <xf numFmtId="4" fontId="161" fillId="78" borderId="54" applyNumberFormat="0" applyProtection="0">
      <alignment vertical="center"/>
    </xf>
    <xf numFmtId="4" fontId="161" fillId="78" borderId="54" applyNumberFormat="0" applyProtection="0">
      <alignment vertical="center"/>
    </xf>
    <xf numFmtId="0" fontId="24" fillId="0" borderId="0"/>
    <xf numFmtId="0" fontId="24" fillId="0" borderId="0"/>
    <xf numFmtId="0" fontId="24" fillId="0" borderId="0"/>
    <xf numFmtId="4" fontId="101" fillId="78" borderId="37" applyNumberFormat="0" applyProtection="0">
      <alignment vertical="center"/>
    </xf>
    <xf numFmtId="4" fontId="110" fillId="78" borderId="36" applyNumberFormat="0" applyProtection="0">
      <alignment vertical="center"/>
    </xf>
    <xf numFmtId="0" fontId="24" fillId="0" borderId="0"/>
    <xf numFmtId="0" fontId="24" fillId="0" borderId="0"/>
    <xf numFmtId="4" fontId="110" fillId="78" borderId="36" applyNumberFormat="0" applyProtection="0">
      <alignment vertical="center"/>
    </xf>
    <xf numFmtId="4" fontId="101" fillId="77" borderId="37" applyNumberFormat="0" applyProtection="0">
      <alignment vertical="center"/>
    </xf>
    <xf numFmtId="0" fontId="24" fillId="0" borderId="0"/>
    <xf numFmtId="0" fontId="24" fillId="0" borderId="0"/>
    <xf numFmtId="4" fontId="102" fillId="80" borderId="28">
      <alignment vertical="center"/>
    </xf>
    <xf numFmtId="0" fontId="24" fillId="0" borderId="0"/>
    <xf numFmtId="0" fontId="24" fillId="0" borderId="0"/>
    <xf numFmtId="0" fontId="24" fillId="0" borderId="0"/>
    <xf numFmtId="4" fontId="103" fillId="80" borderId="28">
      <alignment vertical="center"/>
    </xf>
    <xf numFmtId="0" fontId="24" fillId="0" borderId="0"/>
    <xf numFmtId="0" fontId="24" fillId="0" borderId="0"/>
    <xf numFmtId="0" fontId="24" fillId="0" borderId="0"/>
    <xf numFmtId="4" fontId="102" fillId="81" borderId="28">
      <alignment vertical="center"/>
    </xf>
    <xf numFmtId="0" fontId="24" fillId="0" borderId="0"/>
    <xf numFmtId="0" fontId="24" fillId="0" borderId="0"/>
    <xf numFmtId="0" fontId="24" fillId="0" borderId="0"/>
    <xf numFmtId="4" fontId="103" fillId="81" borderId="28">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4" fontId="72" fillId="78" borderId="54" applyNumberFormat="0" applyProtection="0">
      <alignment horizontal="left" vertical="center" indent="1"/>
    </xf>
    <xf numFmtId="0" fontId="24" fillId="0" borderId="0"/>
    <xf numFmtId="0" fontId="24" fillId="0" borderId="0"/>
    <xf numFmtId="0" fontId="24" fillId="0" borderId="0"/>
    <xf numFmtId="4" fontId="72" fillId="78" borderId="54" applyNumberFormat="0" applyProtection="0">
      <alignment horizontal="left" vertical="center" indent="1"/>
    </xf>
    <xf numFmtId="0" fontId="24" fillId="0" borderId="0"/>
    <xf numFmtId="0" fontId="24" fillId="0" borderId="0"/>
    <xf numFmtId="4" fontId="72" fillId="78" borderId="54" applyNumberFormat="0" applyProtection="0">
      <alignment horizontal="left" vertical="center" indent="1"/>
    </xf>
    <xf numFmtId="4" fontId="72" fillId="78" borderId="54" applyNumberFormat="0" applyProtection="0">
      <alignment horizontal="left" vertical="center" indent="1"/>
    </xf>
    <xf numFmtId="0" fontId="24" fillId="0" borderId="0"/>
    <xf numFmtId="0" fontId="24" fillId="0" borderId="0"/>
    <xf numFmtId="0" fontId="24" fillId="0" borderId="0"/>
    <xf numFmtId="4" fontId="100" fillId="79" borderId="1" applyNumberFormat="0" applyProtection="0">
      <alignment horizontal="left" vertical="center" indent="1"/>
    </xf>
    <xf numFmtId="4" fontId="60" fillId="78" borderId="36" applyNumberFormat="0" applyProtection="0">
      <alignment horizontal="left" vertical="center" indent="1"/>
    </xf>
    <xf numFmtId="0" fontId="24" fillId="0" borderId="0"/>
    <xf numFmtId="0" fontId="24" fillId="0" borderId="0"/>
    <xf numFmtId="4" fontId="60" fillId="78" borderId="36" applyNumberFormat="0" applyProtection="0">
      <alignment horizontal="left" vertical="center" indent="1"/>
    </xf>
    <xf numFmtId="4" fontId="104" fillId="77" borderId="37" applyNumberFormat="0" applyProtection="0">
      <alignment horizontal="left" vertical="center" indent="1"/>
    </xf>
    <xf numFmtId="0" fontId="24" fillId="0" borderId="0"/>
    <xf numFmtId="0" fontId="24" fillId="0" borderId="0"/>
    <xf numFmtId="0" fontId="24" fillId="0" borderId="0"/>
    <xf numFmtId="0" fontId="24" fillId="0" borderId="0"/>
    <xf numFmtId="0" fontId="162" fillId="77" borderId="37" applyNumberFormat="0" applyProtection="0">
      <alignment horizontal="left" vertical="top" indent="1"/>
    </xf>
    <xf numFmtId="0" fontId="162" fillId="77" borderId="37" applyNumberFormat="0" applyProtection="0">
      <alignment horizontal="left" vertical="top" indent="1"/>
    </xf>
    <xf numFmtId="0" fontId="24" fillId="0" borderId="0"/>
    <xf numFmtId="0" fontId="24" fillId="0" borderId="0"/>
    <xf numFmtId="0" fontId="24" fillId="0" borderId="0"/>
    <xf numFmtId="0" fontId="104" fillId="78" borderId="37" applyNumberFormat="0" applyProtection="0">
      <alignment horizontal="left" vertical="top" indent="1"/>
    </xf>
    <xf numFmtId="4" fontId="60" fillId="78" borderId="36" applyNumberFormat="0" applyProtection="0">
      <alignment horizontal="left" vertical="center" indent="1"/>
    </xf>
    <xf numFmtId="0" fontId="24" fillId="0" borderId="0"/>
    <xf numFmtId="0" fontId="24" fillId="0" borderId="0"/>
    <xf numFmtId="4" fontId="60" fillId="78" borderId="36" applyNumberFormat="0" applyProtection="0">
      <alignment horizontal="left" vertical="center" indent="1"/>
    </xf>
    <xf numFmtId="0" fontId="104" fillId="77" borderId="37" applyNumberFormat="0" applyProtection="0">
      <alignment horizontal="left" vertical="top" indent="1"/>
    </xf>
    <xf numFmtId="0" fontId="24" fillId="0" borderId="0"/>
    <xf numFmtId="0" fontId="24" fillId="0" borderId="0"/>
    <xf numFmtId="0" fontId="24" fillId="0" borderId="0"/>
    <xf numFmtId="0" fontId="24" fillId="0" borderId="0"/>
    <xf numFmtId="0" fontId="24" fillId="0" borderId="0"/>
    <xf numFmtId="4" fontId="72" fillId="53" borderId="54" applyNumberFormat="0" applyProtection="0">
      <alignment horizontal="left" vertical="center" indent="1"/>
    </xf>
    <xf numFmtId="0" fontId="24" fillId="0" borderId="0"/>
    <xf numFmtId="0" fontId="24" fillId="0" borderId="0"/>
    <xf numFmtId="0" fontId="24" fillId="0" borderId="0"/>
    <xf numFmtId="4" fontId="72" fillId="53" borderId="54" applyNumberFormat="0" applyProtection="0">
      <alignment horizontal="left" vertical="center" indent="1"/>
    </xf>
    <xf numFmtId="0" fontId="24" fillId="0" borderId="0"/>
    <xf numFmtId="0" fontId="24" fillId="0" borderId="0"/>
    <xf numFmtId="4" fontId="105" fillId="82" borderId="1" applyNumberFormat="0" applyProtection="0">
      <alignment horizontal="left" vertical="center"/>
    </xf>
    <xf numFmtId="0" fontId="24" fillId="0" borderId="0"/>
    <xf numFmtId="0" fontId="24" fillId="0" borderId="0"/>
    <xf numFmtId="0" fontId="24" fillId="0" borderId="0"/>
    <xf numFmtId="4" fontId="72" fillId="53" borderId="54" applyNumberFormat="0" applyProtection="0">
      <alignment horizontal="left" vertical="center" indent="1"/>
    </xf>
    <xf numFmtId="4" fontId="72" fillId="53" borderId="54" applyNumberFormat="0" applyProtection="0">
      <alignment horizontal="left" vertical="center" indent="1"/>
    </xf>
    <xf numFmtId="0" fontId="24" fillId="0" borderId="0"/>
    <xf numFmtId="0" fontId="24" fillId="0" borderId="0"/>
    <xf numFmtId="0" fontId="24" fillId="0" borderId="0"/>
    <xf numFmtId="0" fontId="24" fillId="131" borderId="36" applyNumberFormat="0" applyProtection="0">
      <alignment horizontal="left" vertical="center" indent="1"/>
    </xf>
    <xf numFmtId="4" fontId="105" fillId="82" borderId="1" applyNumberFormat="0" applyProtection="0">
      <alignment horizontal="left" vertical="center"/>
    </xf>
    <xf numFmtId="0" fontId="24" fillId="131" borderId="36" applyNumberFormat="0" applyProtection="0">
      <alignment horizontal="left" vertical="center" indent="1"/>
    </xf>
    <xf numFmtId="0" fontId="24" fillId="131" borderId="36" applyNumberFormat="0" applyProtection="0">
      <alignment horizontal="left" vertical="center" indent="1"/>
    </xf>
    <xf numFmtId="0" fontId="24" fillId="0" borderId="0"/>
    <xf numFmtId="0" fontId="24" fillId="0" borderId="0"/>
    <xf numFmtId="0" fontId="24" fillId="131" borderId="36" applyNumberFormat="0" applyProtection="0">
      <alignment horizontal="left" vertical="center" indent="1"/>
    </xf>
    <xf numFmtId="4" fontId="104" fillId="105" borderId="0" applyNumberFormat="0" applyProtection="0">
      <alignment horizontal="left" vertical="center" indent="1"/>
    </xf>
    <xf numFmtId="0" fontId="24" fillId="131" borderId="36" applyNumberFormat="0" applyProtection="0">
      <alignment horizontal="left" vertical="center" indent="1"/>
    </xf>
    <xf numFmtId="0" fontId="24" fillId="0" borderId="0"/>
    <xf numFmtId="0" fontId="24" fillId="0" borderId="0"/>
    <xf numFmtId="0" fontId="24" fillId="0" borderId="0"/>
    <xf numFmtId="0" fontId="24" fillId="0" borderId="0"/>
    <xf numFmtId="0" fontId="24" fillId="0" borderId="0"/>
    <xf numFmtId="4" fontId="72" fillId="37" borderId="54" applyNumberFormat="0" applyProtection="0">
      <alignment horizontal="right" vertical="center"/>
    </xf>
    <xf numFmtId="0" fontId="24" fillId="0" borderId="0"/>
    <xf numFmtId="0" fontId="24" fillId="0" borderId="0"/>
    <xf numFmtId="0" fontId="24" fillId="0" borderId="0"/>
    <xf numFmtId="4" fontId="72" fillId="37" borderId="54" applyNumberFormat="0" applyProtection="0">
      <alignment horizontal="right" vertical="center"/>
    </xf>
    <xf numFmtId="0" fontId="24" fillId="0" borderId="0"/>
    <xf numFmtId="0" fontId="24" fillId="0" borderId="0"/>
    <xf numFmtId="4" fontId="72" fillId="37" borderId="54" applyNumberFormat="0" applyProtection="0">
      <alignment horizontal="right" vertical="center"/>
    </xf>
    <xf numFmtId="4" fontId="72" fillId="37" borderId="54" applyNumberFormat="0" applyProtection="0">
      <alignment horizontal="right" vertical="center"/>
    </xf>
    <xf numFmtId="0" fontId="24" fillId="0" borderId="0"/>
    <xf numFmtId="0" fontId="24" fillId="0" borderId="0"/>
    <xf numFmtId="0" fontId="24" fillId="0" borderId="0"/>
    <xf numFmtId="4" fontId="60" fillId="37" borderId="37" applyNumberFormat="0" applyProtection="0">
      <alignment horizontal="right" vertical="center"/>
    </xf>
    <xf numFmtId="4" fontId="60" fillId="99" borderId="36" applyNumberFormat="0" applyProtection="0">
      <alignment horizontal="right" vertical="center"/>
    </xf>
    <xf numFmtId="0" fontId="24" fillId="0" borderId="0"/>
    <xf numFmtId="0" fontId="24" fillId="0" borderId="0"/>
    <xf numFmtId="4" fontId="60" fillId="99" borderId="36" applyNumberFormat="0" applyProtection="0">
      <alignment horizontal="right" vertical="center"/>
    </xf>
    <xf numFmtId="4" fontId="60" fillId="37" borderId="37" applyNumberFormat="0" applyProtection="0">
      <alignment horizontal="right" vertical="center"/>
    </xf>
    <xf numFmtId="0" fontId="24" fillId="0" borderId="0"/>
    <xf numFmtId="0" fontId="24" fillId="0" borderId="0"/>
    <xf numFmtId="0" fontId="24" fillId="0" borderId="0"/>
    <xf numFmtId="0" fontId="24" fillId="0" borderId="0"/>
    <xf numFmtId="0" fontId="24" fillId="0" borderId="0"/>
    <xf numFmtId="4" fontId="72" fillId="132" borderId="54" applyNumberFormat="0" applyProtection="0">
      <alignment horizontal="right" vertical="center"/>
    </xf>
    <xf numFmtId="0" fontId="24" fillId="0" borderId="0"/>
    <xf numFmtId="0" fontId="24" fillId="0" borderId="0"/>
    <xf numFmtId="0" fontId="24" fillId="0" borderId="0"/>
    <xf numFmtId="4" fontId="72" fillId="132" borderId="54" applyNumberFormat="0" applyProtection="0">
      <alignment horizontal="right" vertical="center"/>
    </xf>
    <xf numFmtId="0" fontId="24" fillId="0" borderId="0"/>
    <xf numFmtId="0" fontId="24" fillId="0" borderId="0"/>
    <xf numFmtId="4" fontId="72" fillId="132" borderId="54" applyNumberFormat="0" applyProtection="0">
      <alignment horizontal="right" vertical="center"/>
    </xf>
    <xf numFmtId="4" fontId="72" fillId="132" borderId="54" applyNumberFormat="0" applyProtection="0">
      <alignment horizontal="right" vertical="center"/>
    </xf>
    <xf numFmtId="0" fontId="24" fillId="0" borderId="0"/>
    <xf numFmtId="0" fontId="24" fillId="0" borderId="0"/>
    <xf numFmtId="0" fontId="24" fillId="0" borderId="0"/>
    <xf numFmtId="4" fontId="60" fillId="38" borderId="37" applyNumberFormat="0" applyProtection="0">
      <alignment horizontal="right" vertical="center"/>
    </xf>
    <xf numFmtId="4" fontId="60" fillId="133" borderId="36" applyNumberFormat="0" applyProtection="0">
      <alignment horizontal="right" vertical="center"/>
    </xf>
    <xf numFmtId="0" fontId="24" fillId="0" borderId="0"/>
    <xf numFmtId="0" fontId="24" fillId="0" borderId="0"/>
    <xf numFmtId="4" fontId="60" fillId="133" borderId="36" applyNumberFormat="0" applyProtection="0">
      <alignment horizontal="right" vertical="center"/>
    </xf>
    <xf numFmtId="4" fontId="60" fillId="38" borderId="37" applyNumberFormat="0" applyProtection="0">
      <alignment horizontal="right" vertical="center"/>
    </xf>
    <xf numFmtId="0" fontId="24" fillId="0" borderId="0"/>
    <xf numFmtId="0" fontId="24" fillId="0" borderId="0"/>
    <xf numFmtId="0" fontId="24" fillId="0" borderId="0"/>
    <xf numFmtId="0" fontId="24" fillId="0" borderId="0"/>
    <xf numFmtId="0" fontId="24" fillId="0" borderId="0"/>
    <xf numFmtId="4" fontId="72" fillId="62" borderId="64" applyNumberFormat="0" applyProtection="0">
      <alignment horizontal="right" vertical="center"/>
    </xf>
    <xf numFmtId="0" fontId="24" fillId="0" borderId="0"/>
    <xf numFmtId="0" fontId="24" fillId="0" borderId="0"/>
    <xf numFmtId="0" fontId="24" fillId="0" borderId="0"/>
    <xf numFmtId="4" fontId="72" fillId="62" borderId="64" applyNumberFormat="0" applyProtection="0">
      <alignment horizontal="right" vertical="center"/>
    </xf>
    <xf numFmtId="0" fontId="24" fillId="0" borderId="0"/>
    <xf numFmtId="0" fontId="24" fillId="0" borderId="0"/>
    <xf numFmtId="4" fontId="72" fillId="62" borderId="64" applyNumberFormat="0" applyProtection="0">
      <alignment horizontal="right" vertical="center"/>
    </xf>
    <xf numFmtId="4" fontId="72" fillId="62" borderId="64" applyNumberFormat="0" applyProtection="0">
      <alignment horizontal="right" vertical="center"/>
    </xf>
    <xf numFmtId="0" fontId="24" fillId="0" borderId="0"/>
    <xf numFmtId="0" fontId="24" fillId="0" borderId="0"/>
    <xf numFmtId="0" fontId="24" fillId="0" borderId="0"/>
    <xf numFmtId="4" fontId="60" fillId="62" borderId="37" applyNumberFormat="0" applyProtection="0">
      <alignment horizontal="right" vertical="center"/>
    </xf>
    <xf numFmtId="4" fontId="60" fillId="91" borderId="36" applyNumberFormat="0" applyProtection="0">
      <alignment horizontal="right" vertical="center"/>
    </xf>
    <xf numFmtId="0" fontId="24" fillId="0" borderId="0"/>
    <xf numFmtId="0" fontId="24" fillId="0" borderId="0"/>
    <xf numFmtId="4" fontId="60" fillId="91" borderId="36" applyNumberFormat="0" applyProtection="0">
      <alignment horizontal="right" vertical="center"/>
    </xf>
    <xf numFmtId="4" fontId="60" fillId="62" borderId="37" applyNumberFormat="0" applyProtection="0">
      <alignment horizontal="right" vertical="center"/>
    </xf>
    <xf numFmtId="0" fontId="24" fillId="0" borderId="0"/>
    <xf numFmtId="0" fontId="24" fillId="0" borderId="0"/>
    <xf numFmtId="0" fontId="24" fillId="0" borderId="0"/>
    <xf numFmtId="0" fontId="24" fillId="0" borderId="0"/>
    <xf numFmtId="0" fontId="24" fillId="0" borderId="0"/>
    <xf numFmtId="4" fontId="72" fillId="50" borderId="54" applyNumberFormat="0" applyProtection="0">
      <alignment horizontal="right" vertical="center"/>
    </xf>
    <xf numFmtId="0" fontId="24" fillId="0" borderId="0"/>
    <xf numFmtId="0" fontId="24" fillId="0" borderId="0"/>
    <xf numFmtId="0" fontId="24" fillId="0" borderId="0"/>
    <xf numFmtId="4" fontId="72" fillId="50" borderId="54" applyNumberFormat="0" applyProtection="0">
      <alignment horizontal="right" vertical="center"/>
    </xf>
    <xf numFmtId="0" fontId="24" fillId="0" borderId="0"/>
    <xf numFmtId="0" fontId="24" fillId="0" borderId="0"/>
    <xf numFmtId="4" fontId="72" fillId="50" borderId="54" applyNumberFormat="0" applyProtection="0">
      <alignment horizontal="right" vertical="center"/>
    </xf>
    <xf numFmtId="4" fontId="72" fillId="50" borderId="54" applyNumberFormat="0" applyProtection="0">
      <alignment horizontal="right" vertical="center"/>
    </xf>
    <xf numFmtId="0" fontId="24" fillId="0" borderId="0"/>
    <xf numFmtId="0" fontId="24" fillId="0" borderId="0"/>
    <xf numFmtId="0" fontId="24" fillId="0" borderId="0"/>
    <xf numFmtId="4" fontId="60" fillId="50" borderId="37" applyNumberFormat="0" applyProtection="0">
      <alignment horizontal="right" vertical="center"/>
    </xf>
    <xf numFmtId="4" fontId="60" fillId="96" borderId="36" applyNumberFormat="0" applyProtection="0">
      <alignment horizontal="right" vertical="center"/>
    </xf>
    <xf numFmtId="0" fontId="24" fillId="0" borderId="0"/>
    <xf numFmtId="0" fontId="24" fillId="0" borderId="0"/>
    <xf numFmtId="4" fontId="60" fillId="96" borderId="36" applyNumberFormat="0" applyProtection="0">
      <alignment horizontal="right" vertical="center"/>
    </xf>
    <xf numFmtId="4" fontId="60" fillId="50" borderId="37" applyNumberFormat="0" applyProtection="0">
      <alignment horizontal="right" vertical="center"/>
    </xf>
    <xf numFmtId="0" fontId="24" fillId="0" borderId="0"/>
    <xf numFmtId="0" fontId="24" fillId="0" borderId="0"/>
    <xf numFmtId="0" fontId="24" fillId="0" borderId="0"/>
    <xf numFmtId="0" fontId="24" fillId="0" borderId="0"/>
    <xf numFmtId="0" fontId="24" fillId="0" borderId="0"/>
    <xf numFmtId="4" fontId="72" fillId="54" borderId="54" applyNumberFormat="0" applyProtection="0">
      <alignment horizontal="right" vertical="center"/>
    </xf>
    <xf numFmtId="0" fontId="24" fillId="0" borderId="0"/>
    <xf numFmtId="0" fontId="24" fillId="0" borderId="0"/>
    <xf numFmtId="0" fontId="24" fillId="0" borderId="0"/>
    <xf numFmtId="4" fontId="72" fillId="54" borderId="54" applyNumberFormat="0" applyProtection="0">
      <alignment horizontal="right" vertical="center"/>
    </xf>
    <xf numFmtId="0" fontId="24" fillId="0" borderId="0"/>
    <xf numFmtId="0" fontId="24" fillId="0" borderId="0"/>
    <xf numFmtId="4" fontId="72" fillId="54" borderId="54" applyNumberFormat="0" applyProtection="0">
      <alignment horizontal="right" vertical="center"/>
    </xf>
    <xf numFmtId="4" fontId="72" fillId="54" borderId="54" applyNumberFormat="0" applyProtection="0">
      <alignment horizontal="right" vertical="center"/>
    </xf>
    <xf numFmtId="0" fontId="24" fillId="0" borderId="0"/>
    <xf numFmtId="0" fontId="24" fillId="0" borderId="0"/>
    <xf numFmtId="0" fontId="24" fillId="0" borderId="0"/>
    <xf numFmtId="4" fontId="60" fillId="54" borderId="37" applyNumberFormat="0" applyProtection="0">
      <alignment horizontal="right" vertical="center"/>
    </xf>
    <xf numFmtId="4" fontId="60" fillId="134" borderId="36" applyNumberFormat="0" applyProtection="0">
      <alignment horizontal="right" vertical="center"/>
    </xf>
    <xf numFmtId="0" fontId="24" fillId="0" borderId="0"/>
    <xf numFmtId="0" fontId="24" fillId="0" borderId="0"/>
    <xf numFmtId="4" fontId="60" fillId="134" borderId="36" applyNumberFormat="0" applyProtection="0">
      <alignment horizontal="right" vertical="center"/>
    </xf>
    <xf numFmtId="4" fontId="60" fillId="54" borderId="37" applyNumberFormat="0" applyProtection="0">
      <alignment horizontal="right" vertical="center"/>
    </xf>
    <xf numFmtId="0" fontId="24" fillId="0" borderId="0"/>
    <xf numFmtId="0" fontId="24" fillId="0" borderId="0"/>
    <xf numFmtId="0" fontId="24" fillId="0" borderId="0"/>
    <xf numFmtId="0" fontId="24" fillId="0" borderId="0"/>
    <xf numFmtId="0" fontId="24" fillId="0" borderId="0"/>
    <xf numFmtId="4" fontId="72" fillId="69" borderId="54" applyNumberFormat="0" applyProtection="0">
      <alignment horizontal="right" vertical="center"/>
    </xf>
    <xf numFmtId="0" fontId="24" fillId="0" borderId="0"/>
    <xf numFmtId="0" fontId="24" fillId="0" borderId="0"/>
    <xf numFmtId="0" fontId="24" fillId="0" borderId="0"/>
    <xf numFmtId="4" fontId="72" fillId="69" borderId="54" applyNumberFormat="0" applyProtection="0">
      <alignment horizontal="right" vertical="center"/>
    </xf>
    <xf numFmtId="0" fontId="24" fillId="0" borderId="0"/>
    <xf numFmtId="0" fontId="24" fillId="0" borderId="0"/>
    <xf numFmtId="4" fontId="72" fillId="69" borderId="54" applyNumberFormat="0" applyProtection="0">
      <alignment horizontal="right" vertical="center"/>
    </xf>
    <xf numFmtId="4" fontId="72" fillId="69" borderId="54" applyNumberFormat="0" applyProtection="0">
      <alignment horizontal="right" vertical="center"/>
    </xf>
    <xf numFmtId="0" fontId="24" fillId="0" borderId="0"/>
    <xf numFmtId="0" fontId="24" fillId="0" borderId="0"/>
    <xf numFmtId="0" fontId="24" fillId="0" borderId="0"/>
    <xf numFmtId="4" fontId="60" fillId="69" borderId="37" applyNumberFormat="0" applyProtection="0">
      <alignment horizontal="right" vertical="center"/>
    </xf>
    <xf numFmtId="4" fontId="60" fillId="100" borderId="36" applyNumberFormat="0" applyProtection="0">
      <alignment horizontal="right" vertical="center"/>
    </xf>
    <xf numFmtId="0" fontId="24" fillId="0" borderId="0"/>
    <xf numFmtId="0" fontId="24" fillId="0" borderId="0"/>
    <xf numFmtId="4" fontId="60" fillId="100" borderId="36" applyNumberFormat="0" applyProtection="0">
      <alignment horizontal="right" vertical="center"/>
    </xf>
    <xf numFmtId="4" fontId="60" fillId="69" borderId="37" applyNumberFormat="0" applyProtection="0">
      <alignment horizontal="right" vertical="center"/>
    </xf>
    <xf numFmtId="0" fontId="24" fillId="0" borderId="0"/>
    <xf numFmtId="0" fontId="24" fillId="0" borderId="0"/>
    <xf numFmtId="0" fontId="24" fillId="0" borderId="0"/>
    <xf numFmtId="0" fontId="24" fillId="0" borderId="0"/>
    <xf numFmtId="0" fontId="24" fillId="0" borderId="0"/>
    <xf numFmtId="4" fontId="72" fillId="48" borderId="54" applyNumberFormat="0" applyProtection="0">
      <alignment horizontal="right" vertical="center"/>
    </xf>
    <xf numFmtId="0" fontId="24" fillId="0" borderId="0"/>
    <xf numFmtId="0" fontId="24" fillId="0" borderId="0"/>
    <xf numFmtId="0" fontId="24" fillId="0" borderId="0"/>
    <xf numFmtId="4" fontId="72" fillId="48" borderId="54" applyNumberFormat="0" applyProtection="0">
      <alignment horizontal="right" vertical="center"/>
    </xf>
    <xf numFmtId="0" fontId="24" fillId="0" borderId="0"/>
    <xf numFmtId="0" fontId="24" fillId="0" borderId="0"/>
    <xf numFmtId="4" fontId="72" fillId="48" borderId="54" applyNumberFormat="0" applyProtection="0">
      <alignment horizontal="right" vertical="center"/>
    </xf>
    <xf numFmtId="4" fontId="72" fillId="48" borderId="54" applyNumberFormat="0" applyProtection="0">
      <alignment horizontal="right" vertical="center"/>
    </xf>
    <xf numFmtId="0" fontId="24" fillId="0" borderId="0"/>
    <xf numFmtId="0" fontId="24" fillId="0" borderId="0"/>
    <xf numFmtId="0" fontId="24" fillId="0" borderId="0"/>
    <xf numFmtId="4" fontId="60" fillId="48" borderId="37" applyNumberFormat="0" applyProtection="0">
      <alignment horizontal="right" vertical="center"/>
    </xf>
    <xf numFmtId="4" fontId="60" fillId="135" borderId="36" applyNumberFormat="0" applyProtection="0">
      <alignment horizontal="right" vertical="center"/>
    </xf>
    <xf numFmtId="0" fontId="24" fillId="0" borderId="0"/>
    <xf numFmtId="0" fontId="24" fillId="0" borderId="0"/>
    <xf numFmtId="4" fontId="60" fillId="135" borderId="36" applyNumberFormat="0" applyProtection="0">
      <alignment horizontal="right" vertical="center"/>
    </xf>
    <xf numFmtId="4" fontId="60" fillId="48" borderId="37" applyNumberFormat="0" applyProtection="0">
      <alignment horizontal="right" vertical="center"/>
    </xf>
    <xf numFmtId="0" fontId="24" fillId="0" borderId="0"/>
    <xf numFmtId="0" fontId="24" fillId="0" borderId="0"/>
    <xf numFmtId="0" fontId="24" fillId="0" borderId="0"/>
    <xf numFmtId="0" fontId="24" fillId="0" borderId="0"/>
    <xf numFmtId="0" fontId="24" fillId="0" borderId="0"/>
    <xf numFmtId="4" fontId="72" fillId="73" borderId="54" applyNumberFormat="0" applyProtection="0">
      <alignment horizontal="right" vertical="center"/>
    </xf>
    <xf numFmtId="0" fontId="24" fillId="0" borderId="0"/>
    <xf numFmtId="0" fontId="24" fillId="0" borderId="0"/>
    <xf numFmtId="0" fontId="24" fillId="0" borderId="0"/>
    <xf numFmtId="4" fontId="72" fillId="73" borderId="54" applyNumberFormat="0" applyProtection="0">
      <alignment horizontal="right" vertical="center"/>
    </xf>
    <xf numFmtId="0" fontId="24" fillId="0" borderId="0"/>
    <xf numFmtId="0" fontId="24" fillId="0" borderId="0"/>
    <xf numFmtId="4" fontId="72" fillId="73" borderId="54" applyNumberFormat="0" applyProtection="0">
      <alignment horizontal="right" vertical="center"/>
    </xf>
    <xf numFmtId="4" fontId="72" fillId="73" borderId="54" applyNumberFormat="0" applyProtection="0">
      <alignment horizontal="right" vertical="center"/>
    </xf>
    <xf numFmtId="0" fontId="24" fillId="0" borderId="0"/>
    <xf numFmtId="0" fontId="24" fillId="0" borderId="0"/>
    <xf numFmtId="0" fontId="24" fillId="0" borderId="0"/>
    <xf numFmtId="4" fontId="60" fillId="73" borderId="37" applyNumberFormat="0" applyProtection="0">
      <alignment horizontal="right" vertical="center"/>
    </xf>
    <xf numFmtId="4" fontId="60" fillId="136" borderId="36" applyNumberFormat="0" applyProtection="0">
      <alignment horizontal="right" vertical="center"/>
    </xf>
    <xf numFmtId="0" fontId="24" fillId="0" borderId="0"/>
    <xf numFmtId="0" fontId="24" fillId="0" borderId="0"/>
    <xf numFmtId="4" fontId="60" fillId="136" borderId="36" applyNumberFormat="0" applyProtection="0">
      <alignment horizontal="right" vertical="center"/>
    </xf>
    <xf numFmtId="4" fontId="60" fillId="73" borderId="37" applyNumberFormat="0" applyProtection="0">
      <alignment horizontal="right" vertical="center"/>
    </xf>
    <xf numFmtId="0" fontId="24" fillId="0" borderId="0"/>
    <xf numFmtId="0" fontId="24" fillId="0" borderId="0"/>
    <xf numFmtId="0" fontId="24" fillId="0" borderId="0"/>
    <xf numFmtId="0" fontId="24" fillId="0" borderId="0"/>
    <xf numFmtId="0" fontId="24" fillId="0" borderId="0"/>
    <xf numFmtId="4" fontId="72" fillId="47" borderId="54" applyNumberFormat="0" applyProtection="0">
      <alignment horizontal="right" vertical="center"/>
    </xf>
    <xf numFmtId="0" fontId="24" fillId="0" borderId="0"/>
    <xf numFmtId="0" fontId="24" fillId="0" borderId="0"/>
    <xf numFmtId="0" fontId="24" fillId="0" borderId="0"/>
    <xf numFmtId="4" fontId="72" fillId="47" borderId="54" applyNumberFormat="0" applyProtection="0">
      <alignment horizontal="right" vertical="center"/>
    </xf>
    <xf numFmtId="0" fontId="24" fillId="0" borderId="0"/>
    <xf numFmtId="0" fontId="24" fillId="0" borderId="0"/>
    <xf numFmtId="4" fontId="72" fillId="47" borderId="54" applyNumberFormat="0" applyProtection="0">
      <alignment horizontal="right" vertical="center"/>
    </xf>
    <xf numFmtId="4" fontId="72" fillId="47" borderId="54" applyNumberFormat="0" applyProtection="0">
      <alignment horizontal="right" vertical="center"/>
    </xf>
    <xf numFmtId="0" fontId="24" fillId="0" borderId="0"/>
    <xf numFmtId="0" fontId="24" fillId="0" borderId="0"/>
    <xf numFmtId="0" fontId="24" fillId="0" borderId="0"/>
    <xf numFmtId="4" fontId="60" fillId="47" borderId="37" applyNumberFormat="0" applyProtection="0">
      <alignment horizontal="right" vertical="center"/>
    </xf>
    <xf numFmtId="4" fontId="60" fillId="95" borderId="36" applyNumberFormat="0" applyProtection="0">
      <alignment horizontal="right" vertical="center"/>
    </xf>
    <xf numFmtId="0" fontId="24" fillId="0" borderId="0"/>
    <xf numFmtId="0" fontId="24" fillId="0" borderId="0"/>
    <xf numFmtId="4" fontId="60" fillId="95" borderId="36" applyNumberFormat="0" applyProtection="0">
      <alignment horizontal="right" vertical="center"/>
    </xf>
    <xf numFmtId="4" fontId="60" fillId="47" borderId="37" applyNumberFormat="0" applyProtection="0">
      <alignment horizontal="right" vertical="center"/>
    </xf>
    <xf numFmtId="0" fontId="24" fillId="0" borderId="0"/>
    <xf numFmtId="0" fontId="24" fillId="0" borderId="0"/>
    <xf numFmtId="0" fontId="24" fillId="0" borderId="0"/>
    <xf numFmtId="0" fontId="24" fillId="0" borderId="0"/>
    <xf numFmtId="0" fontId="24" fillId="0" borderId="0"/>
    <xf numFmtId="4" fontId="72" fillId="137" borderId="64" applyNumberFormat="0" applyProtection="0">
      <alignment horizontal="left" vertical="center" indent="1"/>
    </xf>
    <xf numFmtId="0" fontId="24" fillId="0" borderId="0"/>
    <xf numFmtId="0" fontId="24" fillId="0" borderId="0"/>
    <xf numFmtId="0" fontId="24" fillId="0" borderId="0"/>
    <xf numFmtId="4" fontId="72" fillId="137" borderId="64" applyNumberFormat="0" applyProtection="0">
      <alignment horizontal="left" vertical="center" indent="1"/>
    </xf>
    <xf numFmtId="0" fontId="24" fillId="0" borderId="0"/>
    <xf numFmtId="0" fontId="24" fillId="0" borderId="0"/>
    <xf numFmtId="4" fontId="72" fillId="137" borderId="64" applyNumberFormat="0" applyProtection="0">
      <alignment horizontal="left" vertical="center" indent="1"/>
    </xf>
    <xf numFmtId="4" fontId="72" fillId="137" borderId="64" applyNumberFormat="0" applyProtection="0">
      <alignment horizontal="left" vertical="center" indent="1"/>
    </xf>
    <xf numFmtId="0" fontId="24" fillId="0" borderId="0"/>
    <xf numFmtId="0" fontId="24" fillId="0" borderId="0"/>
    <xf numFmtId="0" fontId="24" fillId="0" borderId="0"/>
    <xf numFmtId="4" fontId="104" fillId="0" borderId="1" applyNumberFormat="0" applyProtection="0">
      <alignment horizontal="left" vertical="center" indent="1"/>
    </xf>
    <xf numFmtId="4" fontId="104" fillId="138" borderId="36" applyNumberFormat="0" applyProtection="0">
      <alignment horizontal="left" vertical="center" indent="1"/>
    </xf>
    <xf numFmtId="0" fontId="24" fillId="0" borderId="0"/>
    <xf numFmtId="0" fontId="24" fillId="0" borderId="0"/>
    <xf numFmtId="4" fontId="104" fillId="138" borderId="36" applyNumberFormat="0" applyProtection="0">
      <alignment horizontal="left" vertical="center" indent="1"/>
    </xf>
    <xf numFmtId="4" fontId="104" fillId="137" borderId="65" applyNumberFormat="0" applyProtection="0">
      <alignment horizontal="left" vertical="center" indent="1"/>
    </xf>
    <xf numFmtId="0" fontId="24" fillId="0" borderId="0"/>
    <xf numFmtId="0" fontId="24" fillId="0" borderId="0"/>
    <xf numFmtId="0" fontId="24" fillId="0" borderId="0"/>
    <xf numFmtId="0" fontId="24" fillId="0" borderId="0"/>
    <xf numFmtId="4" fontId="24" fillId="66" borderId="64" applyNumberFormat="0" applyProtection="0">
      <alignment horizontal="left" vertical="center" indent="1"/>
    </xf>
    <xf numFmtId="4" fontId="24" fillId="66" borderId="64" applyNumberFormat="0" applyProtection="0">
      <alignment horizontal="left" vertical="center" indent="1"/>
    </xf>
    <xf numFmtId="0" fontId="24" fillId="0" borderId="0"/>
    <xf numFmtId="0" fontId="24" fillId="0" borderId="0"/>
    <xf numFmtId="0" fontId="24" fillId="0" borderId="0"/>
    <xf numFmtId="4" fontId="60" fillId="0" borderId="1" applyNumberFormat="0" applyProtection="0">
      <alignment horizontal="left" vertical="center" indent="1"/>
    </xf>
    <xf numFmtId="4" fontId="60" fillId="89" borderId="66" applyNumberFormat="0" applyProtection="0">
      <alignment horizontal="left" vertical="center" indent="1"/>
    </xf>
    <xf numFmtId="0" fontId="24" fillId="0" borderId="0"/>
    <xf numFmtId="0" fontId="24" fillId="0" borderId="0"/>
    <xf numFmtId="4" fontId="60" fillId="89" borderId="66" applyNumberFormat="0" applyProtection="0">
      <alignment horizontal="left" vertical="center" indent="1"/>
    </xf>
    <xf numFmtId="4" fontId="60" fillId="90" borderId="0" applyNumberFormat="0" applyProtection="0">
      <alignment horizontal="left" vertical="center" indent="1"/>
    </xf>
    <xf numFmtId="0" fontId="24" fillId="0" borderId="0"/>
    <xf numFmtId="0" fontId="24" fillId="0" borderId="0"/>
    <xf numFmtId="0" fontId="24" fillId="0" borderId="0"/>
    <xf numFmtId="0" fontId="24" fillId="0" borderId="0"/>
    <xf numFmtId="4" fontId="24" fillId="66" borderId="64" applyNumberFormat="0" applyProtection="0">
      <alignment horizontal="left" vertical="center" indent="1"/>
    </xf>
    <xf numFmtId="4" fontId="24" fillId="66" borderId="64" applyNumberFormat="0" applyProtection="0">
      <alignment horizontal="left" vertical="center" indent="1"/>
    </xf>
    <xf numFmtId="0" fontId="24" fillId="0" borderId="0"/>
    <xf numFmtId="4" fontId="107" fillId="84" borderId="0" applyNumberFormat="0" applyProtection="0">
      <alignment horizontal="left" vertical="center" indent="1"/>
    </xf>
    <xf numFmtId="0" fontId="24" fillId="0" borderId="0"/>
    <xf numFmtId="0" fontId="24" fillId="0" borderId="0"/>
    <xf numFmtId="4" fontId="107" fillId="66" borderId="0" applyNumberFormat="0" applyProtection="0">
      <alignment horizontal="left" vertical="center" indent="1"/>
    </xf>
    <xf numFmtId="0" fontId="24" fillId="0" borderId="0"/>
    <xf numFmtId="0" fontId="24" fillId="0" borderId="0"/>
    <xf numFmtId="0" fontId="24" fillId="0" borderId="0"/>
    <xf numFmtId="0" fontId="24" fillId="0" borderId="0"/>
    <xf numFmtId="0" fontId="24" fillId="0" borderId="0"/>
    <xf numFmtId="4" fontId="72" fillId="105" borderId="54" applyNumberFormat="0" applyProtection="0">
      <alignment horizontal="right" vertical="center"/>
    </xf>
    <xf numFmtId="0" fontId="24" fillId="0" borderId="0"/>
    <xf numFmtId="0" fontId="24" fillId="0" borderId="0"/>
    <xf numFmtId="0" fontId="24" fillId="0" borderId="0"/>
    <xf numFmtId="4" fontId="72" fillId="105" borderId="54" applyNumberFormat="0" applyProtection="0">
      <alignment horizontal="right" vertical="center"/>
    </xf>
    <xf numFmtId="0" fontId="24" fillId="0" borderId="0"/>
    <xf numFmtId="0" fontId="24" fillId="0" borderId="0"/>
    <xf numFmtId="4" fontId="72" fillId="105" borderId="54" applyNumberFormat="0" applyProtection="0">
      <alignment horizontal="right" vertical="center"/>
    </xf>
    <xf numFmtId="4" fontId="72" fillId="105" borderId="54" applyNumberFormat="0" applyProtection="0">
      <alignment horizontal="right" vertical="center"/>
    </xf>
    <xf numFmtId="0" fontId="24" fillId="0" borderId="0"/>
    <xf numFmtId="0" fontId="24" fillId="0" borderId="0"/>
    <xf numFmtId="0" fontId="24" fillId="0" borderId="0"/>
    <xf numFmtId="0" fontId="24" fillId="131" borderId="36" applyNumberFormat="0" applyProtection="0">
      <alignment horizontal="left" vertical="center" indent="1"/>
    </xf>
    <xf numFmtId="4" fontId="108" fillId="49" borderId="37" applyNumberFormat="0" applyProtection="0">
      <alignment horizontal="center" vertical="center"/>
    </xf>
    <xf numFmtId="0" fontId="24" fillId="131" borderId="36" applyNumberFormat="0" applyProtection="0">
      <alignment horizontal="left" vertical="center" indent="1"/>
    </xf>
    <xf numFmtId="0" fontId="24" fillId="131" borderId="36" applyNumberFormat="0" applyProtection="0">
      <alignment horizontal="left" vertical="center" indent="1"/>
    </xf>
    <xf numFmtId="0" fontId="24" fillId="0" borderId="0"/>
    <xf numFmtId="0" fontId="24" fillId="0" borderId="0"/>
    <xf numFmtId="0" fontId="24" fillId="131" borderId="36" applyNumberFormat="0" applyProtection="0">
      <alignment horizontal="left" vertical="center" indent="1"/>
    </xf>
    <xf numFmtId="4" fontId="60" fillId="105" borderId="37" applyNumberFormat="0" applyProtection="0">
      <alignment horizontal="right" vertical="center"/>
    </xf>
    <xf numFmtId="0" fontId="24" fillId="131" borderId="36" applyNumberFormat="0" applyProtection="0">
      <alignment horizontal="left" vertical="center" indent="1"/>
    </xf>
    <xf numFmtId="0" fontId="24" fillId="0" borderId="0"/>
    <xf numFmtId="0" fontId="24" fillId="0" borderId="0"/>
    <xf numFmtId="4" fontId="109" fillId="76" borderId="38">
      <alignment horizontal="left" vertical="center" indent="1"/>
    </xf>
    <xf numFmtId="0" fontId="24" fillId="0" borderId="0"/>
    <xf numFmtId="0" fontId="24" fillId="0" borderId="0"/>
    <xf numFmtId="0" fontId="24" fillId="0" borderId="0"/>
    <xf numFmtId="0" fontId="24" fillId="0" borderId="0"/>
    <xf numFmtId="0" fontId="24" fillId="0" borderId="0"/>
    <xf numFmtId="0" fontId="24" fillId="0" borderId="0"/>
    <xf numFmtId="4" fontId="72" fillId="90" borderId="64" applyNumberFormat="0" applyProtection="0">
      <alignment horizontal="left" vertical="center" indent="1"/>
    </xf>
    <xf numFmtId="0" fontId="24" fillId="0" borderId="0"/>
    <xf numFmtId="0" fontId="24" fillId="0" borderId="0"/>
    <xf numFmtId="0" fontId="24" fillId="0" borderId="0"/>
    <xf numFmtId="4" fontId="72" fillId="90" borderId="64" applyNumberFormat="0" applyProtection="0">
      <alignment horizontal="left" vertical="center" indent="1"/>
    </xf>
    <xf numFmtId="0" fontId="24" fillId="0" borderId="0"/>
    <xf numFmtId="0" fontId="24" fillId="0" borderId="0"/>
    <xf numFmtId="4" fontId="105" fillId="0" borderId="0" applyNumberFormat="0" applyProtection="0">
      <alignment horizontal="left" vertical="center" indent="1"/>
    </xf>
    <xf numFmtId="0" fontId="24" fillId="0" borderId="0"/>
    <xf numFmtId="0" fontId="24" fillId="0" borderId="0"/>
    <xf numFmtId="0" fontId="24" fillId="0" borderId="0"/>
    <xf numFmtId="4" fontId="72" fillId="90" borderId="64" applyNumberFormat="0" applyProtection="0">
      <alignment horizontal="left" vertical="center" indent="1"/>
    </xf>
    <xf numFmtId="4" fontId="72" fillId="90" borderId="64" applyNumberFormat="0" applyProtection="0">
      <alignment horizontal="left" vertical="center" indent="1"/>
    </xf>
    <xf numFmtId="0" fontId="24" fillId="0" borderId="0"/>
    <xf numFmtId="0" fontId="24" fillId="0" borderId="0"/>
    <xf numFmtId="0" fontId="24" fillId="0" borderId="0"/>
    <xf numFmtId="4" fontId="105" fillId="0" borderId="0" applyNumberFormat="0" applyProtection="0">
      <alignment horizontal="left" vertical="center" indent="1"/>
    </xf>
    <xf numFmtId="4" fontId="60" fillId="89" borderId="36" applyNumberFormat="0" applyProtection="0">
      <alignment horizontal="left" vertical="center" indent="1"/>
    </xf>
    <xf numFmtId="0" fontId="24" fillId="0" borderId="0"/>
    <xf numFmtId="0" fontId="24" fillId="0" borderId="0"/>
    <xf numFmtId="4" fontId="60" fillId="89" borderId="36" applyNumberFormat="0" applyProtection="0">
      <alignment horizontal="left" vertical="center" indent="1"/>
    </xf>
    <xf numFmtId="4" fontId="60" fillId="90" borderId="0" applyNumberFormat="0" applyProtection="0">
      <alignment horizontal="left" vertical="center" indent="1"/>
    </xf>
    <xf numFmtId="0" fontId="24" fillId="0" borderId="0"/>
    <xf numFmtId="0" fontId="24" fillId="0" borderId="0"/>
    <xf numFmtId="0" fontId="24" fillId="0" borderId="0"/>
    <xf numFmtId="0" fontId="24" fillId="0" borderId="0"/>
    <xf numFmtId="0" fontId="24" fillId="0" borderId="0"/>
    <xf numFmtId="4" fontId="72" fillId="105" borderId="64" applyNumberFormat="0" applyProtection="0">
      <alignment horizontal="left" vertical="center" indent="1"/>
    </xf>
    <xf numFmtId="0" fontId="24" fillId="0" borderId="0"/>
    <xf numFmtId="0" fontId="24" fillId="0" borderId="0"/>
    <xf numFmtId="0" fontId="24" fillId="0" borderId="0"/>
    <xf numFmtId="4" fontId="72" fillId="105" borderId="64" applyNumberFormat="0" applyProtection="0">
      <alignment horizontal="left" vertical="center" indent="1"/>
    </xf>
    <xf numFmtId="0" fontId="24" fillId="0" borderId="0"/>
    <xf numFmtId="0" fontId="24" fillId="0" borderId="0"/>
    <xf numFmtId="4" fontId="105" fillId="0" borderId="0" applyNumberFormat="0" applyProtection="0">
      <alignment horizontal="left" vertical="center" indent="1"/>
    </xf>
    <xf numFmtId="0" fontId="24" fillId="0" borderId="0"/>
    <xf numFmtId="0" fontId="24" fillId="0" borderId="0"/>
    <xf numFmtId="0" fontId="24" fillId="0" borderId="0"/>
    <xf numFmtId="4" fontId="72" fillId="105" borderId="64" applyNumberFormat="0" applyProtection="0">
      <alignment horizontal="left" vertical="center" indent="1"/>
    </xf>
    <xf numFmtId="4" fontId="72" fillId="105" borderId="64" applyNumberFormat="0" applyProtection="0">
      <alignment horizontal="left" vertical="center" indent="1"/>
    </xf>
    <xf numFmtId="0" fontId="24" fillId="0" borderId="0"/>
    <xf numFmtId="0" fontId="24" fillId="0" borderId="0"/>
    <xf numFmtId="0" fontId="24" fillId="0" borderId="0"/>
    <xf numFmtId="4" fontId="105" fillId="0" borderId="0" applyNumberFormat="0" applyProtection="0">
      <alignment horizontal="left" vertical="center" indent="1"/>
    </xf>
    <xf numFmtId="4" fontId="60" fillId="139" borderId="36" applyNumberFormat="0" applyProtection="0">
      <alignment horizontal="left" vertical="center" indent="1"/>
    </xf>
    <xf numFmtId="0" fontId="24" fillId="0" borderId="0"/>
    <xf numFmtId="0" fontId="24" fillId="0" borderId="0"/>
    <xf numFmtId="4" fontId="60" fillId="139" borderId="36" applyNumberFormat="0" applyProtection="0">
      <alignment horizontal="left" vertical="center" indent="1"/>
    </xf>
    <xf numFmtId="4" fontId="60" fillId="105" borderId="0" applyNumberFormat="0" applyProtection="0">
      <alignment horizontal="left" vertical="center" indent="1"/>
    </xf>
    <xf numFmtId="0" fontId="24" fillId="0" borderId="0"/>
    <xf numFmtId="0" fontId="24" fillId="0" borderId="0"/>
    <xf numFmtId="0" fontId="24" fillId="0" borderId="0"/>
    <xf numFmtId="0" fontId="24" fillId="0" borderId="0"/>
    <xf numFmtId="0" fontId="24" fillId="0" borderId="0"/>
    <xf numFmtId="0" fontId="72" fillId="49" borderId="54" applyNumberFormat="0" applyProtection="0">
      <alignment horizontal="left" vertical="center" indent="1"/>
    </xf>
    <xf numFmtId="0" fontId="24" fillId="0" borderId="0"/>
    <xf numFmtId="0" fontId="24" fillId="0" borderId="0"/>
    <xf numFmtId="0" fontId="24" fillId="0" borderId="0"/>
    <xf numFmtId="0" fontId="72" fillId="49" borderId="54" applyNumberFormat="0" applyProtection="0">
      <alignment horizontal="left" vertical="center" indent="1"/>
    </xf>
    <xf numFmtId="0" fontId="24" fillId="0" borderId="0"/>
    <xf numFmtId="0" fontId="24" fillId="0" borderId="0"/>
    <xf numFmtId="0" fontId="105" fillId="85" borderId="1" applyNumberFormat="0" applyProtection="0">
      <alignment horizontal="left" vertical="center" indent="2"/>
    </xf>
    <xf numFmtId="0" fontId="24" fillId="0" borderId="0"/>
    <xf numFmtId="0" fontId="24" fillId="0" borderId="0"/>
    <xf numFmtId="0" fontId="24" fillId="0" borderId="0"/>
    <xf numFmtId="0" fontId="72" fillId="49" borderId="54" applyNumberFormat="0" applyProtection="0">
      <alignment horizontal="left" vertical="center" indent="1"/>
    </xf>
    <xf numFmtId="0" fontId="72" fillId="49" borderId="54" applyNumberFormat="0" applyProtection="0">
      <alignment horizontal="left" vertical="center" indent="1"/>
    </xf>
    <xf numFmtId="0" fontId="24" fillId="0" borderId="0"/>
    <xf numFmtId="0" fontId="24" fillId="0" borderId="0"/>
    <xf numFmtId="0" fontId="24" fillId="0" borderId="0"/>
    <xf numFmtId="0" fontId="24" fillId="139" borderId="36" applyNumberFormat="0" applyProtection="0">
      <alignment horizontal="left" vertical="center" indent="1"/>
    </xf>
    <xf numFmtId="0" fontId="105" fillId="85" borderId="1" applyNumberFormat="0" applyProtection="0">
      <alignment horizontal="left" vertical="center" indent="2"/>
    </xf>
    <xf numFmtId="0" fontId="24" fillId="139" borderId="36" applyNumberFormat="0" applyProtection="0">
      <alignment horizontal="left" vertical="center" indent="1"/>
    </xf>
    <xf numFmtId="0" fontId="24" fillId="139" borderId="36" applyNumberFormat="0" applyProtection="0">
      <alignment horizontal="left" vertical="center" indent="1"/>
    </xf>
    <xf numFmtId="0" fontId="24" fillId="0" borderId="0"/>
    <xf numFmtId="0" fontId="24" fillId="0" borderId="0"/>
    <xf numFmtId="0" fontId="24" fillId="139" borderId="36" applyNumberFormat="0" applyProtection="0">
      <alignment horizontal="left" vertical="center" indent="1"/>
    </xf>
    <xf numFmtId="0" fontId="24" fillId="66" borderId="37" applyNumberFormat="0" applyProtection="0">
      <alignment horizontal="left" vertical="center" indent="1"/>
    </xf>
    <xf numFmtId="0" fontId="24" fillId="139" borderId="36" applyNumberFormat="0" applyProtection="0">
      <alignment horizontal="left" vertical="center" indent="1"/>
    </xf>
    <xf numFmtId="0" fontId="24" fillId="0" borderId="0"/>
    <xf numFmtId="0" fontId="24" fillId="0" borderId="0"/>
    <xf numFmtId="0" fontId="24" fillId="0" borderId="0"/>
    <xf numFmtId="0" fontId="24" fillId="0" borderId="0"/>
    <xf numFmtId="0" fontId="24" fillId="84" borderId="37" applyNumberFormat="0" applyProtection="0">
      <alignment horizontal="left" vertical="top" indent="1"/>
    </xf>
    <xf numFmtId="0" fontId="24" fillId="0" borderId="0"/>
    <xf numFmtId="0" fontId="24" fillId="0" borderId="0"/>
    <xf numFmtId="0" fontId="24" fillId="0" borderId="0"/>
    <xf numFmtId="0" fontId="72" fillId="66" borderId="37" applyNumberFormat="0" applyProtection="0">
      <alignment horizontal="left" vertical="top" indent="1"/>
    </xf>
    <xf numFmtId="0" fontId="72" fillId="66" borderId="37" applyNumberFormat="0" applyProtection="0">
      <alignment horizontal="left" vertical="top" indent="1"/>
    </xf>
    <xf numFmtId="0" fontId="24" fillId="0" borderId="0"/>
    <xf numFmtId="0" fontId="24" fillId="0" borderId="0"/>
    <xf numFmtId="0" fontId="24" fillId="0" borderId="0"/>
    <xf numFmtId="0" fontId="24" fillId="139" borderId="36" applyNumberFormat="0" applyProtection="0">
      <alignment horizontal="left" vertical="center" indent="1"/>
    </xf>
    <xf numFmtId="0" fontId="24" fillId="84" borderId="37" applyNumberFormat="0" applyProtection="0">
      <alignment horizontal="left" vertical="top" indent="1"/>
    </xf>
    <xf numFmtId="0" fontId="24" fillId="139" borderId="36" applyNumberFormat="0" applyProtection="0">
      <alignment horizontal="left" vertical="center" indent="1"/>
    </xf>
    <xf numFmtId="0" fontId="24" fillId="139" borderId="36" applyNumberFormat="0" applyProtection="0">
      <alignment horizontal="left" vertical="center" indent="1"/>
    </xf>
    <xf numFmtId="0" fontId="24" fillId="0" borderId="0"/>
    <xf numFmtId="0" fontId="24" fillId="0" borderId="0"/>
    <xf numFmtId="0" fontId="24" fillId="84" borderId="37" applyNumberFormat="0" applyProtection="0">
      <alignment horizontal="left" vertical="top" indent="1"/>
    </xf>
    <xf numFmtId="0" fontId="24" fillId="139" borderId="36" applyNumberFormat="0" applyProtection="0">
      <alignment horizontal="left" vertical="center" indent="1"/>
    </xf>
    <xf numFmtId="0" fontId="24" fillId="0" borderId="0"/>
    <xf numFmtId="0" fontId="24" fillId="0" borderId="0"/>
    <xf numFmtId="0" fontId="24" fillId="0" borderId="0"/>
    <xf numFmtId="0" fontId="24" fillId="139" borderId="36" applyNumberFormat="0" applyProtection="0">
      <alignment horizontal="left" vertical="center" indent="1"/>
    </xf>
    <xf numFmtId="0" fontId="24" fillId="66" borderId="37" applyNumberFormat="0" applyProtection="0">
      <alignment horizontal="left" vertical="top" indent="1"/>
    </xf>
    <xf numFmtId="0" fontId="24" fillId="0" borderId="0"/>
    <xf numFmtId="0" fontId="24" fillId="0" borderId="0"/>
    <xf numFmtId="0" fontId="24" fillId="0" borderId="0"/>
    <xf numFmtId="0" fontId="24" fillId="0" borderId="0"/>
    <xf numFmtId="0" fontId="24" fillId="0" borderId="0"/>
    <xf numFmtId="0" fontId="72" fillId="71" borderId="54" applyNumberFormat="0" applyProtection="0">
      <alignment horizontal="left" vertical="center" indent="1"/>
    </xf>
    <xf numFmtId="0" fontId="24" fillId="0" borderId="0"/>
    <xf numFmtId="0" fontId="24" fillId="0" borderId="0"/>
    <xf numFmtId="0" fontId="24" fillId="0" borderId="0"/>
    <xf numFmtId="0" fontId="72" fillId="71" borderId="54" applyNumberFormat="0" applyProtection="0">
      <alignment horizontal="left" vertical="center" indent="1"/>
    </xf>
    <xf numFmtId="0" fontId="24" fillId="0" borderId="0"/>
    <xf numFmtId="0" fontId="24" fillId="0" borderId="0"/>
    <xf numFmtId="0" fontId="72" fillId="71" borderId="54" applyNumberFormat="0" applyProtection="0">
      <alignment horizontal="left" vertical="center" indent="1"/>
    </xf>
    <xf numFmtId="0" fontId="72" fillId="71" borderId="54" applyNumberFormat="0" applyProtection="0">
      <alignment horizontal="left" vertical="center" indent="1"/>
    </xf>
    <xf numFmtId="0" fontId="24" fillId="0" borderId="0"/>
    <xf numFmtId="0" fontId="24" fillId="0" borderId="0"/>
    <xf numFmtId="0" fontId="24" fillId="0" borderId="0"/>
    <xf numFmtId="0" fontId="24" fillId="83" borderId="36" applyNumberFormat="0" applyProtection="0">
      <alignment horizontal="left" vertical="center" indent="1"/>
    </xf>
    <xf numFmtId="0" fontId="92" fillId="0" borderId="1" applyNumberFormat="0" applyProtection="0">
      <alignment horizontal="left" vertical="center" indent="2"/>
    </xf>
    <xf numFmtId="0" fontId="24" fillId="83" borderId="36" applyNumberFormat="0" applyProtection="0">
      <alignment horizontal="left" vertical="center" indent="1"/>
    </xf>
    <xf numFmtId="0" fontId="24" fillId="83" borderId="36" applyNumberFormat="0" applyProtection="0">
      <alignment horizontal="left" vertical="center" indent="1"/>
    </xf>
    <xf numFmtId="0" fontId="24" fillId="0" borderId="0"/>
    <xf numFmtId="0" fontId="24" fillId="0" borderId="0"/>
    <xf numFmtId="0" fontId="24" fillId="83" borderId="36" applyNumberFormat="0" applyProtection="0">
      <alignment horizontal="left" vertical="center" indent="1"/>
    </xf>
    <xf numFmtId="0" fontId="24" fillId="105" borderId="37" applyNumberFormat="0" applyProtection="0">
      <alignment horizontal="left" vertical="center" indent="1"/>
    </xf>
    <xf numFmtId="0" fontId="24" fillId="83" borderId="36" applyNumberFormat="0" applyProtection="0">
      <alignment horizontal="left" vertical="center" indent="1"/>
    </xf>
    <xf numFmtId="0" fontId="24" fillId="0" borderId="0"/>
    <xf numFmtId="0" fontId="24" fillId="0" borderId="0"/>
    <xf numFmtId="0" fontId="24" fillId="0" borderId="0"/>
    <xf numFmtId="0" fontId="24" fillId="0" borderId="0"/>
    <xf numFmtId="0" fontId="24" fillId="86" borderId="37" applyNumberFormat="0" applyProtection="0">
      <alignment horizontal="left" vertical="top" indent="1"/>
    </xf>
    <xf numFmtId="0" fontId="24" fillId="0" borderId="0"/>
    <xf numFmtId="0" fontId="24" fillId="0" borderId="0"/>
    <xf numFmtId="0" fontId="24" fillId="0" borderId="0"/>
    <xf numFmtId="0" fontId="72" fillId="105" borderId="37" applyNumberFormat="0" applyProtection="0">
      <alignment horizontal="left" vertical="top" indent="1"/>
    </xf>
    <xf numFmtId="0" fontId="72" fillId="105" borderId="37" applyNumberFormat="0" applyProtection="0">
      <alignment horizontal="left" vertical="top" indent="1"/>
    </xf>
    <xf numFmtId="0" fontId="24" fillId="0" borderId="0"/>
    <xf numFmtId="0" fontId="24" fillId="0" borderId="0"/>
    <xf numFmtId="0" fontId="24" fillId="0" borderId="0"/>
    <xf numFmtId="0" fontId="24" fillId="83" borderId="36" applyNumberFormat="0" applyProtection="0">
      <alignment horizontal="left" vertical="center" indent="1"/>
    </xf>
    <xf numFmtId="0" fontId="24" fillId="86" borderId="37" applyNumberFormat="0" applyProtection="0">
      <alignment horizontal="left" vertical="top" indent="1"/>
    </xf>
    <xf numFmtId="0" fontId="24" fillId="83" borderId="36" applyNumberFormat="0" applyProtection="0">
      <alignment horizontal="left" vertical="center" indent="1"/>
    </xf>
    <xf numFmtId="0" fontId="24" fillId="83" borderId="36" applyNumberFormat="0" applyProtection="0">
      <alignment horizontal="left" vertical="center" indent="1"/>
    </xf>
    <xf numFmtId="0" fontId="24" fillId="0" borderId="0"/>
    <xf numFmtId="0" fontId="24" fillId="0" borderId="0"/>
    <xf numFmtId="0" fontId="24" fillId="86" borderId="37" applyNumberFormat="0" applyProtection="0">
      <alignment horizontal="left" vertical="top" indent="1"/>
    </xf>
    <xf numFmtId="0" fontId="24" fillId="83" borderId="36" applyNumberFormat="0" applyProtection="0">
      <alignment horizontal="left" vertical="center" indent="1"/>
    </xf>
    <xf numFmtId="0" fontId="24" fillId="0" borderId="0"/>
    <xf numFmtId="0" fontId="24" fillId="0" borderId="0"/>
    <xf numFmtId="0" fontId="24" fillId="0" borderId="0"/>
    <xf numFmtId="0" fontId="24" fillId="83" borderId="36" applyNumberFormat="0" applyProtection="0">
      <alignment horizontal="left" vertical="center" indent="1"/>
    </xf>
    <xf numFmtId="0" fontId="24" fillId="105" borderId="37" applyNumberFormat="0" applyProtection="0">
      <alignment horizontal="left" vertical="top" indent="1"/>
    </xf>
    <xf numFmtId="0" fontId="24" fillId="0" borderId="0"/>
    <xf numFmtId="0" fontId="24" fillId="0" borderId="0"/>
    <xf numFmtId="0" fontId="24" fillId="0" borderId="0"/>
    <xf numFmtId="0" fontId="24" fillId="0" borderId="0"/>
    <xf numFmtId="0" fontId="24" fillId="0" borderId="0"/>
    <xf numFmtId="0" fontId="72" fillId="45" borderId="54" applyNumberFormat="0" applyProtection="0">
      <alignment horizontal="left" vertical="center" indent="1"/>
    </xf>
    <xf numFmtId="0" fontId="24" fillId="0" borderId="0"/>
    <xf numFmtId="0" fontId="24" fillId="0" borderId="0"/>
    <xf numFmtId="0" fontId="24" fillId="0" borderId="0"/>
    <xf numFmtId="0" fontId="72" fillId="45" borderId="54" applyNumberFormat="0" applyProtection="0">
      <alignment horizontal="left" vertical="center" indent="1"/>
    </xf>
    <xf numFmtId="0" fontId="24" fillId="0" borderId="0"/>
    <xf numFmtId="0" fontId="24" fillId="0" borderId="0"/>
    <xf numFmtId="0" fontId="72" fillId="45" borderId="54" applyNumberFormat="0" applyProtection="0">
      <alignment horizontal="left" vertical="center" indent="1"/>
    </xf>
    <xf numFmtId="0" fontId="72" fillId="45" borderId="54" applyNumberFormat="0" applyProtection="0">
      <alignment horizontal="left" vertical="center" indent="1"/>
    </xf>
    <xf numFmtId="0" fontId="24" fillId="0" borderId="0"/>
    <xf numFmtId="0" fontId="24" fillId="0" borderId="0"/>
    <xf numFmtId="0" fontId="24" fillId="0" borderId="0"/>
    <xf numFmtId="0" fontId="24" fillId="74" borderId="36" applyNumberFormat="0" applyProtection="0">
      <alignment horizontal="left" vertical="center" indent="1"/>
    </xf>
    <xf numFmtId="0" fontId="92" fillId="0" borderId="1" applyNumberFormat="0" applyProtection="0">
      <alignment horizontal="left" vertical="center" indent="2"/>
    </xf>
    <xf numFmtId="0" fontId="24" fillId="74" borderId="36" applyNumberFormat="0" applyProtection="0">
      <alignment horizontal="left" vertical="center" indent="1"/>
    </xf>
    <xf numFmtId="0" fontId="24" fillId="74" borderId="36" applyNumberFormat="0" applyProtection="0">
      <alignment horizontal="left" vertical="center" indent="1"/>
    </xf>
    <xf numFmtId="0" fontId="24" fillId="0" borderId="0"/>
    <xf numFmtId="0" fontId="24" fillId="0" borderId="0"/>
    <xf numFmtId="0" fontId="24" fillId="74" borderId="36" applyNumberFormat="0" applyProtection="0">
      <alignment horizontal="left" vertical="center" indent="1"/>
    </xf>
    <xf numFmtId="0" fontId="24" fillId="45" borderId="37" applyNumberFormat="0" applyProtection="0">
      <alignment horizontal="left" vertical="center" indent="1"/>
    </xf>
    <xf numFmtId="0" fontId="24" fillId="74" borderId="36" applyNumberFormat="0" applyProtection="0">
      <alignment horizontal="left" vertical="center" indent="1"/>
    </xf>
    <xf numFmtId="0" fontId="24" fillId="0" borderId="0"/>
    <xf numFmtId="0" fontId="24" fillId="0" borderId="0"/>
    <xf numFmtId="0" fontId="24" fillId="0" borderId="0"/>
    <xf numFmtId="0" fontId="24" fillId="0" borderId="0"/>
    <xf numFmtId="0" fontId="24" fillId="70" borderId="37" applyNumberFormat="0" applyProtection="0">
      <alignment horizontal="left" vertical="top" indent="1"/>
    </xf>
    <xf numFmtId="0" fontId="24" fillId="0" borderId="0"/>
    <xf numFmtId="0" fontId="24" fillId="0" borderId="0"/>
    <xf numFmtId="0" fontId="24" fillId="0" borderId="0"/>
    <xf numFmtId="0" fontId="72" fillId="45" borderId="37" applyNumberFormat="0" applyProtection="0">
      <alignment horizontal="left" vertical="top" indent="1"/>
    </xf>
    <xf numFmtId="0" fontId="72" fillId="45" borderId="37" applyNumberFormat="0" applyProtection="0">
      <alignment horizontal="left" vertical="top" indent="1"/>
    </xf>
    <xf numFmtId="0" fontId="24" fillId="0" borderId="0"/>
    <xf numFmtId="0" fontId="24" fillId="0" borderId="0"/>
    <xf numFmtId="0" fontId="24" fillId="0" borderId="0"/>
    <xf numFmtId="0" fontId="24" fillId="74" borderId="36" applyNumberFormat="0" applyProtection="0">
      <alignment horizontal="left" vertical="center" indent="1"/>
    </xf>
    <xf numFmtId="0" fontId="24" fillId="70" borderId="37" applyNumberFormat="0" applyProtection="0">
      <alignment horizontal="left" vertical="top" indent="1"/>
    </xf>
    <xf numFmtId="0" fontId="24" fillId="74" borderId="36" applyNumberFormat="0" applyProtection="0">
      <alignment horizontal="left" vertical="center" indent="1"/>
    </xf>
    <xf numFmtId="0" fontId="24" fillId="74" borderId="36" applyNumberFormat="0" applyProtection="0">
      <alignment horizontal="left" vertical="center" indent="1"/>
    </xf>
    <xf numFmtId="0" fontId="24" fillId="0" borderId="0"/>
    <xf numFmtId="0" fontId="24" fillId="0" borderId="0"/>
    <xf numFmtId="0" fontId="24" fillId="70" borderId="37" applyNumberFormat="0" applyProtection="0">
      <alignment horizontal="left" vertical="top" indent="1"/>
    </xf>
    <xf numFmtId="0" fontId="24" fillId="74" borderId="36" applyNumberFormat="0" applyProtection="0">
      <alignment horizontal="left" vertical="center" indent="1"/>
    </xf>
    <xf numFmtId="0" fontId="24" fillId="0" borderId="0"/>
    <xf numFmtId="0" fontId="24" fillId="0" borderId="0"/>
    <xf numFmtId="0" fontId="24" fillId="0" borderId="0"/>
    <xf numFmtId="0" fontId="24" fillId="74" borderId="36" applyNumberFormat="0" applyProtection="0">
      <alignment horizontal="left" vertical="center" indent="1"/>
    </xf>
    <xf numFmtId="0" fontId="24" fillId="45" borderId="37" applyNumberFormat="0" applyProtection="0">
      <alignment horizontal="left" vertical="top" indent="1"/>
    </xf>
    <xf numFmtId="0" fontId="24" fillId="0" borderId="0"/>
    <xf numFmtId="0" fontId="24" fillId="0" borderId="0"/>
    <xf numFmtId="0" fontId="24" fillId="0" borderId="0"/>
    <xf numFmtId="0" fontId="24" fillId="0" borderId="0"/>
    <xf numFmtId="0" fontId="24" fillId="0" borderId="0"/>
    <xf numFmtId="0" fontId="72" fillId="90" borderId="54" applyNumberFormat="0" applyProtection="0">
      <alignment horizontal="left" vertical="center" indent="1"/>
    </xf>
    <xf numFmtId="0" fontId="24" fillId="0" borderId="0"/>
    <xf numFmtId="0" fontId="24" fillId="0" borderId="0"/>
    <xf numFmtId="0" fontId="24" fillId="0" borderId="0"/>
    <xf numFmtId="0" fontId="72" fillId="90" borderId="54" applyNumberFormat="0" applyProtection="0">
      <alignment horizontal="left" vertical="center" indent="1"/>
    </xf>
    <xf numFmtId="0" fontId="24" fillId="0" borderId="0"/>
    <xf numFmtId="0" fontId="24" fillId="0" borderId="0"/>
    <xf numFmtId="0" fontId="72" fillId="90" borderId="54" applyNumberFormat="0" applyProtection="0">
      <alignment horizontal="left" vertical="center" indent="1"/>
    </xf>
    <xf numFmtId="0" fontId="72" fillId="90" borderId="54" applyNumberFormat="0" applyProtection="0">
      <alignment horizontal="left" vertical="center" indent="1"/>
    </xf>
    <xf numFmtId="0" fontId="24" fillId="0" borderId="0"/>
    <xf numFmtId="0" fontId="24" fillId="0" borderId="0"/>
    <xf numFmtId="0" fontId="24" fillId="0" borderId="0"/>
    <xf numFmtId="0" fontId="24" fillId="131" borderId="36" applyNumberFormat="0" applyProtection="0">
      <alignment horizontal="left" vertical="center" indent="1"/>
    </xf>
    <xf numFmtId="0" fontId="92" fillId="0" borderId="1" applyNumberFormat="0" applyProtection="0">
      <alignment horizontal="left" vertical="center" indent="2"/>
    </xf>
    <xf numFmtId="0" fontId="24" fillId="131" borderId="36" applyNumberFormat="0" applyProtection="0">
      <alignment horizontal="left" vertical="center" indent="1"/>
    </xf>
    <xf numFmtId="0" fontId="24" fillId="131" borderId="36" applyNumberFormat="0" applyProtection="0">
      <alignment horizontal="left" vertical="center" indent="1"/>
    </xf>
    <xf numFmtId="0" fontId="24" fillId="0" borderId="0"/>
    <xf numFmtId="0" fontId="24" fillId="0" borderId="0"/>
    <xf numFmtId="0" fontId="24" fillId="131" borderId="36" applyNumberFormat="0" applyProtection="0">
      <alignment horizontal="left" vertical="center" indent="1"/>
    </xf>
    <xf numFmtId="0" fontId="24" fillId="90" borderId="37" applyNumberFormat="0" applyProtection="0">
      <alignment horizontal="left" vertical="center" indent="1"/>
    </xf>
    <xf numFmtId="0" fontId="24" fillId="131" borderId="36" applyNumberFormat="0" applyProtection="0">
      <alignment horizontal="left" vertical="center" indent="1"/>
    </xf>
    <xf numFmtId="0" fontId="24" fillId="0" borderId="0"/>
    <xf numFmtId="0" fontId="24" fillId="0" borderId="0"/>
    <xf numFmtId="0" fontId="24" fillId="0" borderId="0"/>
    <xf numFmtId="0" fontId="24" fillId="0" borderId="0"/>
    <xf numFmtId="0" fontId="24" fillId="87" borderId="37" applyNumberFormat="0" applyProtection="0">
      <alignment horizontal="left" vertical="top" indent="1"/>
    </xf>
    <xf numFmtId="0" fontId="24" fillId="0" borderId="0"/>
    <xf numFmtId="0" fontId="24" fillId="0" borderId="0"/>
    <xf numFmtId="0" fontId="24" fillId="0" borderId="0"/>
    <xf numFmtId="0" fontId="72" fillId="90" borderId="37" applyNumberFormat="0" applyProtection="0">
      <alignment horizontal="left" vertical="top" indent="1"/>
    </xf>
    <xf numFmtId="0" fontId="72" fillId="90" borderId="37" applyNumberFormat="0" applyProtection="0">
      <alignment horizontal="left" vertical="top" indent="1"/>
    </xf>
    <xf numFmtId="0" fontId="24" fillId="0" borderId="0"/>
    <xf numFmtId="0" fontId="24" fillId="0" borderId="0"/>
    <xf numFmtId="0" fontId="24" fillId="0" borderId="0"/>
    <xf numFmtId="0" fontId="24" fillId="131" borderId="36" applyNumberFormat="0" applyProtection="0">
      <alignment horizontal="left" vertical="center" indent="1"/>
    </xf>
    <xf numFmtId="0" fontId="24" fillId="87" borderId="37" applyNumberFormat="0" applyProtection="0">
      <alignment horizontal="left" vertical="top" indent="1"/>
    </xf>
    <xf numFmtId="0" fontId="24" fillId="131" borderId="36" applyNumberFormat="0" applyProtection="0">
      <alignment horizontal="left" vertical="center" indent="1"/>
    </xf>
    <xf numFmtId="0" fontId="24" fillId="131" borderId="36" applyNumberFormat="0" applyProtection="0">
      <alignment horizontal="left" vertical="center" indent="1"/>
    </xf>
    <xf numFmtId="0" fontId="24" fillId="0" borderId="0"/>
    <xf numFmtId="0" fontId="24" fillId="0" borderId="0"/>
    <xf numFmtId="0" fontId="24" fillId="87" borderId="37" applyNumberFormat="0" applyProtection="0">
      <alignment horizontal="left" vertical="top" indent="1"/>
    </xf>
    <xf numFmtId="0" fontId="24" fillId="131" borderId="36" applyNumberFormat="0" applyProtection="0">
      <alignment horizontal="left" vertical="center" indent="1"/>
    </xf>
    <xf numFmtId="0" fontId="24" fillId="0" borderId="0"/>
    <xf numFmtId="0" fontId="24" fillId="0" borderId="0"/>
    <xf numFmtId="0" fontId="24" fillId="0" borderId="0"/>
    <xf numFmtId="0" fontId="24" fillId="131" borderId="36" applyNumberFormat="0" applyProtection="0">
      <alignment horizontal="left" vertical="center" indent="1"/>
    </xf>
    <xf numFmtId="0" fontId="24" fillId="90" borderId="37" applyNumberFormat="0" applyProtection="0">
      <alignment horizontal="left" vertical="top" indent="1"/>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72" fillId="88" borderId="67" applyNumberFormat="0">
      <protection locked="0"/>
    </xf>
    <xf numFmtId="0" fontId="15" fillId="0" borderId="0"/>
    <xf numFmtId="0" fontId="24" fillId="88" borderId="1" applyNumberFormat="0">
      <protection locked="0"/>
    </xf>
    <xf numFmtId="0" fontId="24" fillId="0" borderId="0"/>
    <xf numFmtId="0" fontId="24" fillId="0" borderId="0"/>
    <xf numFmtId="0" fontId="24" fillId="0" borderId="0"/>
    <xf numFmtId="0" fontId="24" fillId="88" borderId="1" applyNumberFormat="0">
      <protection locked="0"/>
    </xf>
    <xf numFmtId="0" fontId="24" fillId="0" borderId="0"/>
    <xf numFmtId="0" fontId="24" fillId="0" borderId="0"/>
    <xf numFmtId="0" fontId="24" fillId="0" borderId="0"/>
    <xf numFmtId="0" fontId="72" fillId="88" borderId="67" applyNumberFormat="0">
      <protection locked="0"/>
    </xf>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88" borderId="1" applyNumberFormat="0">
      <protection locked="0"/>
    </xf>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15" fillId="0" borderId="0"/>
    <xf numFmtId="0" fontId="24" fillId="0" borderId="0"/>
    <xf numFmtId="0" fontId="24" fillId="0" borderId="0"/>
    <xf numFmtId="0" fontId="24" fillId="88" borderId="1" applyNumberFormat="0">
      <protection locked="0"/>
    </xf>
    <xf numFmtId="0"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15" fillId="0" borderId="0"/>
    <xf numFmtId="0" fontId="15" fillId="0" borderId="0"/>
    <xf numFmtId="0" fontId="24" fillId="0" borderId="0"/>
    <xf numFmtId="0" fontId="24" fillId="0" borderId="0"/>
    <xf numFmtId="0" fontId="24" fillId="0" borderId="0"/>
    <xf numFmtId="0" fontId="106" fillId="66" borderId="68" applyBorder="0"/>
    <xf numFmtId="0" fontId="106" fillId="66" borderId="68" applyBorder="0"/>
    <xf numFmtId="0" fontId="24" fillId="0" borderId="0"/>
    <xf numFmtId="0" fontId="24" fillId="0" borderId="0"/>
    <xf numFmtId="0" fontId="24" fillId="0" borderId="0"/>
    <xf numFmtId="0" fontId="24" fillId="0" borderId="0"/>
    <xf numFmtId="4" fontId="96" fillId="40" borderId="37" applyNumberFormat="0" applyProtection="0">
      <alignment vertical="center"/>
    </xf>
    <xf numFmtId="4" fontId="96" fillId="40" borderId="37" applyNumberFormat="0" applyProtection="0">
      <alignment vertical="center"/>
    </xf>
    <xf numFmtId="0" fontId="24" fillId="0" borderId="0"/>
    <xf numFmtId="0" fontId="24" fillId="0" borderId="0"/>
    <xf numFmtId="0" fontId="24" fillId="0" borderId="0"/>
    <xf numFmtId="4" fontId="60" fillId="75" borderId="37" applyNumberFormat="0" applyProtection="0">
      <alignment vertical="center"/>
    </xf>
    <xf numFmtId="4" fontId="60" fillId="75" borderId="36" applyNumberFormat="0" applyProtection="0">
      <alignment vertical="center"/>
    </xf>
    <xf numFmtId="0" fontId="24" fillId="0" borderId="0"/>
    <xf numFmtId="0" fontId="24" fillId="0" borderId="0"/>
    <xf numFmtId="4" fontId="60" fillId="75" borderId="36" applyNumberFormat="0" applyProtection="0">
      <alignment vertical="center"/>
    </xf>
    <xf numFmtId="4" fontId="60" fillId="40" borderId="37" applyNumberFormat="0" applyProtection="0">
      <alignment vertical="center"/>
    </xf>
    <xf numFmtId="0" fontId="24" fillId="0" borderId="0"/>
    <xf numFmtId="0" fontId="24" fillId="0" borderId="0"/>
    <xf numFmtId="0" fontId="24" fillId="0" borderId="0"/>
    <xf numFmtId="0" fontId="24" fillId="0" borderId="0"/>
    <xf numFmtId="4" fontId="161" fillId="75" borderId="1" applyNumberFormat="0" applyProtection="0">
      <alignment vertical="center"/>
    </xf>
    <xf numFmtId="4" fontId="161" fillId="75" borderId="1" applyNumberFormat="0" applyProtection="0">
      <alignment vertical="center"/>
    </xf>
    <xf numFmtId="0" fontId="24" fillId="0" borderId="0"/>
    <xf numFmtId="0" fontId="24" fillId="0" borderId="0"/>
    <xf numFmtId="0" fontId="24" fillId="0" borderId="0"/>
    <xf numFmtId="4" fontId="110" fillId="75" borderId="37" applyNumberFormat="0" applyProtection="0">
      <alignment vertical="center"/>
    </xf>
    <xf numFmtId="4" fontId="110" fillId="75" borderId="36" applyNumberFormat="0" applyProtection="0">
      <alignment vertical="center"/>
    </xf>
    <xf numFmtId="0" fontId="24" fillId="0" borderId="0"/>
    <xf numFmtId="0" fontId="24" fillId="0" borderId="0"/>
    <xf numFmtId="4" fontId="110" fillId="75" borderId="36" applyNumberFormat="0" applyProtection="0">
      <alignment vertical="center"/>
    </xf>
    <xf numFmtId="4" fontId="110" fillId="40" borderId="37" applyNumberFormat="0" applyProtection="0">
      <alignment vertical="center"/>
    </xf>
    <xf numFmtId="0" fontId="24" fillId="0" borderId="0"/>
    <xf numFmtId="0" fontId="24" fillId="0" borderId="0"/>
    <xf numFmtId="4" fontId="111" fillId="80" borderId="38">
      <alignment vertical="center"/>
    </xf>
    <xf numFmtId="0" fontId="24" fillId="0" borderId="0"/>
    <xf numFmtId="0" fontId="24" fillId="0" borderId="0"/>
    <xf numFmtId="0" fontId="24" fillId="0" borderId="0"/>
    <xf numFmtId="4" fontId="112" fillId="80" borderId="38">
      <alignment vertical="center"/>
    </xf>
    <xf numFmtId="0" fontId="24" fillId="0" borderId="0"/>
    <xf numFmtId="0" fontId="24" fillId="0" borderId="0"/>
    <xf numFmtId="0" fontId="24" fillId="0" borderId="0"/>
    <xf numFmtId="4" fontId="111" fillId="81" borderId="38">
      <alignment vertical="center"/>
    </xf>
    <xf numFmtId="0" fontId="24" fillId="0" borderId="0"/>
    <xf numFmtId="0" fontId="24" fillId="0" borderId="0"/>
    <xf numFmtId="0" fontId="24" fillId="0" borderId="0"/>
    <xf numFmtId="4" fontId="112" fillId="81" borderId="38">
      <alignment vertical="center"/>
    </xf>
    <xf numFmtId="0" fontId="24" fillId="0" borderId="0"/>
    <xf numFmtId="0" fontId="24" fillId="0" borderId="0"/>
    <xf numFmtId="0" fontId="24" fillId="0" borderId="0"/>
    <xf numFmtId="0" fontId="24" fillId="0" borderId="0"/>
    <xf numFmtId="0" fontId="24" fillId="0" borderId="0"/>
    <xf numFmtId="4" fontId="96" fillId="49" borderId="37" applyNumberFormat="0" applyProtection="0">
      <alignment horizontal="left" vertical="center" indent="1"/>
    </xf>
    <xf numFmtId="4" fontId="96" fillId="49" borderId="37" applyNumberFormat="0" applyProtection="0">
      <alignment horizontal="left" vertical="center" indent="1"/>
    </xf>
    <xf numFmtId="0" fontId="24" fillId="0" borderId="0"/>
    <xf numFmtId="0" fontId="24" fillId="0" borderId="0"/>
    <xf numFmtId="0" fontId="24" fillId="0" borderId="0"/>
    <xf numFmtId="4" fontId="96" fillId="0" borderId="0" applyNumberFormat="0" applyProtection="0">
      <alignment horizontal="left" vertical="center" indent="1"/>
    </xf>
    <xf numFmtId="4" fontId="60" fillId="75" borderId="36" applyNumberFormat="0" applyProtection="0">
      <alignment horizontal="left" vertical="center" indent="1"/>
    </xf>
    <xf numFmtId="0" fontId="24" fillId="0" borderId="0"/>
    <xf numFmtId="0" fontId="24" fillId="0" borderId="0"/>
    <xf numFmtId="4" fontId="60" fillId="75" borderId="36" applyNumberFormat="0" applyProtection="0">
      <alignment horizontal="left" vertical="center" indent="1"/>
    </xf>
    <xf numFmtId="4" fontId="60" fillId="40" borderId="37" applyNumberFormat="0" applyProtection="0">
      <alignment horizontal="left" vertical="center" indent="1"/>
    </xf>
    <xf numFmtId="0" fontId="24" fillId="0" borderId="0"/>
    <xf numFmtId="0" fontId="24" fillId="0" borderId="0"/>
    <xf numFmtId="0" fontId="24" fillId="0" borderId="0"/>
    <xf numFmtId="0" fontId="24" fillId="0" borderId="0"/>
    <xf numFmtId="0" fontId="96" fillId="40" borderId="37" applyNumberFormat="0" applyProtection="0">
      <alignment horizontal="left" vertical="top" indent="1"/>
    </xf>
    <xf numFmtId="0" fontId="96" fillId="40" borderId="37" applyNumberFormat="0" applyProtection="0">
      <alignment horizontal="left" vertical="top" indent="1"/>
    </xf>
    <xf numFmtId="0" fontId="24" fillId="0" borderId="0"/>
    <xf numFmtId="0" fontId="24" fillId="0" borderId="0"/>
    <xf numFmtId="0" fontId="24" fillId="0" borderId="0"/>
    <xf numFmtId="0" fontId="60" fillId="75" borderId="37" applyNumberFormat="0" applyProtection="0">
      <alignment horizontal="left" vertical="top" indent="1"/>
    </xf>
    <xf numFmtId="4" fontId="60" fillId="75" borderId="36" applyNumberFormat="0" applyProtection="0">
      <alignment horizontal="left" vertical="center" indent="1"/>
    </xf>
    <xf numFmtId="0" fontId="24" fillId="0" borderId="0"/>
    <xf numFmtId="0" fontId="24" fillId="0" borderId="0"/>
    <xf numFmtId="4" fontId="60" fillId="75" borderId="36" applyNumberFormat="0" applyProtection="0">
      <alignment horizontal="left" vertical="center" indent="1"/>
    </xf>
    <xf numFmtId="0" fontId="60" fillId="40" borderId="37" applyNumberFormat="0" applyProtection="0">
      <alignment horizontal="left" vertical="top" indent="1"/>
    </xf>
    <xf numFmtId="0" fontId="24" fillId="0" borderId="0"/>
    <xf numFmtId="0" fontId="24" fillId="0" borderId="0"/>
    <xf numFmtId="0" fontId="24" fillId="0" borderId="0"/>
    <xf numFmtId="0" fontId="24" fillId="0" borderId="0"/>
    <xf numFmtId="0" fontId="24" fillId="0" borderId="0"/>
    <xf numFmtId="4" fontId="72" fillId="0" borderId="54" applyNumberFormat="0" applyProtection="0">
      <alignment horizontal="right" vertical="center"/>
    </xf>
    <xf numFmtId="0" fontId="24" fillId="0" borderId="0"/>
    <xf numFmtId="0" fontId="24" fillId="0" borderId="0"/>
    <xf numFmtId="4" fontId="60" fillId="89" borderId="36" applyNumberFormat="0" applyProtection="0">
      <alignment horizontal="right" vertical="center"/>
    </xf>
    <xf numFmtId="4" fontId="72" fillId="0" borderId="54" applyNumberFormat="0" applyProtection="0">
      <alignment horizontal="right" vertical="center"/>
    </xf>
    <xf numFmtId="0" fontId="24" fillId="0" borderId="0"/>
    <xf numFmtId="0" fontId="24" fillId="0" borderId="0"/>
    <xf numFmtId="0" fontId="24" fillId="0" borderId="0"/>
    <xf numFmtId="4" fontId="72" fillId="0" borderId="54" applyNumberFormat="0" applyProtection="0">
      <alignment horizontal="right" vertical="center"/>
    </xf>
    <xf numFmtId="0" fontId="24" fillId="0" borderId="0"/>
    <xf numFmtId="0" fontId="24" fillId="0" borderId="0"/>
    <xf numFmtId="4" fontId="113" fillId="0" borderId="1" applyNumberFormat="0" applyProtection="0">
      <alignment horizontal="right" vertical="center" wrapText="1"/>
    </xf>
    <xf numFmtId="0" fontId="24" fillId="0" borderId="0"/>
    <xf numFmtId="0" fontId="24" fillId="0" borderId="0"/>
    <xf numFmtId="0" fontId="24" fillId="0" borderId="0"/>
    <xf numFmtId="4" fontId="72" fillId="0" borderId="54" applyNumberFormat="0" applyProtection="0">
      <alignment horizontal="right" vertical="center"/>
    </xf>
    <xf numFmtId="4" fontId="60" fillId="89" borderId="36" applyNumberFormat="0" applyProtection="0">
      <alignment horizontal="right" vertical="center"/>
    </xf>
    <xf numFmtId="0" fontId="24" fillId="0" borderId="0"/>
    <xf numFmtId="0" fontId="24" fillId="0" borderId="0"/>
    <xf numFmtId="0" fontId="24" fillId="0" borderId="0"/>
    <xf numFmtId="4" fontId="72" fillId="0" borderId="54" applyNumberFormat="0" applyProtection="0">
      <alignment horizontal="right" vertical="center"/>
    </xf>
    <xf numFmtId="4" fontId="113" fillId="0" borderId="1" applyNumberFormat="0" applyProtection="0">
      <alignment horizontal="right" vertical="center" wrapText="1"/>
    </xf>
    <xf numFmtId="4" fontId="60" fillId="89" borderId="36" applyNumberFormat="0" applyProtection="0">
      <alignment horizontal="right" vertical="center"/>
    </xf>
    <xf numFmtId="0" fontId="24" fillId="0" borderId="0"/>
    <xf numFmtId="4" fontId="60" fillId="89" borderId="36" applyNumberFormat="0" applyProtection="0">
      <alignment horizontal="right" vertical="center"/>
    </xf>
    <xf numFmtId="0" fontId="24" fillId="0" borderId="0"/>
    <xf numFmtId="0" fontId="24" fillId="0" borderId="0"/>
    <xf numFmtId="4" fontId="60" fillId="90" borderId="37" applyNumberFormat="0" applyProtection="0">
      <alignment horizontal="right" vertical="center"/>
    </xf>
    <xf numFmtId="0" fontId="24" fillId="0" borderId="0"/>
    <xf numFmtId="0" fontId="24" fillId="0" borderId="0"/>
    <xf numFmtId="0" fontId="24" fillId="0" borderId="0"/>
    <xf numFmtId="0" fontId="24" fillId="0" borderId="0"/>
    <xf numFmtId="4" fontId="161" fillId="76" borderId="54" applyNumberFormat="0" applyProtection="0">
      <alignment horizontal="right" vertical="center"/>
    </xf>
    <xf numFmtId="4" fontId="161" fillId="76" borderId="54" applyNumberFormat="0" applyProtection="0">
      <alignment horizontal="right" vertical="center"/>
    </xf>
    <xf numFmtId="0" fontId="24" fillId="0" borderId="0"/>
    <xf numFmtId="0" fontId="24" fillId="0" borderId="0"/>
    <xf numFmtId="0" fontId="24" fillId="0" borderId="0"/>
    <xf numFmtId="4" fontId="110" fillId="90" borderId="37" applyNumberFormat="0" applyProtection="0">
      <alignment horizontal="right" vertical="center"/>
    </xf>
    <xf numFmtId="4" fontId="110" fillId="89" borderId="36" applyNumberFormat="0" applyProtection="0">
      <alignment horizontal="right" vertical="center"/>
    </xf>
    <xf numFmtId="0" fontId="24" fillId="0" borderId="0"/>
    <xf numFmtId="0" fontId="24" fillId="0" borderId="0"/>
    <xf numFmtId="4" fontId="110" fillId="89" borderId="36" applyNumberFormat="0" applyProtection="0">
      <alignment horizontal="right" vertical="center"/>
    </xf>
    <xf numFmtId="4" fontId="110" fillId="90" borderId="37" applyNumberFormat="0" applyProtection="0">
      <alignment horizontal="right" vertical="center"/>
    </xf>
    <xf numFmtId="0" fontId="24" fillId="0" borderId="0"/>
    <xf numFmtId="0" fontId="24" fillId="0" borderId="0"/>
    <xf numFmtId="4" fontId="114" fillId="80" borderId="38">
      <alignment vertical="center"/>
    </xf>
    <xf numFmtId="0" fontId="24" fillId="0" borderId="0"/>
    <xf numFmtId="0" fontId="24" fillId="0" borderId="0"/>
    <xf numFmtId="0" fontId="24" fillId="0" borderId="0"/>
    <xf numFmtId="4" fontId="115" fillId="80" borderId="38">
      <alignment vertical="center"/>
    </xf>
    <xf numFmtId="0" fontId="24" fillId="0" borderId="0"/>
    <xf numFmtId="0" fontId="24" fillId="0" borderId="0"/>
    <xf numFmtId="0" fontId="24" fillId="0" borderId="0"/>
    <xf numFmtId="4" fontId="114" fillId="81" borderId="38">
      <alignment vertical="center"/>
    </xf>
    <xf numFmtId="0" fontId="24" fillId="0" borderId="0"/>
    <xf numFmtId="0" fontId="24" fillId="0" borderId="0"/>
    <xf numFmtId="0" fontId="24" fillId="0" borderId="0"/>
    <xf numFmtId="4" fontId="115" fillId="91" borderId="38">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4" fontId="72" fillId="53" borderId="54" applyNumberFormat="0" applyProtection="0">
      <alignment horizontal="left" vertical="center" indent="1"/>
    </xf>
    <xf numFmtId="0" fontId="24" fillId="0" borderId="0"/>
    <xf numFmtId="0" fontId="24" fillId="0" borderId="0"/>
    <xf numFmtId="0" fontId="24" fillId="0" borderId="0"/>
    <xf numFmtId="4" fontId="72" fillId="53" borderId="54" applyNumberFormat="0" applyProtection="0">
      <alignment horizontal="left" vertical="center" indent="1"/>
    </xf>
    <xf numFmtId="0" fontId="24" fillId="0" borderId="0"/>
    <xf numFmtId="0" fontId="24" fillId="0" borderId="0"/>
    <xf numFmtId="4" fontId="113" fillId="0" borderId="1" applyNumberFormat="0" applyProtection="0">
      <alignment horizontal="left" vertical="center" indent="1"/>
    </xf>
    <xf numFmtId="0" fontId="24" fillId="0" borderId="0"/>
    <xf numFmtId="0" fontId="24" fillId="0" borderId="0"/>
    <xf numFmtId="0" fontId="24" fillId="0" borderId="0"/>
    <xf numFmtId="4" fontId="72" fillId="53" borderId="54" applyNumberFormat="0" applyProtection="0">
      <alignment horizontal="left" vertical="center" indent="1"/>
    </xf>
    <xf numFmtId="4" fontId="72" fillId="53" borderId="54" applyNumberFormat="0" applyProtection="0">
      <alignment horizontal="left" vertical="center" indent="1"/>
    </xf>
    <xf numFmtId="0" fontId="24" fillId="0" borderId="0"/>
    <xf numFmtId="0" fontId="24" fillId="0" borderId="0"/>
    <xf numFmtId="0" fontId="24" fillId="0" borderId="0"/>
    <xf numFmtId="0" fontId="24" fillId="131" borderId="36" applyNumberFormat="0" applyProtection="0">
      <alignment horizontal="left" vertical="center" indent="1"/>
    </xf>
    <xf numFmtId="4" fontId="113" fillId="0" borderId="1" applyNumberFormat="0" applyProtection="0">
      <alignment horizontal="left" vertical="center" indent="1"/>
    </xf>
    <xf numFmtId="0" fontId="24" fillId="131" borderId="36" applyNumberFormat="0" applyProtection="0">
      <alignment horizontal="left" vertical="center" indent="1"/>
    </xf>
    <xf numFmtId="0" fontId="24" fillId="131" borderId="36" applyNumberFormat="0" applyProtection="0">
      <alignment horizontal="left" vertical="center" indent="1"/>
    </xf>
    <xf numFmtId="0" fontId="24" fillId="0" borderId="0"/>
    <xf numFmtId="0" fontId="24" fillId="0" borderId="0"/>
    <xf numFmtId="0" fontId="24" fillId="131" borderId="36" applyNumberFormat="0" applyProtection="0">
      <alignment horizontal="left" vertical="center" indent="1"/>
    </xf>
    <xf numFmtId="4" fontId="60" fillId="105" borderId="37" applyNumberFormat="0" applyProtection="0">
      <alignment horizontal="left" vertical="center" indent="1"/>
    </xf>
    <xf numFmtId="0" fontId="24" fillId="131" borderId="36" applyNumberFormat="0" applyProtection="0">
      <alignment horizontal="left" vertical="center" indent="1"/>
    </xf>
    <xf numFmtId="0" fontId="24" fillId="0" borderId="0"/>
    <xf numFmtId="0" fontId="24" fillId="0" borderId="0"/>
    <xf numFmtId="0" fontId="24" fillId="0" borderId="0"/>
    <xf numFmtId="0" fontId="24" fillId="0" borderId="0"/>
    <xf numFmtId="0" fontId="105" fillId="92" borderId="1" applyNumberFormat="0" applyProtection="0">
      <alignment horizontal="center" vertical="top" wrapText="1"/>
    </xf>
    <xf numFmtId="0" fontId="24" fillId="0" borderId="0"/>
    <xf numFmtId="0" fontId="24" fillId="0" borderId="0"/>
    <xf numFmtId="0" fontId="24" fillId="0" borderId="0"/>
    <xf numFmtId="0" fontId="96" fillId="105" borderId="37" applyNumberFormat="0" applyProtection="0">
      <alignment horizontal="left" vertical="top" indent="1"/>
    </xf>
    <xf numFmtId="0" fontId="96" fillId="105" borderId="37" applyNumberFormat="0" applyProtection="0">
      <alignment horizontal="left" vertical="top" indent="1"/>
    </xf>
    <xf numFmtId="0" fontId="24" fillId="0" borderId="0"/>
    <xf numFmtId="0" fontId="24" fillId="0" borderId="0"/>
    <xf numFmtId="0" fontId="24" fillId="0" borderId="0"/>
    <xf numFmtId="0" fontId="24" fillId="131" borderId="36" applyNumberFormat="0" applyProtection="0">
      <alignment horizontal="left" vertical="center" indent="1"/>
    </xf>
    <xf numFmtId="0" fontId="105" fillId="92" borderId="1" applyNumberFormat="0" applyProtection="0">
      <alignment horizontal="center" vertical="top" wrapText="1"/>
    </xf>
    <xf numFmtId="0" fontId="24" fillId="131" borderId="36" applyNumberFormat="0" applyProtection="0">
      <alignment horizontal="left" vertical="center" indent="1"/>
    </xf>
    <xf numFmtId="0" fontId="24" fillId="131" borderId="36" applyNumberFormat="0" applyProtection="0">
      <alignment horizontal="left" vertical="center" indent="1"/>
    </xf>
    <xf numFmtId="0" fontId="24" fillId="0" borderId="0"/>
    <xf numFmtId="0" fontId="24" fillId="0" borderId="0"/>
    <xf numFmtId="0" fontId="24" fillId="131" borderId="36" applyNumberFormat="0" applyProtection="0">
      <alignment horizontal="left" vertical="center" indent="1"/>
    </xf>
    <xf numFmtId="0" fontId="60" fillId="105" borderId="37" applyNumberFormat="0" applyProtection="0">
      <alignment horizontal="left" vertical="top" indent="1"/>
    </xf>
    <xf numFmtId="0" fontId="24" fillId="131" borderId="36" applyNumberFormat="0" applyProtection="0">
      <alignment horizontal="left" vertical="center" indent="1"/>
    </xf>
    <xf numFmtId="0" fontId="24" fillId="0" borderId="0"/>
    <xf numFmtId="0" fontId="24" fillId="0" borderId="0"/>
    <xf numFmtId="4" fontId="116" fillId="76" borderId="39">
      <alignment vertical="center"/>
    </xf>
    <xf numFmtId="0" fontId="24" fillId="0" borderId="0"/>
    <xf numFmtId="0" fontId="24" fillId="0" borderId="0"/>
    <xf numFmtId="0" fontId="24" fillId="0" borderId="0"/>
    <xf numFmtId="4" fontId="117" fillId="76" borderId="39">
      <alignment vertical="center"/>
    </xf>
    <xf numFmtId="0" fontId="24" fillId="0" borderId="0"/>
    <xf numFmtId="0" fontId="24" fillId="0" borderId="0"/>
    <xf numFmtId="0" fontId="24" fillId="0" borderId="0"/>
    <xf numFmtId="4" fontId="102" fillId="80" borderId="39">
      <alignment vertical="center"/>
    </xf>
    <xf numFmtId="0" fontId="24" fillId="0" borderId="0"/>
    <xf numFmtId="0" fontId="24" fillId="0" borderId="0"/>
    <xf numFmtId="0" fontId="24" fillId="0" borderId="0"/>
    <xf numFmtId="4" fontId="103" fillId="80" borderId="39">
      <alignment vertical="center"/>
    </xf>
    <xf numFmtId="0" fontId="24" fillId="0" borderId="0"/>
    <xf numFmtId="0" fontId="24" fillId="0" borderId="0"/>
    <xf numFmtId="0" fontId="24" fillId="0" borderId="0"/>
    <xf numFmtId="4" fontId="102" fillId="81" borderId="38">
      <alignment vertical="center"/>
    </xf>
    <xf numFmtId="0" fontId="24" fillId="0" borderId="0"/>
    <xf numFmtId="0" fontId="24" fillId="0" borderId="0"/>
    <xf numFmtId="0" fontId="24" fillId="0" borderId="0"/>
    <xf numFmtId="4" fontId="103" fillId="81" borderId="38">
      <alignment vertical="center"/>
    </xf>
    <xf numFmtId="0" fontId="24" fillId="0" borderId="0"/>
    <xf numFmtId="0" fontId="24" fillId="0" borderId="0"/>
    <xf numFmtId="0" fontId="24" fillId="0" borderId="0"/>
    <xf numFmtId="4" fontId="118" fillId="75" borderId="39">
      <alignment horizontal="left" vertical="center" indent="1"/>
    </xf>
    <xf numFmtId="0" fontId="24" fillId="0" borderId="0"/>
    <xf numFmtId="0" fontId="24" fillId="0" borderId="0"/>
    <xf numFmtId="0" fontId="24" fillId="0" borderId="0"/>
    <xf numFmtId="0" fontId="24" fillId="0" borderId="0"/>
    <xf numFmtId="0" fontId="24" fillId="0" borderId="0"/>
    <xf numFmtId="4" fontId="163" fillId="140" borderId="64" applyNumberFormat="0" applyProtection="0">
      <alignment horizontal="left" vertical="center" indent="1"/>
    </xf>
    <xf numFmtId="4" fontId="163" fillId="140" borderId="64" applyNumberFormat="0" applyProtection="0">
      <alignment horizontal="left" vertical="center" indent="1"/>
    </xf>
    <xf numFmtId="0" fontId="24" fillId="0" borderId="0"/>
    <xf numFmtId="0" fontId="24" fillId="0" borderId="0"/>
    <xf numFmtId="0" fontId="24" fillId="0" borderId="0"/>
    <xf numFmtId="4" fontId="119" fillId="0" borderId="0" applyNumberFormat="0" applyProtection="0">
      <alignment vertical="center"/>
    </xf>
    <xf numFmtId="0" fontId="164" fillId="0" borderId="0"/>
    <xf numFmtId="0" fontId="24" fillId="0" borderId="0"/>
    <xf numFmtId="0" fontId="24" fillId="0" borderId="0"/>
    <xf numFmtId="0" fontId="164" fillId="0" borderId="0"/>
    <xf numFmtId="4" fontId="165" fillId="140" borderId="0" applyNumberFormat="0" applyProtection="0">
      <alignment horizontal="left" vertical="center" indent="1"/>
    </xf>
    <xf numFmtId="0" fontId="24" fillId="0" borderId="0"/>
    <xf numFmtId="0" fontId="24" fillId="0" borderId="0"/>
    <xf numFmtId="0" fontId="24" fillId="0" borderId="0"/>
    <xf numFmtId="0" fontId="24" fillId="0" borderId="0"/>
    <xf numFmtId="0" fontId="72" fillId="141" borderId="1"/>
    <xf numFmtId="0" fontId="72" fillId="141" borderId="1"/>
    <xf numFmtId="0" fontId="24" fillId="0" borderId="0"/>
    <xf numFmtId="0" fontId="24" fillId="0" borderId="0"/>
    <xf numFmtId="0" fontId="24" fillId="0" borderId="0"/>
    <xf numFmtId="0" fontId="72" fillId="141" borderId="1"/>
    <xf numFmtId="0" fontId="24" fillId="0" borderId="0"/>
    <xf numFmtId="0" fontId="24" fillId="0" borderId="0"/>
    <xf numFmtId="0" fontId="72" fillId="141" borderId="1"/>
    <xf numFmtId="0" fontId="72" fillId="141" borderId="1"/>
    <xf numFmtId="0" fontId="24" fillId="0" borderId="0"/>
    <xf numFmtId="0" fontId="24" fillId="0" borderId="0"/>
    <xf numFmtId="0" fontId="24" fillId="0" borderId="0"/>
    <xf numFmtId="0" fontId="24" fillId="0" borderId="0"/>
    <xf numFmtId="4" fontId="166" fillId="88" borderId="54" applyNumberFormat="0" applyProtection="0">
      <alignment horizontal="right" vertical="center"/>
    </xf>
    <xf numFmtId="4" fontId="166" fillId="88" borderId="54" applyNumberFormat="0" applyProtection="0">
      <alignment horizontal="right" vertical="center"/>
    </xf>
    <xf numFmtId="0" fontId="24" fillId="0" borderId="0"/>
    <xf numFmtId="0" fontId="24" fillId="0" borderId="0"/>
    <xf numFmtId="0" fontId="24" fillId="0" borderId="0"/>
    <xf numFmtId="4" fontId="120" fillId="0" borderId="37" applyNumberFormat="0" applyProtection="0">
      <alignment horizontal="right" vertical="center"/>
    </xf>
    <xf numFmtId="4" fontId="120" fillId="89" borderId="36" applyNumberFormat="0" applyProtection="0">
      <alignment horizontal="right" vertical="center"/>
    </xf>
    <xf numFmtId="0" fontId="24" fillId="0" borderId="0"/>
    <xf numFmtId="0" fontId="24" fillId="0" borderId="0"/>
    <xf numFmtId="4" fontId="120" fillId="89" borderId="36" applyNumberFormat="0" applyProtection="0">
      <alignment horizontal="right" vertical="center"/>
    </xf>
    <xf numFmtId="4" fontId="120" fillId="90" borderId="37" applyNumberFormat="0" applyProtection="0">
      <alignment horizontal="right" vertical="center"/>
    </xf>
    <xf numFmtId="0" fontId="24" fillId="0" borderId="0"/>
    <xf numFmtId="0" fontId="24" fillId="0" borderId="0"/>
    <xf numFmtId="1" fontId="24" fillId="0" borderId="2" applyFill="0" applyBorder="0">
      <alignment horizontal="center"/>
    </xf>
    <xf numFmtId="0" fontId="24" fillId="0" borderId="0"/>
    <xf numFmtId="0" fontId="24" fillId="0" borderId="0"/>
    <xf numFmtId="0" fontId="24" fillId="0" borderId="0"/>
    <xf numFmtId="0" fontId="121" fillId="93" borderId="0"/>
    <xf numFmtId="0" fontId="24" fillId="0" borderId="0"/>
    <xf numFmtId="0" fontId="24" fillId="0" borderId="0"/>
    <xf numFmtId="0" fontId="24" fillId="0" borderId="0"/>
    <xf numFmtId="49" fontId="122" fillId="93" borderId="0"/>
    <xf numFmtId="0" fontId="24" fillId="0" borderId="0"/>
    <xf numFmtId="0" fontId="24" fillId="0" borderId="0"/>
    <xf numFmtId="0" fontId="24" fillId="0" borderId="0"/>
    <xf numFmtId="49" fontId="123" fillId="93" borderId="69"/>
    <xf numFmtId="0" fontId="24" fillId="0" borderId="0"/>
    <xf numFmtId="0" fontId="24" fillId="0" borderId="0"/>
    <xf numFmtId="0" fontId="24" fillId="0" borderId="0"/>
    <xf numFmtId="49" fontId="123" fillId="93" borderId="0"/>
    <xf numFmtId="0" fontId="24" fillId="0" borderId="0"/>
    <xf numFmtId="0" fontId="24" fillId="0" borderId="0"/>
    <xf numFmtId="0" fontId="24" fillId="0" borderId="0"/>
    <xf numFmtId="0" fontId="121" fillId="76" borderId="69">
      <protection locked="0"/>
    </xf>
    <xf numFmtId="0" fontId="24" fillId="0" borderId="0"/>
    <xf numFmtId="0" fontId="24" fillId="0" borderId="0"/>
    <xf numFmtId="0" fontId="24" fillId="0" borderId="0"/>
    <xf numFmtId="0" fontId="121" fillId="93" borderId="0"/>
    <xf numFmtId="0" fontId="24" fillId="0" borderId="0"/>
    <xf numFmtId="0" fontId="24" fillId="0" borderId="0"/>
    <xf numFmtId="0" fontId="24" fillId="0" borderId="0"/>
    <xf numFmtId="0" fontId="124" fillId="94" borderId="0"/>
    <xf numFmtId="0" fontId="24" fillId="0" borderId="0"/>
    <xf numFmtId="0" fontId="24" fillId="0" borderId="0"/>
    <xf numFmtId="0" fontId="24" fillId="0" borderId="0"/>
    <xf numFmtId="0" fontId="124" fillId="95" borderId="0"/>
    <xf numFmtId="0" fontId="24" fillId="0" borderId="0"/>
    <xf numFmtId="0" fontId="24" fillId="0" borderId="0"/>
    <xf numFmtId="0" fontId="24" fillId="0" borderId="0"/>
    <xf numFmtId="0" fontId="124" fillId="96" borderId="0"/>
    <xf numFmtId="0" fontId="24" fillId="0" borderId="0"/>
    <xf numFmtId="0" fontId="24" fillId="0" borderId="0"/>
    <xf numFmtId="0" fontId="24" fillId="0" borderId="0"/>
    <xf numFmtId="0" fontId="24" fillId="0" borderId="0"/>
    <xf numFmtId="0" fontId="125" fillId="0" borderId="0" applyNumberFormat="0" applyFill="0" applyBorder="0" applyAlignment="0" applyProtection="0"/>
    <xf numFmtId="0" fontId="125" fillId="0" borderId="0" applyNumberFormat="0" applyFill="0" applyBorder="0" applyAlignment="0" applyProtection="0"/>
    <xf numFmtId="0" fontId="24" fillId="0" borderId="0"/>
    <xf numFmtId="0" fontId="24" fillId="0" borderId="0"/>
    <xf numFmtId="200" fontId="126" fillId="0" borderId="50">
      <alignment horizontal="center"/>
    </xf>
    <xf numFmtId="0" fontId="24" fillId="0" borderId="0"/>
    <xf numFmtId="0" fontId="24" fillId="0" borderId="0"/>
    <xf numFmtId="0" fontId="24" fillId="0" borderId="0"/>
    <xf numFmtId="0" fontId="48" fillId="0" borderId="0"/>
    <xf numFmtId="0" fontId="24" fillId="0" borderId="0"/>
    <xf numFmtId="0" fontId="24" fillId="0" borderId="0"/>
    <xf numFmtId="0" fontId="24" fillId="0" borderId="0"/>
    <xf numFmtId="0" fontId="24" fillId="0" borderId="0"/>
    <xf numFmtId="0" fontId="167" fillId="0" borderId="0" applyNumberFormat="0" applyFill="0" applyBorder="0" applyProtection="0">
      <alignment vertical="center"/>
    </xf>
    <xf numFmtId="0" fontId="168" fillId="0" borderId="0" applyNumberFormat="0" applyFill="0" applyBorder="0" applyProtection="0">
      <alignment horizontal="center" wrapText="1"/>
    </xf>
    <xf numFmtId="0" fontId="168" fillId="0" borderId="0" applyNumberFormat="0" applyFill="0" applyBorder="0" applyProtection="0">
      <alignment horizontal="center" wrapText="1"/>
    </xf>
    <xf numFmtId="0" fontId="169" fillId="0" borderId="0" applyNumberFormat="0" applyFill="0" applyBorder="0" applyAlignment="0" applyProtection="0"/>
    <xf numFmtId="0" fontId="169"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24" fillId="0" borderId="0"/>
    <xf numFmtId="0" fontId="24" fillId="0" borderId="0"/>
    <xf numFmtId="0" fontId="127" fillId="0" borderId="0" applyNumberFormat="0" applyFont="0" applyFill="0" applyBorder="0" applyAlignment="0" applyProtection="0"/>
    <xf numFmtId="0" fontId="24" fillId="0" borderId="0"/>
    <xf numFmtId="208" fontId="168" fillId="0" borderId="0" applyFill="0" applyBorder="0" applyProtection="0">
      <alignment horizontal="center"/>
    </xf>
    <xf numFmtId="208" fontId="168" fillId="0" borderId="0" applyFill="0" applyBorder="0" applyProtection="0">
      <alignment horizontal="center"/>
    </xf>
    <xf numFmtId="0" fontId="24" fillId="0" borderId="0"/>
    <xf numFmtId="208" fontId="170" fillId="0" borderId="0" applyFill="0" applyBorder="0" applyProtection="0">
      <alignment horizontal="center"/>
    </xf>
    <xf numFmtId="0" fontId="24" fillId="0" borderId="0"/>
    <xf numFmtId="0" fontId="24" fillId="0" borderId="0"/>
    <xf numFmtId="210" fontId="24" fillId="0" borderId="0" applyFill="0" applyBorder="0" applyAlignment="0" applyProtection="0">
      <alignment wrapText="1"/>
    </xf>
    <xf numFmtId="208" fontId="170" fillId="0" borderId="0" applyFill="0" applyBorder="0" applyProtection="0">
      <alignment horizontal="center"/>
    </xf>
    <xf numFmtId="0" fontId="24" fillId="0" borderId="0"/>
    <xf numFmtId="217" fontId="168" fillId="0" borderId="0" applyFill="0" applyBorder="0" applyProtection="0">
      <alignment horizontal="center"/>
    </xf>
    <xf numFmtId="217" fontId="168" fillId="0" borderId="0" applyFill="0" applyBorder="0" applyProtection="0">
      <alignment horizontal="center"/>
    </xf>
    <xf numFmtId="0" fontId="24" fillId="0" borderId="0"/>
    <xf numFmtId="41" fontId="26" fillId="0" borderId="0" applyFont="0" applyFill="0" applyBorder="0" applyAlignment="0" applyProtection="0"/>
    <xf numFmtId="0" fontId="24" fillId="0" borderId="0"/>
    <xf numFmtId="0" fontId="24" fillId="0" borderId="0"/>
    <xf numFmtId="217" fontId="170" fillId="0" borderId="0" applyFill="0" applyBorder="0" applyProtection="0">
      <alignment horizontal="center"/>
    </xf>
    <xf numFmtId="217" fontId="170" fillId="0" borderId="0" applyFill="0" applyBorder="0" applyProtection="0">
      <alignment horizontal="center"/>
    </xf>
    <xf numFmtId="0" fontId="170" fillId="0" borderId="0" applyNumberFormat="0" applyFill="0" applyBorder="0" applyProtection="0">
      <alignment wrapText="1"/>
    </xf>
    <xf numFmtId="0" fontId="170" fillId="0" borderId="0" applyNumberFormat="0" applyFill="0" applyBorder="0" applyProtection="0">
      <alignment wrapText="1"/>
    </xf>
    <xf numFmtId="0" fontId="170" fillId="0" borderId="1" applyNumberFormat="0" applyFill="0" applyProtection="0">
      <alignment wrapText="1"/>
    </xf>
    <xf numFmtId="0" fontId="170" fillId="0" borderId="1" applyNumberFormat="0" applyFill="0" applyProtection="0">
      <alignment wrapText="1"/>
    </xf>
    <xf numFmtId="0" fontId="170" fillId="0" borderId="0" applyNumberFormat="0" applyFill="0" applyBorder="0" applyAlignment="0" applyProtection="0"/>
    <xf numFmtId="0" fontId="170" fillId="0" borderId="0" applyNumberFormat="0" applyFill="0" applyBorder="0" applyAlignment="0" applyProtection="0"/>
    <xf numFmtId="0" fontId="24" fillId="0" borderId="51" applyNumberFormat="0" applyFont="0" applyFill="0" applyAlignment="0" applyProtection="0"/>
    <xf numFmtId="0" fontId="24" fillId="0" borderId="51" applyNumberFormat="0" applyFont="0" applyFill="0" applyAlignment="0" applyProtection="0"/>
    <xf numFmtId="0" fontId="24" fillId="0" borderId="51" applyNumberFormat="0" applyFont="0" applyFill="0" applyAlignment="0" applyProtection="0"/>
    <xf numFmtId="0" fontId="24" fillId="0" borderId="51" applyNumberFormat="0" applyFont="0" applyFill="0" applyAlignment="0" applyProtection="0"/>
    <xf numFmtId="0" fontId="24" fillId="0" borderId="0"/>
    <xf numFmtId="0" fontId="24" fillId="0" borderId="3" applyNumberFormat="0" applyFont="0" applyFill="0" applyAlignment="0" applyProtection="0"/>
    <xf numFmtId="0" fontId="24" fillId="0" borderId="3" applyNumberFormat="0" applyFont="0" applyFill="0" applyAlignment="0" applyProtection="0"/>
    <xf numFmtId="0" fontId="24" fillId="0" borderId="0"/>
    <xf numFmtId="0" fontId="24" fillId="0" borderId="3" applyNumberFormat="0" applyFont="0" applyFill="0" applyAlignment="0" applyProtection="0"/>
    <xf numFmtId="0" fontId="24" fillId="0" borderId="0"/>
    <xf numFmtId="0" fontId="28" fillId="0" borderId="0" applyNumberFormat="0" applyFill="0" applyBorder="0">
      <alignment horizontal="center" wrapText="1"/>
    </xf>
    <xf numFmtId="0" fontId="24" fillId="0" borderId="3" applyNumberFormat="0" applyFont="0" applyFill="0" applyAlignment="0" applyProtection="0"/>
    <xf numFmtId="0" fontId="24" fillId="0" borderId="0"/>
    <xf numFmtId="0" fontId="24" fillId="0" borderId="0"/>
    <xf numFmtId="0" fontId="24" fillId="0" borderId="49" applyNumberFormat="0" applyFont="0" applyFill="0" applyAlignment="0" applyProtection="0"/>
    <xf numFmtId="0" fontId="24" fillId="0" borderId="49" applyNumberFormat="0" applyFont="0" applyFill="0" applyAlignment="0" applyProtection="0"/>
    <xf numFmtId="0" fontId="24" fillId="0" borderId="0"/>
    <xf numFmtId="0" fontId="24" fillId="0" borderId="49" applyNumberFormat="0" applyFont="0" applyFill="0" applyAlignment="0" applyProtection="0"/>
    <xf numFmtId="0" fontId="24" fillId="0" borderId="0"/>
    <xf numFmtId="0" fontId="28" fillId="0" borderId="0" applyNumberFormat="0" applyFill="0" applyBorder="0">
      <alignment horizontal="center" wrapText="1"/>
    </xf>
    <xf numFmtId="0" fontId="24" fillId="0" borderId="49" applyNumberFormat="0" applyFont="0" applyFill="0" applyAlignment="0" applyProtection="0"/>
    <xf numFmtId="0" fontId="24" fillId="0" borderId="0"/>
    <xf numFmtId="0" fontId="24" fillId="0" borderId="10" applyNumberFormat="0" applyFont="0" applyFill="0" applyAlignment="0" applyProtection="0"/>
    <xf numFmtId="0" fontId="24" fillId="0" borderId="10" applyNumberFormat="0" applyFont="0" applyFill="0" applyAlignment="0" applyProtection="0"/>
    <xf numFmtId="0" fontId="24" fillId="0" borderId="10" applyNumberFormat="0" applyFont="0" applyFill="0" applyAlignment="0" applyProtection="0"/>
    <xf numFmtId="0" fontId="24" fillId="0" borderId="10" applyNumberFormat="0" applyFont="0" applyFill="0" applyAlignment="0" applyProtection="0"/>
    <xf numFmtId="0" fontId="24" fillId="0" borderId="48" applyNumberFormat="0" applyFont="0" applyFill="0" applyAlignment="0" applyProtection="0"/>
    <xf numFmtId="0" fontId="24" fillId="0" borderId="48" applyNumberFormat="0" applyFont="0" applyFill="0" applyAlignment="0" applyProtection="0"/>
    <xf numFmtId="0" fontId="24" fillId="0" borderId="48" applyNumberFormat="0" applyFont="0" applyFill="0" applyAlignment="0" applyProtection="0"/>
    <xf numFmtId="0" fontId="24" fillId="0" borderId="48" applyNumberFormat="0" applyFont="0" applyFill="0" applyAlignment="0" applyProtection="0"/>
    <xf numFmtId="0" fontId="24" fillId="0" borderId="53" applyNumberFormat="0" applyFont="0" applyFill="0" applyAlignment="0" applyProtection="0"/>
    <xf numFmtId="0" fontId="24" fillId="0" borderId="53" applyNumberFormat="0" applyFont="0" applyFill="0" applyAlignment="0" applyProtection="0"/>
    <xf numFmtId="0" fontId="24" fillId="0" borderId="53" applyNumberFormat="0" applyFont="0" applyFill="0" applyAlignment="0" applyProtection="0"/>
    <xf numFmtId="0" fontId="24" fillId="0" borderId="53" applyNumberFormat="0" applyFont="0" applyFill="0" applyAlignment="0" applyProtection="0"/>
    <xf numFmtId="0" fontId="24" fillId="0" borderId="50" applyNumberFormat="0" applyFont="0" applyFill="0" applyAlignment="0" applyProtection="0"/>
    <xf numFmtId="0" fontId="24" fillId="0" borderId="50" applyNumberFormat="0" applyFont="0" applyFill="0" applyAlignment="0" applyProtection="0"/>
    <xf numFmtId="0" fontId="24" fillId="0" borderId="50" applyNumberFormat="0" applyFont="0" applyFill="0" applyAlignment="0" applyProtection="0"/>
    <xf numFmtId="0" fontId="24" fillId="0" borderId="50" applyNumberFormat="0" applyFont="0" applyFill="0" applyAlignment="0" applyProtection="0"/>
    <xf numFmtId="0" fontId="24" fillId="0" borderId="52" applyNumberFormat="0" applyFont="0" applyFill="0" applyAlignment="0" applyProtection="0"/>
    <xf numFmtId="0" fontId="24" fillId="0" borderId="52" applyNumberFormat="0" applyFont="0" applyFill="0" applyAlignment="0" applyProtection="0"/>
    <xf numFmtId="0" fontId="24" fillId="0" borderId="52" applyNumberFormat="0" applyFont="0" applyFill="0" applyAlignment="0" applyProtection="0"/>
    <xf numFmtId="0" fontId="24" fillId="0" borderId="52" applyNumberFormat="0" applyFont="0" applyFill="0" applyAlignment="0" applyProtection="0"/>
    <xf numFmtId="0" fontId="24" fillId="0" borderId="0"/>
    <xf numFmtId="49" fontId="29" fillId="0" borderId="0" applyFont="0" applyFill="0" applyBorder="0" applyAlignment="0" applyProtection="0"/>
    <xf numFmtId="0" fontId="24" fillId="0" borderId="0"/>
    <xf numFmtId="0" fontId="24" fillId="0" borderId="0"/>
    <xf numFmtId="0" fontId="24" fillId="0" borderId="0"/>
    <xf numFmtId="211" fontId="29" fillId="0" borderId="0" applyFont="0" applyFill="0" applyBorder="0" applyAlignment="0" applyProtection="0"/>
    <xf numFmtId="0" fontId="24" fillId="0" borderId="0"/>
    <xf numFmtId="0" fontId="24" fillId="0" borderId="0"/>
    <xf numFmtId="0" fontId="24" fillId="0" borderId="0"/>
    <xf numFmtId="212" fontId="26" fillId="0" borderId="0" applyFont="0" applyFill="0" applyBorder="0" applyAlignment="0" applyProtection="0"/>
    <xf numFmtId="0" fontId="24" fillId="0" borderId="0"/>
    <xf numFmtId="0" fontId="24" fillId="0" borderId="0"/>
    <xf numFmtId="0" fontId="24" fillId="0" borderId="0"/>
    <xf numFmtId="0" fontId="125" fillId="0" borderId="0" applyNumberFormat="0" applyFill="0" applyBorder="0" applyAlignment="0" applyProtection="0"/>
    <xf numFmtId="0" fontId="24" fillId="0" borderId="0"/>
    <xf numFmtId="0" fontId="24" fillId="0" borderId="0"/>
    <xf numFmtId="0" fontId="24" fillId="0" borderId="0"/>
    <xf numFmtId="0" fontId="130" fillId="0" borderId="0" applyNumberFormat="0" applyFill="0" applyBorder="0" applyAlignment="0" applyProtection="0"/>
    <xf numFmtId="0" fontId="130" fillId="0" borderId="0" applyNumberFormat="0" applyFill="0" applyBorder="0" applyAlignment="0" applyProtection="0"/>
    <xf numFmtId="0" fontId="24" fillId="0" borderId="0"/>
    <xf numFmtId="0" fontId="24" fillId="0" borderId="0"/>
    <xf numFmtId="0" fontId="24" fillId="0" borderId="0"/>
    <xf numFmtId="0" fontId="125" fillId="0" borderId="0" applyNumberFormat="0" applyFill="0" applyBorder="0" applyAlignment="0" applyProtection="0"/>
    <xf numFmtId="0" fontId="141" fillId="0" borderId="0" applyNumberFormat="0" applyFill="0" applyBorder="0" applyAlignment="0" applyProtection="0"/>
    <xf numFmtId="0" fontId="24" fillId="0" borderId="0"/>
    <xf numFmtId="0" fontId="24" fillId="0" borderId="0"/>
    <xf numFmtId="0" fontId="125" fillId="0" borderId="0" applyNumberFormat="0" applyFill="0" applyBorder="0" applyAlignment="0" applyProtection="0"/>
    <xf numFmtId="0" fontId="24" fillId="0" borderId="0"/>
    <xf numFmtId="0" fontId="24" fillId="0" borderId="0"/>
    <xf numFmtId="0" fontId="24" fillId="0" borderId="0"/>
    <xf numFmtId="0" fontId="125" fillId="0" borderId="0" applyNumberFormat="0" applyFill="0" applyBorder="0" applyAlignment="0" applyProtection="0"/>
    <xf numFmtId="0" fontId="24" fillId="0" borderId="0"/>
    <xf numFmtId="0" fontId="24" fillId="0" borderId="0"/>
    <xf numFmtId="0" fontId="24" fillId="0" borderId="0"/>
    <xf numFmtId="0" fontId="125" fillId="0" borderId="0" applyNumberFormat="0" applyFill="0" applyBorder="0" applyAlignment="0" applyProtection="0"/>
    <xf numFmtId="0" fontId="24" fillId="0" borderId="0"/>
    <xf numFmtId="0" fontId="24" fillId="0" borderId="0"/>
    <xf numFmtId="0" fontId="24" fillId="0" borderId="0"/>
    <xf numFmtId="0" fontId="125" fillId="0" borderId="0" applyNumberFormat="0" applyFill="0" applyBorder="0" applyAlignment="0" applyProtection="0"/>
    <xf numFmtId="0" fontId="24" fillId="0" borderId="0"/>
    <xf numFmtId="0" fontId="24" fillId="0" borderId="0"/>
    <xf numFmtId="0" fontId="24" fillId="0" borderId="0"/>
    <xf numFmtId="0" fontId="24" fillId="0" borderId="0"/>
    <xf numFmtId="0" fontId="24" fillId="0" borderId="0"/>
    <xf numFmtId="0" fontId="141" fillId="0" borderId="0" applyNumberFormat="0" applyFill="0" applyBorder="0" applyAlignment="0" applyProtection="0"/>
    <xf numFmtId="0" fontId="24" fillId="0" borderId="0"/>
    <xf numFmtId="0" fontId="24" fillId="0" borderId="0"/>
    <xf numFmtId="0" fontId="24" fillId="0" borderId="42" applyNumberFormat="0" applyFill="0" applyBorder="0" applyAlignment="0" applyProtection="0"/>
    <xf numFmtId="0" fontId="24" fillId="0" borderId="0"/>
    <xf numFmtId="0" fontId="24" fillId="0" borderId="42" applyNumberFormat="0" applyFill="0" applyBorder="0" applyAlignment="0" applyProtection="0"/>
    <xf numFmtId="0" fontId="131" fillId="0" borderId="70" applyNumberFormat="0" applyFill="0" applyAlignment="0" applyProtection="0"/>
    <xf numFmtId="0" fontId="24" fillId="0" borderId="0"/>
    <xf numFmtId="0" fontId="24" fillId="0" borderId="0"/>
    <xf numFmtId="0" fontId="131" fillId="0" borderId="71" applyNumberFormat="0" applyFill="0" applyAlignment="0" applyProtection="0"/>
    <xf numFmtId="0" fontId="24" fillId="0" borderId="0"/>
    <xf numFmtId="0" fontId="131" fillId="0" borderId="70" applyNumberFormat="0" applyFill="0" applyAlignment="0" applyProtection="0"/>
    <xf numFmtId="0" fontId="131" fillId="0" borderId="71" applyNumberFormat="0" applyFill="0" applyAlignment="0" applyProtection="0"/>
    <xf numFmtId="0" fontId="24" fillId="0" borderId="0"/>
    <xf numFmtId="0" fontId="24" fillId="0" borderId="42" applyNumberFormat="0" applyFill="0" applyBorder="0" applyAlignment="0" applyProtection="0"/>
    <xf numFmtId="0" fontId="24" fillId="0" borderId="0"/>
    <xf numFmtId="0" fontId="131" fillId="0" borderId="71" applyNumberFormat="0" applyFill="0" applyAlignment="0" applyProtection="0"/>
    <xf numFmtId="0" fontId="24" fillId="0" borderId="0"/>
    <xf numFmtId="0" fontId="24" fillId="0" borderId="42" applyNumberFormat="0" applyFill="0" applyBorder="0" applyAlignment="0" applyProtection="0"/>
    <xf numFmtId="0" fontId="24" fillId="0" borderId="0"/>
    <xf numFmtId="0" fontId="24" fillId="0" borderId="0"/>
    <xf numFmtId="198" fontId="24" fillId="0" borderId="46">
      <protection locked="0"/>
    </xf>
    <xf numFmtId="0" fontId="45" fillId="0" borderId="19" applyNumberFormat="0" applyFill="0" applyAlignment="0" applyProtection="0"/>
    <xf numFmtId="0" fontId="24" fillId="0" borderId="0"/>
    <xf numFmtId="0" fontId="24" fillId="0" borderId="0"/>
    <xf numFmtId="198" fontId="24" fillId="0" borderId="46">
      <protection locked="0"/>
    </xf>
    <xf numFmtId="0" fontId="24" fillId="0" borderId="0"/>
    <xf numFmtId="0" fontId="24" fillId="0" borderId="0"/>
    <xf numFmtId="0" fontId="24" fillId="0" borderId="0"/>
    <xf numFmtId="198" fontId="24" fillId="0" borderId="46">
      <protection locked="0"/>
    </xf>
    <xf numFmtId="0" fontId="24" fillId="0" borderId="0"/>
    <xf numFmtId="0" fontId="24" fillId="0" borderId="0"/>
    <xf numFmtId="0" fontId="24" fillId="0" borderId="0"/>
    <xf numFmtId="198" fontId="24" fillId="0" borderId="46">
      <protection locked="0"/>
    </xf>
    <xf numFmtId="0" fontId="24" fillId="0" borderId="0"/>
    <xf numFmtId="0" fontId="24" fillId="0" borderId="0"/>
    <xf numFmtId="0" fontId="24" fillId="0" borderId="0"/>
    <xf numFmtId="198" fontId="24" fillId="0" borderId="46">
      <protection locked="0"/>
    </xf>
    <xf numFmtId="0" fontId="24" fillId="0" borderId="0"/>
    <xf numFmtId="0" fontId="24" fillId="0" borderId="0"/>
    <xf numFmtId="0" fontId="24" fillId="0" borderId="0"/>
    <xf numFmtId="0" fontId="24" fillId="0" borderId="0"/>
    <xf numFmtId="0" fontId="24" fillId="0" borderId="0"/>
    <xf numFmtId="0" fontId="45" fillId="0" borderId="19" applyNumberFormat="0" applyFill="0" applyAlignment="0" applyProtection="0"/>
    <xf numFmtId="0" fontId="24" fillId="0" borderId="0"/>
    <xf numFmtId="0" fontId="24" fillId="0" borderId="0"/>
    <xf numFmtId="37" fontId="72" fillId="78" borderId="0" applyNumberFormat="0" applyBorder="0" applyAlignment="0" applyProtection="0"/>
    <xf numFmtId="0" fontId="24" fillId="0" borderId="0"/>
    <xf numFmtId="0" fontId="24" fillId="0" borderId="0"/>
    <xf numFmtId="0" fontId="24" fillId="0" borderId="0"/>
    <xf numFmtId="37" fontId="72" fillId="78" borderId="0" applyNumberFormat="0" applyBorder="0" applyAlignment="0" applyProtection="0"/>
    <xf numFmtId="0" fontId="24" fillId="0" borderId="0"/>
    <xf numFmtId="0" fontId="24" fillId="0" borderId="0"/>
    <xf numFmtId="0" fontId="24" fillId="0" borderId="0"/>
    <xf numFmtId="37" fontId="72" fillId="0" borderId="0"/>
    <xf numFmtId="0" fontId="24" fillId="0" borderId="0"/>
    <xf numFmtId="0" fontId="24" fillId="0" borderId="0"/>
    <xf numFmtId="3" fontId="132" fillId="0" borderId="32" applyProtection="0"/>
    <xf numFmtId="0" fontId="24" fillId="0" borderId="0"/>
    <xf numFmtId="0" fontId="24" fillId="0" borderId="0"/>
    <xf numFmtId="170" fontId="133" fillId="0" borderId="0" applyFont="0" applyFill="0" applyBorder="0" applyAlignment="0" applyProtection="0"/>
    <xf numFmtId="0" fontId="24" fillId="0" borderId="0"/>
    <xf numFmtId="0" fontId="24" fillId="0" borderId="0"/>
    <xf numFmtId="0" fontId="24" fillId="0" borderId="0"/>
    <xf numFmtId="213" fontId="73" fillId="0" borderId="0" applyFont="0" applyFill="0" applyBorder="0" applyAlignment="0" applyProtection="0"/>
    <xf numFmtId="0" fontId="24" fillId="0" borderId="0"/>
    <xf numFmtId="0" fontId="24" fillId="0" borderId="0"/>
    <xf numFmtId="0" fontId="24" fillId="0" borderId="0"/>
    <xf numFmtId="214" fontId="73" fillId="0" borderId="0" applyFont="0" applyFill="0" applyBorder="0" applyAlignment="0" applyProtection="0"/>
    <xf numFmtId="0" fontId="24" fillId="0" borderId="0"/>
    <xf numFmtId="0" fontId="24" fillId="0" borderId="0"/>
    <xf numFmtId="0" fontId="24" fillId="0" borderId="0"/>
    <xf numFmtId="215" fontId="73" fillId="0" borderId="0" applyFont="0" applyFill="0" applyBorder="0" applyAlignment="0" applyProtection="0"/>
    <xf numFmtId="0" fontId="24" fillId="0" borderId="0"/>
    <xf numFmtId="0" fontId="24" fillId="0" borderId="0"/>
    <xf numFmtId="0" fontId="24" fillId="0" borderId="0"/>
    <xf numFmtId="0" fontId="134" fillId="0" borderId="0" applyNumberFormat="0" applyFill="0" applyBorder="0" applyAlignment="0" applyProtection="0"/>
    <xf numFmtId="0" fontId="24" fillId="0" borderId="0"/>
    <xf numFmtId="0" fontId="24" fillId="0" borderId="0"/>
    <xf numFmtId="0" fontId="24" fillId="0" borderId="0"/>
    <xf numFmtId="0" fontId="24" fillId="0" borderId="0"/>
    <xf numFmtId="0" fontId="171" fillId="0" borderId="0" applyNumberFormat="0" applyFill="0" applyBorder="0" applyAlignment="0" applyProtection="0"/>
    <xf numFmtId="0" fontId="134" fillId="0" borderId="0" applyNumberFormat="0" applyFill="0" applyBorder="0" applyAlignment="0" applyProtection="0"/>
    <xf numFmtId="0" fontId="24" fillId="0" borderId="0"/>
    <xf numFmtId="0" fontId="171" fillId="0" borderId="0" applyNumberFormat="0" applyFill="0" applyBorder="0" applyAlignment="0" applyProtection="0"/>
    <xf numFmtId="0" fontId="134" fillId="0" borderId="0" applyNumberFormat="0" applyFill="0" applyBorder="0" applyAlignment="0" applyProtection="0"/>
    <xf numFmtId="0" fontId="24" fillId="0" borderId="0"/>
    <xf numFmtId="0" fontId="24" fillId="0" borderId="0"/>
    <xf numFmtId="0" fontId="134" fillId="0" borderId="0" applyNumberFormat="0" applyFill="0" applyBorder="0" applyAlignment="0" applyProtection="0"/>
    <xf numFmtId="0" fontId="24" fillId="0" borderId="0"/>
    <xf numFmtId="0" fontId="24" fillId="0" borderId="0"/>
    <xf numFmtId="0" fontId="24" fillId="0" borderId="0"/>
    <xf numFmtId="0" fontId="134" fillId="0" borderId="0" applyNumberFormat="0" applyFill="0" applyBorder="0" applyAlignment="0" applyProtection="0"/>
    <xf numFmtId="0" fontId="22" fillId="0" borderId="0" applyNumberFormat="0" applyFill="0" applyBorder="0" applyAlignment="0" applyProtection="0"/>
    <xf numFmtId="0" fontId="24" fillId="0" borderId="0"/>
    <xf numFmtId="0" fontId="24" fillId="0" borderId="0"/>
    <xf numFmtId="0" fontId="134" fillId="0" borderId="0" applyNumberFormat="0" applyFill="0" applyBorder="0" applyAlignment="0" applyProtection="0"/>
    <xf numFmtId="0" fontId="24" fillId="0" borderId="0"/>
    <xf numFmtId="0" fontId="24" fillId="0" borderId="0"/>
    <xf numFmtId="0" fontId="24" fillId="0" borderId="0"/>
    <xf numFmtId="0" fontId="134" fillId="0" borderId="0" applyNumberFormat="0" applyFill="0" applyBorder="0" applyAlignment="0" applyProtection="0"/>
    <xf numFmtId="0" fontId="24" fillId="0" borderId="0"/>
    <xf numFmtId="0" fontId="24" fillId="0" borderId="0"/>
    <xf numFmtId="0" fontId="24" fillId="0" borderId="0"/>
    <xf numFmtId="0" fontId="134" fillId="0" borderId="0" applyNumberFormat="0" applyFill="0" applyBorder="0" applyAlignment="0" applyProtection="0"/>
    <xf numFmtId="0" fontId="24" fillId="0" borderId="0"/>
    <xf numFmtId="0" fontId="24" fillId="0" borderId="0"/>
    <xf numFmtId="0" fontId="24" fillId="0" borderId="0"/>
    <xf numFmtId="0" fontId="134" fillId="0" borderId="0" applyNumberForma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2" fillId="0" borderId="0" applyNumberFormat="0" applyFill="0" applyBorder="0" applyAlignment="0" applyProtection="0"/>
    <xf numFmtId="0" fontId="24" fillId="0" borderId="0"/>
    <xf numFmtId="0" fontId="24" fillId="0" borderId="0"/>
    <xf numFmtId="1" fontId="24" fillId="0" borderId="0" applyFont="0" applyFill="0" applyBorder="0">
      <alignment horizontal="center"/>
    </xf>
    <xf numFmtId="0" fontId="24" fillId="0" borderId="0"/>
    <xf numFmtId="0" fontId="24" fillId="0" borderId="0"/>
    <xf numFmtId="0" fontId="24" fillId="0" borderId="0"/>
    <xf numFmtId="0" fontId="136" fillId="0" borderId="0" applyFill="0" applyBorder="0" applyAlignment="0" applyProtection="0"/>
    <xf numFmtId="0" fontId="24" fillId="0" borderId="0"/>
    <xf numFmtId="0" fontId="24" fillId="0" borderId="0"/>
    <xf numFmtId="0" fontId="24" fillId="0" borderId="0"/>
    <xf numFmtId="0" fontId="137" fillId="0" borderId="0"/>
    <xf numFmtId="0" fontId="24" fillId="0" borderId="0"/>
    <xf numFmtId="0" fontId="24" fillId="0" borderId="0"/>
    <xf numFmtId="0" fontId="15" fillId="0" borderId="0"/>
    <xf numFmtId="0" fontId="15" fillId="0" borderId="0"/>
    <xf numFmtId="43" fontId="15" fillId="0" borderId="0" applyFont="0" applyFill="0" applyBorder="0" applyAlignment="0" applyProtection="0"/>
    <xf numFmtId="0" fontId="15" fillId="0" borderId="0"/>
    <xf numFmtId="44" fontId="15" fillId="0" borderId="0" applyFont="0" applyFill="0" applyBorder="0" applyAlignment="0" applyProtection="0"/>
    <xf numFmtId="43" fontId="15" fillId="0" borderId="0" applyFont="0" applyFill="0" applyBorder="0" applyAlignment="0" applyProtection="0"/>
    <xf numFmtId="44" fontId="24" fillId="0" borderId="0" applyFont="0" applyFill="0" applyBorder="0" applyAlignment="0" applyProtection="0"/>
    <xf numFmtId="0" fontId="61" fillId="49" borderId="81" applyNumberFormat="0" applyAlignment="0" applyProtection="0"/>
    <xf numFmtId="0" fontId="62" fillId="122" borderId="81" applyNumberFormat="0" applyAlignment="0" applyProtection="0"/>
    <xf numFmtId="0" fontId="146" fillId="123" borderId="82" applyNumberFormat="0" applyAlignment="0" applyProtection="0"/>
    <xf numFmtId="0" fontId="61" fillId="49" borderId="81" applyNumberFormat="0" applyAlignment="0" applyProtection="0"/>
    <xf numFmtId="0" fontId="146" fillId="123" borderId="82" applyNumberFormat="0" applyAlignment="0" applyProtection="0"/>
    <xf numFmtId="0" fontId="146" fillId="123" borderId="82" applyNumberFormat="0" applyAlignment="0" applyProtection="0"/>
    <xf numFmtId="0" fontId="62" fillId="42" borderId="81" applyNumberFormat="0" applyAlignment="0" applyProtection="0"/>
    <xf numFmtId="0" fontId="62" fillId="42" borderId="81" applyNumberFormat="0" applyAlignment="0" applyProtection="0"/>
    <xf numFmtId="0" fontId="62" fillId="42" borderId="81" applyNumberFormat="0" applyAlignment="0" applyProtection="0"/>
    <xf numFmtId="0" fontId="62" fillId="42" borderId="81" applyNumberFormat="0" applyAlignment="0" applyProtection="0"/>
    <xf numFmtId="0" fontId="62" fillId="42" borderId="81" applyNumberFormat="0" applyAlignment="0" applyProtection="0"/>
    <xf numFmtId="0" fontId="62" fillId="42" borderId="81" applyNumberFormat="0" applyAlignment="0" applyProtection="0"/>
    <xf numFmtId="10" fontId="72" fillId="75" borderId="72" applyNumberFormat="0" applyBorder="0" applyAlignment="0" applyProtection="0"/>
    <xf numFmtId="0" fontId="85" fillId="44" borderId="81" applyNumberFormat="0" applyAlignment="0" applyProtection="0"/>
    <xf numFmtId="0" fontId="157" fillId="68" borderId="82" applyNumberFormat="0" applyAlignment="0" applyProtection="0"/>
    <xf numFmtId="0" fontId="85" fillId="44" borderId="81" applyNumberFormat="0" applyAlignment="0" applyProtection="0"/>
    <xf numFmtId="0" fontId="157" fillId="68" borderId="82" applyNumberFormat="0" applyAlignment="0" applyProtection="0"/>
    <xf numFmtId="0" fontId="157" fillId="68" borderId="82" applyNumberFormat="0" applyAlignment="0" applyProtection="0"/>
    <xf numFmtId="0" fontId="85" fillId="44" borderId="81" applyNumberFormat="0" applyAlignment="0" applyProtection="0"/>
    <xf numFmtId="0" fontId="85" fillId="44" borderId="81" applyNumberFormat="0" applyAlignment="0" applyProtection="0"/>
    <xf numFmtId="0" fontId="85" fillId="44" borderId="81" applyNumberFormat="0" applyAlignment="0" applyProtection="0"/>
    <xf numFmtId="0" fontId="85" fillId="44" borderId="81" applyNumberFormat="0" applyAlignment="0" applyProtection="0"/>
    <xf numFmtId="0" fontId="157" fillId="68" borderId="81" applyNumberFormat="0" applyAlignment="0" applyProtection="0"/>
    <xf numFmtId="0" fontId="85" fillId="44" borderId="81" applyNumberFormat="0" applyAlignment="0" applyProtection="0"/>
    <xf numFmtId="0" fontId="157" fillId="68" borderId="81" applyNumberFormat="0" applyAlignment="0" applyProtection="0"/>
    <xf numFmtId="0" fontId="85" fillId="44" borderId="81" applyNumberFormat="0" applyAlignment="0" applyProtection="0"/>
    <xf numFmtId="0" fontId="85" fillId="44" borderId="81" applyNumberFormat="0" applyAlignment="0" applyProtection="0"/>
    <xf numFmtId="0" fontId="85" fillId="44" borderId="81" applyNumberFormat="0" applyAlignment="0" applyProtection="0"/>
    <xf numFmtId="0" fontId="85" fillId="44" borderId="81" applyNumberFormat="0" applyAlignment="0" applyProtection="0"/>
    <xf numFmtId="0" fontId="85" fillId="44" borderId="81" applyNumberFormat="0" applyAlignment="0" applyProtection="0"/>
    <xf numFmtId="0" fontId="85" fillId="44" borderId="81" applyNumberFormat="0" applyAlignment="0" applyProtection="0"/>
    <xf numFmtId="0" fontId="85" fillId="44" borderId="81" applyNumberFormat="0" applyAlignment="0" applyProtection="0"/>
    <xf numFmtId="0" fontId="85" fillId="44" borderId="81" applyNumberFormat="0" applyAlignment="0" applyProtection="0"/>
    <xf numFmtId="0" fontId="24" fillId="67" borderId="83" applyNumberFormat="0" applyFont="0" applyAlignment="0" applyProtection="0"/>
    <xf numFmtId="0" fontId="24" fillId="40" borderId="83" applyNumberFormat="0" applyFont="0" applyAlignment="0" applyProtection="0"/>
    <xf numFmtId="0" fontId="72" fillId="67" borderId="82" applyNumberFormat="0" applyFont="0" applyAlignment="0" applyProtection="0"/>
    <xf numFmtId="0" fontId="60" fillId="40" borderId="83" applyNumberFormat="0" applyFont="0" applyAlignment="0" applyProtection="0"/>
    <xf numFmtId="0" fontId="72" fillId="67" borderId="82" applyNumberFormat="0" applyFont="0" applyAlignment="0" applyProtection="0"/>
    <xf numFmtId="0" fontId="60" fillId="40" borderId="83" applyNumberFormat="0" applyFont="0" applyAlignment="0" applyProtection="0"/>
    <xf numFmtId="0" fontId="60" fillId="40" borderId="83" applyNumberFormat="0" applyFont="0" applyAlignment="0" applyProtection="0"/>
    <xf numFmtId="0" fontId="24" fillId="40" borderId="83" applyNumberFormat="0" applyFont="0" applyAlignment="0" applyProtection="0"/>
    <xf numFmtId="0" fontId="72" fillId="67" borderId="82" applyNumberFormat="0" applyFont="0" applyAlignment="0" applyProtection="0"/>
    <xf numFmtId="0" fontId="24" fillId="40" borderId="81" applyNumberFormat="0" applyFont="0" applyAlignment="0" applyProtection="0"/>
    <xf numFmtId="0" fontId="24" fillId="40" borderId="81" applyNumberFormat="0" applyFont="0" applyAlignment="0" applyProtection="0"/>
    <xf numFmtId="0" fontId="72" fillId="67" borderId="82" applyNumberFormat="0" applyFont="0" applyAlignment="0" applyProtection="0"/>
    <xf numFmtId="0" fontId="24" fillId="40" borderId="81" applyNumberFormat="0" applyFont="0" applyAlignment="0" applyProtection="0"/>
    <xf numFmtId="0" fontId="24" fillId="40" borderId="81" applyNumberFormat="0" applyFont="0" applyAlignment="0" applyProtection="0"/>
    <xf numFmtId="0" fontId="24" fillId="40" borderId="81" applyNumberFormat="0" applyFont="0" applyAlignment="0" applyProtection="0"/>
    <xf numFmtId="0" fontId="94" fillId="122" borderId="77" applyNumberFormat="0" applyAlignment="0" applyProtection="0"/>
    <xf numFmtId="0" fontId="94" fillId="123" borderId="77" applyNumberFormat="0" applyAlignment="0" applyProtection="0"/>
    <xf numFmtId="0" fontId="94" fillId="49" borderId="77" applyNumberFormat="0" applyAlignment="0" applyProtection="0"/>
    <xf numFmtId="0" fontId="94" fillId="123" borderId="77" applyNumberFormat="0" applyAlignment="0" applyProtection="0"/>
    <xf numFmtId="0" fontId="94" fillId="49" borderId="77" applyNumberFormat="0" applyAlignment="0" applyProtection="0"/>
    <xf numFmtId="0" fontId="94" fillId="49" borderId="77" applyNumberFormat="0" applyAlignment="0" applyProtection="0"/>
    <xf numFmtId="0" fontId="94" fillId="42" borderId="77" applyNumberFormat="0" applyAlignment="0" applyProtection="0"/>
    <xf numFmtId="0" fontId="94" fillId="42" borderId="77" applyNumberFormat="0" applyAlignment="0" applyProtection="0"/>
    <xf numFmtId="0" fontId="94" fillId="42" borderId="77" applyNumberFormat="0" applyAlignment="0" applyProtection="0"/>
    <xf numFmtId="0" fontId="94" fillId="42" borderId="77" applyNumberFormat="0" applyAlignment="0" applyProtection="0"/>
    <xf numFmtId="0" fontId="94" fillId="42" borderId="77" applyNumberFormat="0" applyAlignment="0" applyProtection="0"/>
    <xf numFmtId="0" fontId="97" fillId="0" borderId="21" applyNumberFormat="0" applyFill="0" applyBorder="0" applyAlignment="0" applyProtection="0">
      <protection hidden="1"/>
    </xf>
    <xf numFmtId="4" fontId="72" fillId="77" borderId="82" applyNumberFormat="0" applyProtection="0">
      <alignment vertical="center"/>
    </xf>
    <xf numFmtId="4" fontId="60" fillId="78" borderId="77" applyNumberFormat="0" applyProtection="0">
      <alignment vertical="center"/>
    </xf>
    <xf numFmtId="4" fontId="72" fillId="77" borderId="82" applyNumberFormat="0" applyProtection="0">
      <alignment vertical="center"/>
    </xf>
    <xf numFmtId="4" fontId="72" fillId="77" borderId="82" applyNumberFormat="0" applyProtection="0">
      <alignment vertical="center"/>
    </xf>
    <xf numFmtId="4" fontId="72" fillId="77" borderId="82" applyNumberFormat="0" applyProtection="0">
      <alignment vertical="center"/>
    </xf>
    <xf numFmtId="4" fontId="60" fillId="78" borderId="77" applyNumberFormat="0" applyProtection="0">
      <alignment vertical="center"/>
    </xf>
    <xf numFmtId="4" fontId="72" fillId="77" borderId="82" applyNumberFormat="0" applyProtection="0">
      <alignment vertical="center"/>
    </xf>
    <xf numFmtId="4" fontId="100" fillId="79" borderId="72" applyNumberFormat="0" applyProtection="0">
      <alignment horizontal="right" vertical="center" wrapText="1"/>
    </xf>
    <xf numFmtId="4" fontId="60" fillId="78" borderId="77" applyNumberFormat="0" applyProtection="0">
      <alignment vertical="center"/>
    </xf>
    <xf numFmtId="4" fontId="60" fillId="78" borderId="77" applyNumberFormat="0" applyProtection="0">
      <alignment vertical="center"/>
    </xf>
    <xf numFmtId="4" fontId="104" fillId="77" borderId="84" applyNumberFormat="0" applyProtection="0">
      <alignment vertical="center"/>
    </xf>
    <xf numFmtId="4" fontId="161" fillId="78" borderId="82" applyNumberFormat="0" applyProtection="0">
      <alignment vertical="center"/>
    </xf>
    <xf numFmtId="4" fontId="161" fillId="78" borderId="82" applyNumberFormat="0" applyProtection="0">
      <alignment vertical="center"/>
    </xf>
    <xf numFmtId="4" fontId="101" fillId="78" borderId="84" applyNumberFormat="0" applyProtection="0">
      <alignment vertical="center"/>
    </xf>
    <xf numFmtId="4" fontId="110" fillId="78" borderId="77" applyNumberFormat="0" applyProtection="0">
      <alignment vertical="center"/>
    </xf>
    <xf numFmtId="4" fontId="110" fillId="78" borderId="77" applyNumberFormat="0" applyProtection="0">
      <alignment vertical="center"/>
    </xf>
    <xf numFmtId="4" fontId="101" fillId="77" borderId="84" applyNumberFormat="0" applyProtection="0">
      <alignment vertical="center"/>
    </xf>
    <xf numFmtId="4" fontId="72" fillId="78" borderId="82" applyNumberFormat="0" applyProtection="0">
      <alignment horizontal="left" vertical="center" indent="1"/>
    </xf>
    <xf numFmtId="4" fontId="72" fillId="78" borderId="82" applyNumberFormat="0" applyProtection="0">
      <alignment horizontal="left" vertical="center" indent="1"/>
    </xf>
    <xf numFmtId="4" fontId="72" fillId="78" borderId="82" applyNumberFormat="0" applyProtection="0">
      <alignment horizontal="left" vertical="center" indent="1"/>
    </xf>
    <xf numFmtId="4" fontId="72" fillId="78" borderId="82" applyNumberFormat="0" applyProtection="0">
      <alignment horizontal="left" vertical="center" indent="1"/>
    </xf>
    <xf numFmtId="4" fontId="100" fillId="79" borderId="72" applyNumberFormat="0" applyProtection="0">
      <alignment horizontal="left" vertical="center" indent="1"/>
    </xf>
    <xf numFmtId="4" fontId="60" fillId="78" borderId="77" applyNumberFormat="0" applyProtection="0">
      <alignment horizontal="left" vertical="center" indent="1"/>
    </xf>
    <xf numFmtId="4" fontId="60" fillId="78" borderId="77" applyNumberFormat="0" applyProtection="0">
      <alignment horizontal="left" vertical="center" indent="1"/>
    </xf>
    <xf numFmtId="4" fontId="104" fillId="77" borderId="84" applyNumberFormat="0" applyProtection="0">
      <alignment horizontal="left" vertical="center" indent="1"/>
    </xf>
    <xf numFmtId="0" fontId="162" fillId="77" borderId="84" applyNumberFormat="0" applyProtection="0">
      <alignment horizontal="left" vertical="top" indent="1"/>
    </xf>
    <xf numFmtId="0" fontId="162" fillId="77" borderId="84" applyNumberFormat="0" applyProtection="0">
      <alignment horizontal="left" vertical="top" indent="1"/>
    </xf>
    <xf numFmtId="0" fontId="104" fillId="78" borderId="84" applyNumberFormat="0" applyProtection="0">
      <alignment horizontal="left" vertical="top" indent="1"/>
    </xf>
    <xf numFmtId="4" fontId="60" fillId="78" borderId="77" applyNumberFormat="0" applyProtection="0">
      <alignment horizontal="left" vertical="center" indent="1"/>
    </xf>
    <xf numFmtId="4" fontId="60" fillId="78" borderId="77" applyNumberFormat="0" applyProtection="0">
      <alignment horizontal="left" vertical="center" indent="1"/>
    </xf>
    <xf numFmtId="0" fontId="104" fillId="77" borderId="84" applyNumberFormat="0" applyProtection="0">
      <alignment horizontal="left" vertical="top" indent="1"/>
    </xf>
    <xf numFmtId="4" fontId="72" fillId="53" borderId="82" applyNumberFormat="0" applyProtection="0">
      <alignment horizontal="left" vertical="center" indent="1"/>
    </xf>
    <xf numFmtId="4" fontId="72" fillId="53" borderId="82" applyNumberFormat="0" applyProtection="0">
      <alignment horizontal="left" vertical="center" indent="1"/>
    </xf>
    <xf numFmtId="4" fontId="105" fillId="82" borderId="72" applyNumberFormat="0" applyProtection="0">
      <alignment horizontal="left" vertical="center"/>
    </xf>
    <xf numFmtId="4" fontId="72" fillId="53" borderId="82" applyNumberFormat="0" applyProtection="0">
      <alignment horizontal="left" vertical="center" indent="1"/>
    </xf>
    <xf numFmtId="4" fontId="72" fillId="53" borderId="82" applyNumberFormat="0" applyProtection="0">
      <alignment horizontal="left" vertical="center" indent="1"/>
    </xf>
    <xf numFmtId="0" fontId="24" fillId="131" borderId="77" applyNumberFormat="0" applyProtection="0">
      <alignment horizontal="left" vertical="center" indent="1"/>
    </xf>
    <xf numFmtId="4" fontId="105" fillId="82" borderId="72" applyNumberFormat="0" applyProtection="0">
      <alignment horizontal="left" vertical="center"/>
    </xf>
    <xf numFmtId="0" fontId="24" fillId="131" borderId="77" applyNumberFormat="0" applyProtection="0">
      <alignment horizontal="left" vertical="center" indent="1"/>
    </xf>
    <xf numFmtId="0" fontId="24" fillId="131" borderId="77" applyNumberFormat="0" applyProtection="0">
      <alignment horizontal="left" vertical="center" indent="1"/>
    </xf>
    <xf numFmtId="0" fontId="24" fillId="131" borderId="77" applyNumberFormat="0" applyProtection="0">
      <alignment horizontal="left" vertical="center" indent="1"/>
    </xf>
    <xf numFmtId="0" fontId="24" fillId="131" borderId="77" applyNumberFormat="0" applyProtection="0">
      <alignment horizontal="left" vertical="center" indent="1"/>
    </xf>
    <xf numFmtId="4" fontId="72" fillId="37" borderId="82" applyNumberFormat="0" applyProtection="0">
      <alignment horizontal="right" vertical="center"/>
    </xf>
    <xf numFmtId="4" fontId="72" fillId="37" borderId="82" applyNumberFormat="0" applyProtection="0">
      <alignment horizontal="right" vertical="center"/>
    </xf>
    <xf numFmtId="4" fontId="72" fillId="37" borderId="82" applyNumberFormat="0" applyProtection="0">
      <alignment horizontal="right" vertical="center"/>
    </xf>
    <xf numFmtId="4" fontId="72" fillId="37" borderId="82" applyNumberFormat="0" applyProtection="0">
      <alignment horizontal="right" vertical="center"/>
    </xf>
    <xf numFmtId="4" fontId="60" fillId="37" borderId="84" applyNumberFormat="0" applyProtection="0">
      <alignment horizontal="right" vertical="center"/>
    </xf>
    <xf numFmtId="4" fontId="60" fillId="99" borderId="77" applyNumberFormat="0" applyProtection="0">
      <alignment horizontal="right" vertical="center"/>
    </xf>
    <xf numFmtId="4" fontId="60" fillId="99" borderId="77" applyNumberFormat="0" applyProtection="0">
      <alignment horizontal="right" vertical="center"/>
    </xf>
    <xf numFmtId="4" fontId="60" fillId="37" borderId="84" applyNumberFormat="0" applyProtection="0">
      <alignment horizontal="right" vertical="center"/>
    </xf>
    <xf numFmtId="4" fontId="72" fillId="132" borderId="82" applyNumberFormat="0" applyProtection="0">
      <alignment horizontal="right" vertical="center"/>
    </xf>
    <xf numFmtId="4" fontId="72" fillId="132" borderId="82" applyNumberFormat="0" applyProtection="0">
      <alignment horizontal="right" vertical="center"/>
    </xf>
    <xf numFmtId="4" fontId="72" fillId="132" borderId="82" applyNumberFormat="0" applyProtection="0">
      <alignment horizontal="right" vertical="center"/>
    </xf>
    <xf numFmtId="4" fontId="72" fillId="132" borderId="82" applyNumberFormat="0" applyProtection="0">
      <alignment horizontal="right" vertical="center"/>
    </xf>
    <xf numFmtId="4" fontId="60" fillId="38" borderId="84" applyNumberFormat="0" applyProtection="0">
      <alignment horizontal="right" vertical="center"/>
    </xf>
    <xf numFmtId="4" fontId="60" fillId="133" borderId="77" applyNumberFormat="0" applyProtection="0">
      <alignment horizontal="right" vertical="center"/>
    </xf>
    <xf numFmtId="4" fontId="60" fillId="133" borderId="77" applyNumberFormat="0" applyProtection="0">
      <alignment horizontal="right" vertical="center"/>
    </xf>
    <xf numFmtId="4" fontId="60" fillId="38" borderId="84" applyNumberFormat="0" applyProtection="0">
      <alignment horizontal="right" vertical="center"/>
    </xf>
    <xf numFmtId="4" fontId="72" fillId="62" borderId="85" applyNumberFormat="0" applyProtection="0">
      <alignment horizontal="right" vertical="center"/>
    </xf>
    <xf numFmtId="4" fontId="72" fillId="62" borderId="85" applyNumberFormat="0" applyProtection="0">
      <alignment horizontal="right" vertical="center"/>
    </xf>
    <xf numFmtId="4" fontId="72" fillId="62" borderId="85" applyNumberFormat="0" applyProtection="0">
      <alignment horizontal="right" vertical="center"/>
    </xf>
    <xf numFmtId="4" fontId="72" fillId="62" borderId="85" applyNumberFormat="0" applyProtection="0">
      <alignment horizontal="right" vertical="center"/>
    </xf>
    <xf numFmtId="4" fontId="60" fillId="62" borderId="84" applyNumberFormat="0" applyProtection="0">
      <alignment horizontal="right" vertical="center"/>
    </xf>
    <xf numFmtId="4" fontId="60" fillId="91" borderId="77" applyNumberFormat="0" applyProtection="0">
      <alignment horizontal="right" vertical="center"/>
    </xf>
    <xf numFmtId="4" fontId="60" fillId="91" borderId="77" applyNumberFormat="0" applyProtection="0">
      <alignment horizontal="right" vertical="center"/>
    </xf>
    <xf numFmtId="4" fontId="60" fillId="62" borderId="84" applyNumberFormat="0" applyProtection="0">
      <alignment horizontal="right" vertical="center"/>
    </xf>
    <xf numFmtId="4" fontId="72" fillId="50" borderId="82" applyNumberFormat="0" applyProtection="0">
      <alignment horizontal="right" vertical="center"/>
    </xf>
    <xf numFmtId="4" fontId="72" fillId="50" borderId="82" applyNumberFormat="0" applyProtection="0">
      <alignment horizontal="right" vertical="center"/>
    </xf>
    <xf numFmtId="4" fontId="72" fillId="50" borderId="82" applyNumberFormat="0" applyProtection="0">
      <alignment horizontal="right" vertical="center"/>
    </xf>
    <xf numFmtId="4" fontId="72" fillId="50" borderId="82" applyNumberFormat="0" applyProtection="0">
      <alignment horizontal="right" vertical="center"/>
    </xf>
    <xf numFmtId="4" fontId="60" fillId="50" borderId="84" applyNumberFormat="0" applyProtection="0">
      <alignment horizontal="right" vertical="center"/>
    </xf>
    <xf numFmtId="4" fontId="60" fillId="96" borderId="77" applyNumberFormat="0" applyProtection="0">
      <alignment horizontal="right" vertical="center"/>
    </xf>
    <xf numFmtId="4" fontId="60" fillId="96" borderId="77" applyNumberFormat="0" applyProtection="0">
      <alignment horizontal="right" vertical="center"/>
    </xf>
    <xf numFmtId="4" fontId="60" fillId="50" borderId="84" applyNumberFormat="0" applyProtection="0">
      <alignment horizontal="right" vertical="center"/>
    </xf>
    <xf numFmtId="4" fontId="72" fillId="54" borderId="82" applyNumberFormat="0" applyProtection="0">
      <alignment horizontal="right" vertical="center"/>
    </xf>
    <xf numFmtId="4" fontId="72" fillId="54" borderId="82" applyNumberFormat="0" applyProtection="0">
      <alignment horizontal="right" vertical="center"/>
    </xf>
    <xf numFmtId="4" fontId="72" fillId="54" borderId="82" applyNumberFormat="0" applyProtection="0">
      <alignment horizontal="right" vertical="center"/>
    </xf>
    <xf numFmtId="4" fontId="72" fillId="54" borderId="82" applyNumberFormat="0" applyProtection="0">
      <alignment horizontal="right" vertical="center"/>
    </xf>
    <xf numFmtId="4" fontId="60" fillId="54" borderId="84" applyNumberFormat="0" applyProtection="0">
      <alignment horizontal="right" vertical="center"/>
    </xf>
    <xf numFmtId="4" fontId="60" fillId="134" borderId="77" applyNumberFormat="0" applyProtection="0">
      <alignment horizontal="right" vertical="center"/>
    </xf>
    <xf numFmtId="4" fontId="60" fillId="134" borderId="77" applyNumberFormat="0" applyProtection="0">
      <alignment horizontal="right" vertical="center"/>
    </xf>
    <xf numFmtId="4" fontId="60" fillId="54" borderId="84" applyNumberFormat="0" applyProtection="0">
      <alignment horizontal="right" vertical="center"/>
    </xf>
    <xf numFmtId="4" fontId="72" fillId="69" borderId="82" applyNumberFormat="0" applyProtection="0">
      <alignment horizontal="right" vertical="center"/>
    </xf>
    <xf numFmtId="4" fontId="72" fillId="69" borderId="82" applyNumberFormat="0" applyProtection="0">
      <alignment horizontal="right" vertical="center"/>
    </xf>
    <xf numFmtId="4" fontId="72" fillId="69" borderId="82" applyNumberFormat="0" applyProtection="0">
      <alignment horizontal="right" vertical="center"/>
    </xf>
    <xf numFmtId="4" fontId="72" fillId="69" borderId="82" applyNumberFormat="0" applyProtection="0">
      <alignment horizontal="right" vertical="center"/>
    </xf>
    <xf numFmtId="4" fontId="60" fillId="69" borderId="84" applyNumberFormat="0" applyProtection="0">
      <alignment horizontal="right" vertical="center"/>
    </xf>
    <xf numFmtId="4" fontId="60" fillId="100" borderId="77" applyNumberFormat="0" applyProtection="0">
      <alignment horizontal="right" vertical="center"/>
    </xf>
    <xf numFmtId="4" fontId="60" fillId="100" borderId="77" applyNumberFormat="0" applyProtection="0">
      <alignment horizontal="right" vertical="center"/>
    </xf>
    <xf numFmtId="4" fontId="60" fillId="69" borderId="84" applyNumberFormat="0" applyProtection="0">
      <alignment horizontal="right" vertical="center"/>
    </xf>
    <xf numFmtId="4" fontId="72" fillId="48" borderId="82" applyNumberFormat="0" applyProtection="0">
      <alignment horizontal="right" vertical="center"/>
    </xf>
    <xf numFmtId="4" fontId="72" fillId="48" borderId="82" applyNumberFormat="0" applyProtection="0">
      <alignment horizontal="right" vertical="center"/>
    </xf>
    <xf numFmtId="4" fontId="72" fillId="48" borderId="82" applyNumberFormat="0" applyProtection="0">
      <alignment horizontal="right" vertical="center"/>
    </xf>
    <xf numFmtId="4" fontId="72" fillId="48" borderId="82" applyNumberFormat="0" applyProtection="0">
      <alignment horizontal="right" vertical="center"/>
    </xf>
    <xf numFmtId="4" fontId="60" fillId="48" borderId="84" applyNumberFormat="0" applyProtection="0">
      <alignment horizontal="right" vertical="center"/>
    </xf>
    <xf numFmtId="4" fontId="60" fillId="135" borderId="77" applyNumberFormat="0" applyProtection="0">
      <alignment horizontal="right" vertical="center"/>
    </xf>
    <xf numFmtId="4" fontId="60" fillId="135" borderId="77" applyNumberFormat="0" applyProtection="0">
      <alignment horizontal="right" vertical="center"/>
    </xf>
    <xf numFmtId="4" fontId="60" fillId="48" borderId="84" applyNumberFormat="0" applyProtection="0">
      <alignment horizontal="right" vertical="center"/>
    </xf>
    <xf numFmtId="4" fontId="72" fillId="73" borderId="82" applyNumberFormat="0" applyProtection="0">
      <alignment horizontal="right" vertical="center"/>
    </xf>
    <xf numFmtId="4" fontId="72" fillId="73" borderId="82" applyNumberFormat="0" applyProtection="0">
      <alignment horizontal="right" vertical="center"/>
    </xf>
    <xf numFmtId="4" fontId="72" fillId="73" borderId="82" applyNumberFormat="0" applyProtection="0">
      <alignment horizontal="right" vertical="center"/>
    </xf>
    <xf numFmtId="4" fontId="72" fillId="73" borderId="82" applyNumberFormat="0" applyProtection="0">
      <alignment horizontal="right" vertical="center"/>
    </xf>
    <xf numFmtId="4" fontId="60" fillId="73" borderId="84" applyNumberFormat="0" applyProtection="0">
      <alignment horizontal="right" vertical="center"/>
    </xf>
    <xf numFmtId="4" fontId="60" fillId="136" borderId="77" applyNumberFormat="0" applyProtection="0">
      <alignment horizontal="right" vertical="center"/>
    </xf>
    <xf numFmtId="4" fontId="60" fillId="136" borderId="77" applyNumberFormat="0" applyProtection="0">
      <alignment horizontal="right" vertical="center"/>
    </xf>
    <xf numFmtId="4" fontId="60" fillId="73" borderId="84" applyNumberFormat="0" applyProtection="0">
      <alignment horizontal="right" vertical="center"/>
    </xf>
    <xf numFmtId="4" fontId="72" fillId="47" borderId="82" applyNumberFormat="0" applyProtection="0">
      <alignment horizontal="right" vertical="center"/>
    </xf>
    <xf numFmtId="4" fontId="72" fillId="47" borderId="82" applyNumberFormat="0" applyProtection="0">
      <alignment horizontal="right" vertical="center"/>
    </xf>
    <xf numFmtId="4" fontId="72" fillId="47" borderId="82" applyNumberFormat="0" applyProtection="0">
      <alignment horizontal="right" vertical="center"/>
    </xf>
    <xf numFmtId="4" fontId="72" fillId="47" borderId="82" applyNumberFormat="0" applyProtection="0">
      <alignment horizontal="right" vertical="center"/>
    </xf>
    <xf numFmtId="4" fontId="60" fillId="47" borderId="84" applyNumberFormat="0" applyProtection="0">
      <alignment horizontal="right" vertical="center"/>
    </xf>
    <xf numFmtId="4" fontId="60" fillId="95" borderId="77" applyNumberFormat="0" applyProtection="0">
      <alignment horizontal="right" vertical="center"/>
    </xf>
    <xf numFmtId="4" fontId="60" fillId="95" borderId="77" applyNumberFormat="0" applyProtection="0">
      <alignment horizontal="right" vertical="center"/>
    </xf>
    <xf numFmtId="4" fontId="60" fillId="47" borderId="84" applyNumberFormat="0" applyProtection="0">
      <alignment horizontal="right" vertical="center"/>
    </xf>
    <xf numFmtId="4" fontId="72" fillId="137" borderId="85" applyNumberFormat="0" applyProtection="0">
      <alignment horizontal="left" vertical="center" indent="1"/>
    </xf>
    <xf numFmtId="4" fontId="72" fillId="137" borderId="85" applyNumberFormat="0" applyProtection="0">
      <alignment horizontal="left" vertical="center" indent="1"/>
    </xf>
    <xf numFmtId="4" fontId="72" fillId="137" borderId="85" applyNumberFormat="0" applyProtection="0">
      <alignment horizontal="left" vertical="center" indent="1"/>
    </xf>
    <xf numFmtId="4" fontId="72" fillId="137" borderId="85" applyNumberFormat="0" applyProtection="0">
      <alignment horizontal="left" vertical="center" indent="1"/>
    </xf>
    <xf numFmtId="4" fontId="104" fillId="0" borderId="72" applyNumberFormat="0" applyProtection="0">
      <alignment horizontal="left" vertical="center" indent="1"/>
    </xf>
    <xf numFmtId="4" fontId="104" fillId="138" borderId="77" applyNumberFormat="0" applyProtection="0">
      <alignment horizontal="left" vertical="center" indent="1"/>
    </xf>
    <xf numFmtId="4" fontId="104" fillId="138" borderId="77" applyNumberFormat="0" applyProtection="0">
      <alignment horizontal="left" vertical="center" indent="1"/>
    </xf>
    <xf numFmtId="4" fontId="24" fillId="66" borderId="85" applyNumberFormat="0" applyProtection="0">
      <alignment horizontal="left" vertical="center" indent="1"/>
    </xf>
    <xf numFmtId="4" fontId="24" fillId="66" borderId="85" applyNumberFormat="0" applyProtection="0">
      <alignment horizontal="left" vertical="center" indent="1"/>
    </xf>
    <xf numFmtId="4" fontId="60" fillId="0" borderId="72" applyNumberFormat="0" applyProtection="0">
      <alignment horizontal="left" vertical="center" indent="1"/>
    </xf>
    <xf numFmtId="4" fontId="60" fillId="89" borderId="86" applyNumberFormat="0" applyProtection="0">
      <alignment horizontal="left" vertical="center" indent="1"/>
    </xf>
    <xf numFmtId="4" fontId="60" fillId="89" borderId="86" applyNumberFormat="0" applyProtection="0">
      <alignment horizontal="left" vertical="center" indent="1"/>
    </xf>
    <xf numFmtId="4" fontId="24" fillId="66" borderId="85" applyNumberFormat="0" applyProtection="0">
      <alignment horizontal="left" vertical="center" indent="1"/>
    </xf>
    <xf numFmtId="4" fontId="24" fillId="66" borderId="85" applyNumberFormat="0" applyProtection="0">
      <alignment horizontal="left" vertical="center" indent="1"/>
    </xf>
    <xf numFmtId="4" fontId="72" fillId="105" borderId="82" applyNumberFormat="0" applyProtection="0">
      <alignment horizontal="right" vertical="center"/>
    </xf>
    <xf numFmtId="4" fontId="72" fillId="105" borderId="82" applyNumberFormat="0" applyProtection="0">
      <alignment horizontal="right" vertical="center"/>
    </xf>
    <xf numFmtId="4" fontId="72" fillId="105" borderId="82" applyNumberFormat="0" applyProtection="0">
      <alignment horizontal="right" vertical="center"/>
    </xf>
    <xf numFmtId="4" fontId="72" fillId="105" borderId="82" applyNumberFormat="0" applyProtection="0">
      <alignment horizontal="right" vertical="center"/>
    </xf>
    <xf numFmtId="0" fontId="24" fillId="131" borderId="77" applyNumberFormat="0" applyProtection="0">
      <alignment horizontal="left" vertical="center" indent="1"/>
    </xf>
    <xf numFmtId="4" fontId="108" fillId="49" borderId="84" applyNumberFormat="0" applyProtection="0">
      <alignment horizontal="center" vertical="center"/>
    </xf>
    <xf numFmtId="0" fontId="24" fillId="131" borderId="77" applyNumberFormat="0" applyProtection="0">
      <alignment horizontal="left" vertical="center" indent="1"/>
    </xf>
    <xf numFmtId="0" fontId="24" fillId="131" borderId="77" applyNumberFormat="0" applyProtection="0">
      <alignment horizontal="left" vertical="center" indent="1"/>
    </xf>
    <xf numFmtId="0" fontId="24" fillId="131" borderId="77" applyNumberFormat="0" applyProtection="0">
      <alignment horizontal="left" vertical="center" indent="1"/>
    </xf>
    <xf numFmtId="4" fontId="60" fillId="105" borderId="84" applyNumberFormat="0" applyProtection="0">
      <alignment horizontal="right" vertical="center"/>
    </xf>
    <xf numFmtId="0" fontId="24" fillId="131" borderId="77" applyNumberFormat="0" applyProtection="0">
      <alignment horizontal="left" vertical="center" indent="1"/>
    </xf>
    <xf numFmtId="4" fontId="72" fillId="90" borderId="85" applyNumberFormat="0" applyProtection="0">
      <alignment horizontal="left" vertical="center" indent="1"/>
    </xf>
    <xf numFmtId="4" fontId="72" fillId="90" borderId="85" applyNumberFormat="0" applyProtection="0">
      <alignment horizontal="left" vertical="center" indent="1"/>
    </xf>
    <xf numFmtId="4" fontId="72" fillId="90" borderId="85" applyNumberFormat="0" applyProtection="0">
      <alignment horizontal="left" vertical="center" indent="1"/>
    </xf>
    <xf numFmtId="4" fontId="72" fillId="90" borderId="85" applyNumberFormat="0" applyProtection="0">
      <alignment horizontal="left" vertical="center" indent="1"/>
    </xf>
    <xf numFmtId="4" fontId="60" fillId="89" borderId="77" applyNumberFormat="0" applyProtection="0">
      <alignment horizontal="left" vertical="center" indent="1"/>
    </xf>
    <xf numFmtId="4" fontId="60" fillId="89" borderId="77" applyNumberFormat="0" applyProtection="0">
      <alignment horizontal="left" vertical="center" indent="1"/>
    </xf>
    <xf numFmtId="4" fontId="72" fillId="105" borderId="85" applyNumberFormat="0" applyProtection="0">
      <alignment horizontal="left" vertical="center" indent="1"/>
    </xf>
    <xf numFmtId="4" fontId="72" fillId="105" borderId="85" applyNumberFormat="0" applyProtection="0">
      <alignment horizontal="left" vertical="center" indent="1"/>
    </xf>
    <xf numFmtId="4" fontId="72" fillId="105" borderId="85" applyNumberFormat="0" applyProtection="0">
      <alignment horizontal="left" vertical="center" indent="1"/>
    </xf>
    <xf numFmtId="4" fontId="72" fillId="105" borderId="85" applyNumberFormat="0" applyProtection="0">
      <alignment horizontal="left" vertical="center" indent="1"/>
    </xf>
    <xf numFmtId="4" fontId="60" fillId="139" borderId="77" applyNumberFormat="0" applyProtection="0">
      <alignment horizontal="left" vertical="center" indent="1"/>
    </xf>
    <xf numFmtId="4" fontId="60" fillId="139" borderId="77" applyNumberFormat="0" applyProtection="0">
      <alignment horizontal="left" vertical="center" indent="1"/>
    </xf>
    <xf numFmtId="0" fontId="72" fillId="49" borderId="82" applyNumberFormat="0" applyProtection="0">
      <alignment horizontal="left" vertical="center" indent="1"/>
    </xf>
    <xf numFmtId="0" fontId="72" fillId="49" borderId="82" applyNumberFormat="0" applyProtection="0">
      <alignment horizontal="left" vertical="center" indent="1"/>
    </xf>
    <xf numFmtId="0" fontId="105" fillId="85" borderId="72" applyNumberFormat="0" applyProtection="0">
      <alignment horizontal="left" vertical="center" indent="2"/>
    </xf>
    <xf numFmtId="0" fontId="72" fillId="49" borderId="82" applyNumberFormat="0" applyProtection="0">
      <alignment horizontal="left" vertical="center" indent="1"/>
    </xf>
    <xf numFmtId="0" fontId="72" fillId="49" borderId="82" applyNumberFormat="0" applyProtection="0">
      <alignment horizontal="left" vertical="center" indent="1"/>
    </xf>
    <xf numFmtId="0" fontId="24" fillId="139" borderId="77" applyNumberFormat="0" applyProtection="0">
      <alignment horizontal="left" vertical="center" indent="1"/>
    </xf>
    <xf numFmtId="0" fontId="105" fillId="85" borderId="72" applyNumberFormat="0" applyProtection="0">
      <alignment horizontal="left" vertical="center" indent="2"/>
    </xf>
    <xf numFmtId="0" fontId="24" fillId="139" borderId="77" applyNumberFormat="0" applyProtection="0">
      <alignment horizontal="left" vertical="center" indent="1"/>
    </xf>
    <xf numFmtId="0" fontId="24" fillId="139" borderId="77" applyNumberFormat="0" applyProtection="0">
      <alignment horizontal="left" vertical="center" indent="1"/>
    </xf>
    <xf numFmtId="0" fontId="24" fillId="139" borderId="77" applyNumberFormat="0" applyProtection="0">
      <alignment horizontal="left" vertical="center" indent="1"/>
    </xf>
    <xf numFmtId="0" fontId="24" fillId="66" borderId="84" applyNumberFormat="0" applyProtection="0">
      <alignment horizontal="left" vertical="center" indent="1"/>
    </xf>
    <xf numFmtId="0" fontId="24" fillId="139" borderId="77" applyNumberFormat="0" applyProtection="0">
      <alignment horizontal="left" vertical="center" indent="1"/>
    </xf>
    <xf numFmtId="0" fontId="24" fillId="84" borderId="84" applyNumberFormat="0" applyProtection="0">
      <alignment horizontal="left" vertical="top" indent="1"/>
    </xf>
    <xf numFmtId="0" fontId="72" fillId="66" borderId="84" applyNumberFormat="0" applyProtection="0">
      <alignment horizontal="left" vertical="top" indent="1"/>
    </xf>
    <xf numFmtId="0" fontId="72" fillId="66" borderId="84" applyNumberFormat="0" applyProtection="0">
      <alignment horizontal="left" vertical="top" indent="1"/>
    </xf>
    <xf numFmtId="0" fontId="24" fillId="139" borderId="77" applyNumberFormat="0" applyProtection="0">
      <alignment horizontal="left" vertical="center" indent="1"/>
    </xf>
    <xf numFmtId="0" fontId="24" fillId="84" borderId="84" applyNumberFormat="0" applyProtection="0">
      <alignment horizontal="left" vertical="top" indent="1"/>
    </xf>
    <xf numFmtId="0" fontId="24" fillId="139" borderId="77" applyNumberFormat="0" applyProtection="0">
      <alignment horizontal="left" vertical="center" indent="1"/>
    </xf>
    <xf numFmtId="0" fontId="24" fillId="139" borderId="77" applyNumberFormat="0" applyProtection="0">
      <alignment horizontal="left" vertical="center" indent="1"/>
    </xf>
    <xf numFmtId="0" fontId="24" fillId="84" borderId="84" applyNumberFormat="0" applyProtection="0">
      <alignment horizontal="left" vertical="top" indent="1"/>
    </xf>
    <xf numFmtId="0" fontId="24" fillId="139" borderId="77" applyNumberFormat="0" applyProtection="0">
      <alignment horizontal="left" vertical="center" indent="1"/>
    </xf>
    <xf numFmtId="0" fontId="24" fillId="139" borderId="77" applyNumberFormat="0" applyProtection="0">
      <alignment horizontal="left" vertical="center" indent="1"/>
    </xf>
    <xf numFmtId="0" fontId="24" fillId="66" borderId="84" applyNumberFormat="0" applyProtection="0">
      <alignment horizontal="left" vertical="top" indent="1"/>
    </xf>
    <xf numFmtId="0" fontId="72" fillId="71" borderId="82" applyNumberFormat="0" applyProtection="0">
      <alignment horizontal="left" vertical="center" indent="1"/>
    </xf>
    <xf numFmtId="0" fontId="72" fillId="71" borderId="82" applyNumberFormat="0" applyProtection="0">
      <alignment horizontal="left" vertical="center" indent="1"/>
    </xf>
    <xf numFmtId="0" fontId="72" fillId="71" borderId="82" applyNumberFormat="0" applyProtection="0">
      <alignment horizontal="left" vertical="center" indent="1"/>
    </xf>
    <xf numFmtId="0" fontId="72" fillId="71" borderId="82" applyNumberFormat="0" applyProtection="0">
      <alignment horizontal="left" vertical="center" indent="1"/>
    </xf>
    <xf numFmtId="0" fontId="24" fillId="83" borderId="77" applyNumberFormat="0" applyProtection="0">
      <alignment horizontal="left" vertical="center" indent="1"/>
    </xf>
    <xf numFmtId="0" fontId="92" fillId="0" borderId="72" applyNumberFormat="0" applyProtection="0">
      <alignment horizontal="left" vertical="center" indent="2"/>
    </xf>
    <xf numFmtId="0" fontId="24" fillId="83" borderId="77" applyNumberFormat="0" applyProtection="0">
      <alignment horizontal="left" vertical="center" indent="1"/>
    </xf>
    <xf numFmtId="0" fontId="24" fillId="83" borderId="77" applyNumberFormat="0" applyProtection="0">
      <alignment horizontal="left" vertical="center" indent="1"/>
    </xf>
    <xf numFmtId="0" fontId="24" fillId="83" borderId="77" applyNumberFormat="0" applyProtection="0">
      <alignment horizontal="left" vertical="center" indent="1"/>
    </xf>
    <xf numFmtId="0" fontId="24" fillId="105" borderId="84" applyNumberFormat="0" applyProtection="0">
      <alignment horizontal="left" vertical="center" indent="1"/>
    </xf>
    <xf numFmtId="0" fontId="24" fillId="83" borderId="77" applyNumberFormat="0" applyProtection="0">
      <alignment horizontal="left" vertical="center" indent="1"/>
    </xf>
    <xf numFmtId="0" fontId="24" fillId="86" borderId="84" applyNumberFormat="0" applyProtection="0">
      <alignment horizontal="left" vertical="top" indent="1"/>
    </xf>
    <xf numFmtId="0" fontId="72" fillId="105" borderId="84" applyNumberFormat="0" applyProtection="0">
      <alignment horizontal="left" vertical="top" indent="1"/>
    </xf>
    <xf numFmtId="0" fontId="72" fillId="105" borderId="84" applyNumberFormat="0" applyProtection="0">
      <alignment horizontal="left" vertical="top" indent="1"/>
    </xf>
    <xf numFmtId="0" fontId="24" fillId="83" borderId="77" applyNumberFormat="0" applyProtection="0">
      <alignment horizontal="left" vertical="center" indent="1"/>
    </xf>
    <xf numFmtId="0" fontId="24" fillId="86" borderId="84" applyNumberFormat="0" applyProtection="0">
      <alignment horizontal="left" vertical="top" indent="1"/>
    </xf>
    <xf numFmtId="0" fontId="24" fillId="83" borderId="77" applyNumberFormat="0" applyProtection="0">
      <alignment horizontal="left" vertical="center" indent="1"/>
    </xf>
    <xf numFmtId="0" fontId="24" fillId="83" borderId="77" applyNumberFormat="0" applyProtection="0">
      <alignment horizontal="left" vertical="center" indent="1"/>
    </xf>
    <xf numFmtId="0" fontId="24" fillId="86" borderId="84" applyNumberFormat="0" applyProtection="0">
      <alignment horizontal="left" vertical="top" indent="1"/>
    </xf>
    <xf numFmtId="0" fontId="24" fillId="83" borderId="77" applyNumberFormat="0" applyProtection="0">
      <alignment horizontal="left" vertical="center" indent="1"/>
    </xf>
    <xf numFmtId="0" fontId="24" fillId="83" borderId="77" applyNumberFormat="0" applyProtection="0">
      <alignment horizontal="left" vertical="center" indent="1"/>
    </xf>
    <xf numFmtId="0" fontId="24" fillId="105" borderId="84" applyNumberFormat="0" applyProtection="0">
      <alignment horizontal="left" vertical="top" indent="1"/>
    </xf>
    <xf numFmtId="0" fontId="72" fillId="45" borderId="82" applyNumberFormat="0" applyProtection="0">
      <alignment horizontal="left" vertical="center" indent="1"/>
    </xf>
    <xf numFmtId="0" fontId="72" fillId="45" borderId="82" applyNumberFormat="0" applyProtection="0">
      <alignment horizontal="left" vertical="center" indent="1"/>
    </xf>
    <xf numFmtId="0" fontId="72" fillId="45" borderId="82" applyNumberFormat="0" applyProtection="0">
      <alignment horizontal="left" vertical="center" indent="1"/>
    </xf>
    <xf numFmtId="0" fontId="72" fillId="45" borderId="82" applyNumberFormat="0" applyProtection="0">
      <alignment horizontal="left" vertical="center" indent="1"/>
    </xf>
    <xf numFmtId="0" fontId="24" fillId="74" borderId="77" applyNumberFormat="0" applyProtection="0">
      <alignment horizontal="left" vertical="center" indent="1"/>
    </xf>
    <xf numFmtId="0" fontId="92" fillId="0" borderId="72" applyNumberFormat="0" applyProtection="0">
      <alignment horizontal="left" vertical="center" indent="2"/>
    </xf>
    <xf numFmtId="0" fontId="24" fillId="74" borderId="77" applyNumberFormat="0" applyProtection="0">
      <alignment horizontal="left" vertical="center" indent="1"/>
    </xf>
    <xf numFmtId="0" fontId="24" fillId="74" borderId="77" applyNumberFormat="0" applyProtection="0">
      <alignment horizontal="left" vertical="center" indent="1"/>
    </xf>
    <xf numFmtId="0" fontId="24" fillId="74" borderId="77" applyNumberFormat="0" applyProtection="0">
      <alignment horizontal="left" vertical="center" indent="1"/>
    </xf>
    <xf numFmtId="0" fontId="24" fillId="45" borderId="84" applyNumberFormat="0" applyProtection="0">
      <alignment horizontal="left" vertical="center" indent="1"/>
    </xf>
    <xf numFmtId="0" fontId="24" fillId="74" borderId="77" applyNumberFormat="0" applyProtection="0">
      <alignment horizontal="left" vertical="center" indent="1"/>
    </xf>
    <xf numFmtId="0" fontId="24" fillId="70" borderId="84" applyNumberFormat="0" applyProtection="0">
      <alignment horizontal="left" vertical="top" indent="1"/>
    </xf>
    <xf numFmtId="0" fontId="72" fillId="45" borderId="84" applyNumberFormat="0" applyProtection="0">
      <alignment horizontal="left" vertical="top" indent="1"/>
    </xf>
    <xf numFmtId="0" fontId="72" fillId="45" borderId="84" applyNumberFormat="0" applyProtection="0">
      <alignment horizontal="left" vertical="top" indent="1"/>
    </xf>
    <xf numFmtId="0" fontId="24" fillId="74" borderId="77" applyNumberFormat="0" applyProtection="0">
      <alignment horizontal="left" vertical="center" indent="1"/>
    </xf>
    <xf numFmtId="0" fontId="24" fillId="70" borderId="84" applyNumberFormat="0" applyProtection="0">
      <alignment horizontal="left" vertical="top" indent="1"/>
    </xf>
    <xf numFmtId="0" fontId="24" fillId="74" borderId="77" applyNumberFormat="0" applyProtection="0">
      <alignment horizontal="left" vertical="center" indent="1"/>
    </xf>
    <xf numFmtId="0" fontId="24" fillId="74" borderId="77" applyNumberFormat="0" applyProtection="0">
      <alignment horizontal="left" vertical="center" indent="1"/>
    </xf>
    <xf numFmtId="0" fontId="24" fillId="70" borderId="84" applyNumberFormat="0" applyProtection="0">
      <alignment horizontal="left" vertical="top" indent="1"/>
    </xf>
    <xf numFmtId="0" fontId="24" fillId="74" borderId="77" applyNumberFormat="0" applyProtection="0">
      <alignment horizontal="left" vertical="center" indent="1"/>
    </xf>
    <xf numFmtId="0" fontId="24" fillId="74" borderId="77" applyNumberFormat="0" applyProtection="0">
      <alignment horizontal="left" vertical="center" indent="1"/>
    </xf>
    <xf numFmtId="0" fontId="24" fillId="45" borderId="84" applyNumberFormat="0" applyProtection="0">
      <alignment horizontal="left" vertical="top" indent="1"/>
    </xf>
    <xf numFmtId="0" fontId="72" fillId="90" borderId="82" applyNumberFormat="0" applyProtection="0">
      <alignment horizontal="left" vertical="center" indent="1"/>
    </xf>
    <xf numFmtId="0" fontId="72" fillId="90" borderId="82" applyNumberFormat="0" applyProtection="0">
      <alignment horizontal="left" vertical="center" indent="1"/>
    </xf>
    <xf numFmtId="0" fontId="72" fillId="90" borderId="82" applyNumberFormat="0" applyProtection="0">
      <alignment horizontal="left" vertical="center" indent="1"/>
    </xf>
    <xf numFmtId="0" fontId="72" fillId="90" borderId="82" applyNumberFormat="0" applyProtection="0">
      <alignment horizontal="left" vertical="center" indent="1"/>
    </xf>
    <xf numFmtId="0" fontId="24" fillId="131" borderId="77" applyNumberFormat="0" applyProtection="0">
      <alignment horizontal="left" vertical="center" indent="1"/>
    </xf>
    <xf numFmtId="0" fontId="92" fillId="0" borderId="72" applyNumberFormat="0" applyProtection="0">
      <alignment horizontal="left" vertical="center" indent="2"/>
    </xf>
    <xf numFmtId="0" fontId="24" fillId="131" borderId="77" applyNumberFormat="0" applyProtection="0">
      <alignment horizontal="left" vertical="center" indent="1"/>
    </xf>
    <xf numFmtId="0" fontId="24" fillId="131" borderId="77" applyNumberFormat="0" applyProtection="0">
      <alignment horizontal="left" vertical="center" indent="1"/>
    </xf>
    <xf numFmtId="0" fontId="24" fillId="131" borderId="77" applyNumberFormat="0" applyProtection="0">
      <alignment horizontal="left" vertical="center" indent="1"/>
    </xf>
    <xf numFmtId="0" fontId="24" fillId="90" borderId="84" applyNumberFormat="0" applyProtection="0">
      <alignment horizontal="left" vertical="center" indent="1"/>
    </xf>
    <xf numFmtId="0" fontId="24" fillId="131" borderId="77" applyNumberFormat="0" applyProtection="0">
      <alignment horizontal="left" vertical="center" indent="1"/>
    </xf>
    <xf numFmtId="0" fontId="24" fillId="87" borderId="84" applyNumberFormat="0" applyProtection="0">
      <alignment horizontal="left" vertical="top" indent="1"/>
    </xf>
    <xf numFmtId="0" fontId="72" fillId="90" borderId="84" applyNumberFormat="0" applyProtection="0">
      <alignment horizontal="left" vertical="top" indent="1"/>
    </xf>
    <xf numFmtId="0" fontId="72" fillId="90" borderId="84" applyNumberFormat="0" applyProtection="0">
      <alignment horizontal="left" vertical="top" indent="1"/>
    </xf>
    <xf numFmtId="0" fontId="24" fillId="131" borderId="77" applyNumberFormat="0" applyProtection="0">
      <alignment horizontal="left" vertical="center" indent="1"/>
    </xf>
    <xf numFmtId="0" fontId="24" fillId="87" borderId="84" applyNumberFormat="0" applyProtection="0">
      <alignment horizontal="left" vertical="top" indent="1"/>
    </xf>
    <xf numFmtId="0" fontId="24" fillId="131" borderId="77" applyNumberFormat="0" applyProtection="0">
      <alignment horizontal="left" vertical="center" indent="1"/>
    </xf>
    <xf numFmtId="0" fontId="24" fillId="131" borderId="77" applyNumberFormat="0" applyProtection="0">
      <alignment horizontal="left" vertical="center" indent="1"/>
    </xf>
    <xf numFmtId="0" fontId="24" fillId="87" borderId="84" applyNumberFormat="0" applyProtection="0">
      <alignment horizontal="left" vertical="top" indent="1"/>
    </xf>
    <xf numFmtId="0" fontId="24" fillId="131" borderId="77" applyNumberFormat="0" applyProtection="0">
      <alignment horizontal="left" vertical="center" indent="1"/>
    </xf>
    <xf numFmtId="0" fontId="24" fillId="131" borderId="77" applyNumberFormat="0" applyProtection="0">
      <alignment horizontal="left" vertical="center" indent="1"/>
    </xf>
    <xf numFmtId="0" fontId="24" fillId="90" borderId="84" applyNumberFormat="0" applyProtection="0">
      <alignment horizontal="left" vertical="top" indent="1"/>
    </xf>
    <xf numFmtId="0" fontId="24" fillId="88" borderId="72" applyNumberFormat="0">
      <protection locked="0"/>
    </xf>
    <xf numFmtId="0" fontId="24" fillId="88" borderId="72" applyNumberFormat="0">
      <protection locked="0"/>
    </xf>
    <xf numFmtId="0" fontId="24" fillId="88" borderId="72" applyNumberFormat="0">
      <protection locked="0"/>
    </xf>
    <xf numFmtId="0" fontId="24" fillId="88" borderId="72" applyNumberFormat="0">
      <protection locked="0"/>
    </xf>
    <xf numFmtId="0" fontId="106" fillId="66" borderId="87" applyBorder="0"/>
    <xf numFmtId="0" fontId="106" fillId="66" borderId="87" applyBorder="0"/>
    <xf numFmtId="4" fontId="96" fillId="40" borderId="84" applyNumberFormat="0" applyProtection="0">
      <alignment vertical="center"/>
    </xf>
    <xf numFmtId="4" fontId="96" fillId="40" borderId="84" applyNumberFormat="0" applyProtection="0">
      <alignment vertical="center"/>
    </xf>
    <xf numFmtId="4" fontId="60" fillId="75" borderId="84" applyNumberFormat="0" applyProtection="0">
      <alignment vertical="center"/>
    </xf>
    <xf numFmtId="4" fontId="60" fillId="75" borderId="77" applyNumberFormat="0" applyProtection="0">
      <alignment vertical="center"/>
    </xf>
    <xf numFmtId="4" fontId="60" fillId="75" borderId="77" applyNumberFormat="0" applyProtection="0">
      <alignment vertical="center"/>
    </xf>
    <xf numFmtId="4" fontId="60" fillId="40" borderId="84" applyNumberFormat="0" applyProtection="0">
      <alignment vertical="center"/>
    </xf>
    <xf numFmtId="4" fontId="161" fillId="75" borderId="72" applyNumberFormat="0" applyProtection="0">
      <alignment vertical="center"/>
    </xf>
    <xf numFmtId="4" fontId="161" fillId="75" borderId="72" applyNumberFormat="0" applyProtection="0">
      <alignment vertical="center"/>
    </xf>
    <xf numFmtId="4" fontId="110" fillId="75" borderId="84" applyNumberFormat="0" applyProtection="0">
      <alignment vertical="center"/>
    </xf>
    <xf numFmtId="4" fontId="110" fillId="75" borderId="77" applyNumberFormat="0" applyProtection="0">
      <alignment vertical="center"/>
    </xf>
    <xf numFmtId="4" fontId="110" fillId="75" borderId="77" applyNumberFormat="0" applyProtection="0">
      <alignment vertical="center"/>
    </xf>
    <xf numFmtId="4" fontId="110" fillId="40" borderId="84" applyNumberFormat="0" applyProtection="0">
      <alignment vertical="center"/>
    </xf>
    <xf numFmtId="4" fontId="96" fillId="49" borderId="84" applyNumberFormat="0" applyProtection="0">
      <alignment horizontal="left" vertical="center" indent="1"/>
    </xf>
    <xf numFmtId="4" fontId="96" fillId="49" borderId="84" applyNumberFormat="0" applyProtection="0">
      <alignment horizontal="left" vertical="center" indent="1"/>
    </xf>
    <xf numFmtId="4" fontId="60" fillId="75" borderId="77" applyNumberFormat="0" applyProtection="0">
      <alignment horizontal="left" vertical="center" indent="1"/>
    </xf>
    <xf numFmtId="4" fontId="60" fillId="75" borderId="77" applyNumberFormat="0" applyProtection="0">
      <alignment horizontal="left" vertical="center" indent="1"/>
    </xf>
    <xf numFmtId="4" fontId="60" fillId="40" borderId="84" applyNumberFormat="0" applyProtection="0">
      <alignment horizontal="left" vertical="center" indent="1"/>
    </xf>
    <xf numFmtId="0" fontId="96" fillId="40" borderId="84" applyNumberFormat="0" applyProtection="0">
      <alignment horizontal="left" vertical="top" indent="1"/>
    </xf>
    <xf numFmtId="0" fontId="96" fillId="40" borderId="84" applyNumberFormat="0" applyProtection="0">
      <alignment horizontal="left" vertical="top" indent="1"/>
    </xf>
    <xf numFmtId="0" fontId="60" fillId="75" borderId="84" applyNumberFormat="0" applyProtection="0">
      <alignment horizontal="left" vertical="top" indent="1"/>
    </xf>
    <xf numFmtId="4" fontId="60" fillId="75" borderId="77" applyNumberFormat="0" applyProtection="0">
      <alignment horizontal="left" vertical="center" indent="1"/>
    </xf>
    <xf numFmtId="4" fontId="60" fillId="75" borderId="77" applyNumberFormat="0" applyProtection="0">
      <alignment horizontal="left" vertical="center" indent="1"/>
    </xf>
    <xf numFmtId="0" fontId="60" fillId="40" borderId="84" applyNumberFormat="0" applyProtection="0">
      <alignment horizontal="left" vertical="top" indent="1"/>
    </xf>
    <xf numFmtId="4" fontId="72" fillId="0" borderId="82" applyNumberFormat="0" applyProtection="0">
      <alignment horizontal="right" vertical="center"/>
    </xf>
    <xf numFmtId="4" fontId="60" fillId="89" borderId="77" applyNumberFormat="0" applyProtection="0">
      <alignment horizontal="right" vertical="center"/>
    </xf>
    <xf numFmtId="4" fontId="72" fillId="0" borderId="82" applyNumberFormat="0" applyProtection="0">
      <alignment horizontal="right" vertical="center"/>
    </xf>
    <xf numFmtId="4" fontId="72" fillId="0" borderId="82" applyNumberFormat="0" applyProtection="0">
      <alignment horizontal="right" vertical="center"/>
    </xf>
    <xf numFmtId="4" fontId="113" fillId="0" borderId="72" applyNumberFormat="0" applyProtection="0">
      <alignment horizontal="right" vertical="center" wrapText="1"/>
    </xf>
    <xf numFmtId="4" fontId="72" fillId="0" borderId="82" applyNumberFormat="0" applyProtection="0">
      <alignment horizontal="right" vertical="center"/>
    </xf>
    <xf numFmtId="4" fontId="60" fillId="89" borderId="77" applyNumberFormat="0" applyProtection="0">
      <alignment horizontal="right" vertical="center"/>
    </xf>
    <xf numFmtId="4" fontId="72" fillId="0" borderId="82" applyNumberFormat="0" applyProtection="0">
      <alignment horizontal="right" vertical="center"/>
    </xf>
    <xf numFmtId="4" fontId="113" fillId="0" borderId="72" applyNumberFormat="0" applyProtection="0">
      <alignment horizontal="right" vertical="center" wrapText="1"/>
    </xf>
    <xf numFmtId="4" fontId="60" fillId="89" borderId="77" applyNumberFormat="0" applyProtection="0">
      <alignment horizontal="right" vertical="center"/>
    </xf>
    <xf numFmtId="4" fontId="60" fillId="89" borderId="77" applyNumberFormat="0" applyProtection="0">
      <alignment horizontal="right" vertical="center"/>
    </xf>
    <xf numFmtId="4" fontId="60" fillId="90" borderId="84" applyNumberFormat="0" applyProtection="0">
      <alignment horizontal="right" vertical="center"/>
    </xf>
    <xf numFmtId="4" fontId="161" fillId="76" borderId="82" applyNumberFormat="0" applyProtection="0">
      <alignment horizontal="right" vertical="center"/>
    </xf>
    <xf numFmtId="4" fontId="161" fillId="76" borderId="82" applyNumberFormat="0" applyProtection="0">
      <alignment horizontal="right" vertical="center"/>
    </xf>
    <xf numFmtId="4" fontId="110" fillId="90" borderId="84" applyNumberFormat="0" applyProtection="0">
      <alignment horizontal="right" vertical="center"/>
    </xf>
    <xf numFmtId="4" fontId="110" fillId="89" borderId="77" applyNumberFormat="0" applyProtection="0">
      <alignment horizontal="right" vertical="center"/>
    </xf>
    <xf numFmtId="4" fontId="110" fillId="89" borderId="77" applyNumberFormat="0" applyProtection="0">
      <alignment horizontal="right" vertical="center"/>
    </xf>
    <xf numFmtId="4" fontId="110" fillId="90" borderId="84" applyNumberFormat="0" applyProtection="0">
      <alignment horizontal="right" vertical="center"/>
    </xf>
    <xf numFmtId="4" fontId="72" fillId="53" borderId="82" applyNumberFormat="0" applyProtection="0">
      <alignment horizontal="left" vertical="center" indent="1"/>
    </xf>
    <xf numFmtId="4" fontId="72" fillId="53" borderId="82" applyNumberFormat="0" applyProtection="0">
      <alignment horizontal="left" vertical="center" indent="1"/>
    </xf>
    <xf numFmtId="4" fontId="113" fillId="0" borderId="72" applyNumberFormat="0" applyProtection="0">
      <alignment horizontal="left" vertical="center" indent="1"/>
    </xf>
    <xf numFmtId="4" fontId="72" fillId="53" borderId="82" applyNumberFormat="0" applyProtection="0">
      <alignment horizontal="left" vertical="center" indent="1"/>
    </xf>
    <xf numFmtId="4" fontId="72" fillId="53" borderId="82" applyNumberFormat="0" applyProtection="0">
      <alignment horizontal="left" vertical="center" indent="1"/>
    </xf>
    <xf numFmtId="0" fontId="24" fillId="131" borderId="77" applyNumberFormat="0" applyProtection="0">
      <alignment horizontal="left" vertical="center" indent="1"/>
    </xf>
    <xf numFmtId="4" fontId="113" fillId="0" borderId="72" applyNumberFormat="0" applyProtection="0">
      <alignment horizontal="left" vertical="center" indent="1"/>
    </xf>
    <xf numFmtId="0" fontId="24" fillId="131" borderId="77" applyNumberFormat="0" applyProtection="0">
      <alignment horizontal="left" vertical="center" indent="1"/>
    </xf>
    <xf numFmtId="0" fontId="24" fillId="131" borderId="77" applyNumberFormat="0" applyProtection="0">
      <alignment horizontal="left" vertical="center" indent="1"/>
    </xf>
    <xf numFmtId="0" fontId="24" fillId="131" borderId="77" applyNumberFormat="0" applyProtection="0">
      <alignment horizontal="left" vertical="center" indent="1"/>
    </xf>
    <xf numFmtId="4" fontId="60" fillId="105" borderId="84" applyNumberFormat="0" applyProtection="0">
      <alignment horizontal="left" vertical="center" indent="1"/>
    </xf>
    <xf numFmtId="0" fontId="24" fillId="131" borderId="77" applyNumberFormat="0" applyProtection="0">
      <alignment horizontal="left" vertical="center" indent="1"/>
    </xf>
    <xf numFmtId="0" fontId="105" fillId="92" borderId="72" applyNumberFormat="0" applyProtection="0">
      <alignment horizontal="center" vertical="top" wrapText="1"/>
    </xf>
    <xf numFmtId="0" fontId="96" fillId="105" borderId="84" applyNumberFormat="0" applyProtection="0">
      <alignment horizontal="left" vertical="top" indent="1"/>
    </xf>
    <xf numFmtId="0" fontId="96" fillId="105" borderId="84" applyNumberFormat="0" applyProtection="0">
      <alignment horizontal="left" vertical="top" indent="1"/>
    </xf>
    <xf numFmtId="0" fontId="24" fillId="131" borderId="77" applyNumberFormat="0" applyProtection="0">
      <alignment horizontal="left" vertical="center" indent="1"/>
    </xf>
    <xf numFmtId="0" fontId="105" fillId="92" borderId="72" applyNumberFormat="0" applyProtection="0">
      <alignment horizontal="center" vertical="top" wrapText="1"/>
    </xf>
    <xf numFmtId="0" fontId="24" fillId="131" borderId="77" applyNumberFormat="0" applyProtection="0">
      <alignment horizontal="left" vertical="center" indent="1"/>
    </xf>
    <xf numFmtId="0" fontId="24" fillId="131" borderId="77" applyNumberFormat="0" applyProtection="0">
      <alignment horizontal="left" vertical="center" indent="1"/>
    </xf>
    <xf numFmtId="0" fontId="24" fillId="131" borderId="77" applyNumberFormat="0" applyProtection="0">
      <alignment horizontal="left" vertical="center" indent="1"/>
    </xf>
    <xf numFmtId="0" fontId="60" fillId="105" borderId="84" applyNumberFormat="0" applyProtection="0">
      <alignment horizontal="left" vertical="top" indent="1"/>
    </xf>
    <xf numFmtId="0" fontId="24" fillId="131" borderId="77" applyNumberFormat="0" applyProtection="0">
      <alignment horizontal="left" vertical="center" indent="1"/>
    </xf>
    <xf numFmtId="4" fontId="163" fillId="140" borderId="85" applyNumberFormat="0" applyProtection="0">
      <alignment horizontal="left" vertical="center" indent="1"/>
    </xf>
    <xf numFmtId="4" fontId="163" fillId="140" borderId="85" applyNumberFormat="0" applyProtection="0">
      <alignment horizontal="left" vertical="center" indent="1"/>
    </xf>
    <xf numFmtId="0" fontId="72" fillId="141" borderId="72"/>
    <xf numFmtId="0" fontId="72" fillId="141" borderId="72"/>
    <xf numFmtId="0" fontId="72" fillId="141" borderId="72"/>
    <xf numFmtId="0" fontId="72" fillId="141" borderId="72"/>
    <xf numFmtId="0" fontId="72" fillId="141" borderId="72"/>
    <xf numFmtId="4" fontId="166" fillId="88" borderId="82" applyNumberFormat="0" applyProtection="0">
      <alignment horizontal="right" vertical="center"/>
    </xf>
    <xf numFmtId="4" fontId="166" fillId="88" borderId="82" applyNumberFormat="0" applyProtection="0">
      <alignment horizontal="right" vertical="center"/>
    </xf>
    <xf numFmtId="4" fontId="120" fillId="0" borderId="84" applyNumberFormat="0" applyProtection="0">
      <alignment horizontal="right" vertical="center"/>
    </xf>
    <xf numFmtId="4" fontId="120" fillId="89" borderId="77" applyNumberFormat="0" applyProtection="0">
      <alignment horizontal="right" vertical="center"/>
    </xf>
    <xf numFmtId="4" fontId="120" fillId="89" borderId="77" applyNumberFormat="0" applyProtection="0">
      <alignment horizontal="right" vertical="center"/>
    </xf>
    <xf numFmtId="4" fontId="120" fillId="90" borderId="84" applyNumberFormat="0" applyProtection="0">
      <alignment horizontal="right" vertical="center"/>
    </xf>
    <xf numFmtId="200" fontId="126" fillId="0" borderId="78">
      <alignment horizontal="center"/>
    </xf>
    <xf numFmtId="0" fontId="170" fillId="0" borderId="72" applyNumberFormat="0" applyFill="0" applyProtection="0">
      <alignment wrapText="1"/>
    </xf>
    <xf numFmtId="0" fontId="170" fillId="0" borderId="72" applyNumberFormat="0" applyFill="0" applyProtection="0">
      <alignment wrapText="1"/>
    </xf>
    <xf numFmtId="0" fontId="24" fillId="0" borderId="79" applyNumberFormat="0" applyFont="0" applyFill="0" applyAlignment="0" applyProtection="0"/>
    <xf numFmtId="0" fontId="24" fillId="0" borderId="79" applyNumberFormat="0" applyFont="0" applyFill="0" applyAlignment="0" applyProtection="0"/>
    <xf numFmtId="0" fontId="24" fillId="0" borderId="79" applyNumberFormat="0" applyFont="0" applyFill="0" applyAlignment="0" applyProtection="0"/>
    <xf numFmtId="0" fontId="24" fillId="0" borderId="79" applyNumberFormat="0" applyFont="0" applyFill="0" applyAlignment="0" applyProtection="0"/>
    <xf numFmtId="0" fontId="24" fillId="0" borderId="78" applyNumberFormat="0" applyFont="0" applyFill="0" applyAlignment="0" applyProtection="0"/>
    <xf numFmtId="0" fontId="24" fillId="0" borderId="78" applyNumberFormat="0" applyFont="0" applyFill="0" applyAlignment="0" applyProtection="0"/>
    <xf numFmtId="0" fontId="24" fillId="0" borderId="78" applyNumberFormat="0" applyFont="0" applyFill="0" applyAlignment="0" applyProtection="0"/>
    <xf numFmtId="0" fontId="24" fillId="0" borderId="78" applyNumberFormat="0" applyFont="0" applyFill="0" applyAlignment="0" applyProtection="0"/>
    <xf numFmtId="0" fontId="24" fillId="0" borderId="80" applyNumberFormat="0" applyFont="0" applyFill="0" applyAlignment="0" applyProtection="0"/>
    <xf numFmtId="0" fontId="24" fillId="0" borderId="80" applyNumberFormat="0" applyFont="0" applyFill="0" applyAlignment="0" applyProtection="0"/>
    <xf numFmtId="0" fontId="24" fillId="0" borderId="80" applyNumberFormat="0" applyFont="0" applyFill="0" applyAlignment="0" applyProtection="0"/>
    <xf numFmtId="0" fontId="24" fillId="0" borderId="80" applyNumberFormat="0" applyFont="0" applyFill="0" applyAlignment="0" applyProtection="0"/>
    <xf numFmtId="0" fontId="131" fillId="0" borderId="88" applyNumberFormat="0" applyFill="0" applyAlignment="0" applyProtection="0"/>
    <xf numFmtId="0" fontId="131" fillId="0" borderId="89" applyNumberFormat="0" applyFill="0" applyAlignment="0" applyProtection="0"/>
    <xf numFmtId="0" fontId="131" fillId="0" borderId="88" applyNumberFormat="0" applyFill="0" applyAlignment="0" applyProtection="0"/>
    <xf numFmtId="0" fontId="131" fillId="0" borderId="89" applyNumberFormat="0" applyFill="0" applyAlignment="0" applyProtection="0"/>
    <xf numFmtId="0" fontId="131" fillId="0" borderId="89" applyNumberFormat="0" applyFill="0" applyAlignment="0" applyProtection="0"/>
    <xf numFmtId="3" fontId="132" fillId="0" borderId="75" applyProtection="0"/>
    <xf numFmtId="0" fontId="15" fillId="0" borderId="0"/>
    <xf numFmtId="0" fontId="15" fillId="0" borderId="0"/>
    <xf numFmtId="0" fontId="15" fillId="0" borderId="0"/>
    <xf numFmtId="44" fontId="24" fillId="0" borderId="0" applyFont="0" applyFill="0" applyBorder="0" applyAlignment="0" applyProtection="0"/>
    <xf numFmtId="44" fontId="30" fillId="0" borderId="0" applyFont="0" applyFill="0" applyBorder="0" applyAlignment="0" applyProtection="0"/>
    <xf numFmtId="0" fontId="14" fillId="0" borderId="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44" fontId="13" fillId="0" borderId="0" applyFont="0" applyFill="0" applyBorder="0" applyAlignment="0" applyProtection="0"/>
    <xf numFmtId="0" fontId="13" fillId="0" borderId="0"/>
    <xf numFmtId="44" fontId="13" fillId="0" borderId="0" applyFont="0" applyFill="0" applyBorder="0" applyAlignment="0" applyProtection="0"/>
    <xf numFmtId="0" fontId="12" fillId="0" borderId="0"/>
    <xf numFmtId="44" fontId="12" fillId="0" borderId="0" applyFont="0" applyFill="0" applyBorder="0" applyAlignment="0" applyProtection="0"/>
    <xf numFmtId="9" fontId="30" fillId="0" borderId="0" applyFont="0" applyFill="0" applyBorder="0" applyAlignment="0" applyProtection="0"/>
    <xf numFmtId="44" fontId="12" fillId="0" borderId="0" applyFont="0" applyFill="0" applyBorder="0" applyAlignment="0" applyProtection="0"/>
    <xf numFmtId="43" fontId="30" fillId="0" borderId="0" applyFont="0" applyFill="0" applyBorder="0" applyAlignment="0" applyProtection="0"/>
    <xf numFmtId="0" fontId="12" fillId="0" borderId="0"/>
    <xf numFmtId="0" fontId="12" fillId="0" borderId="0"/>
    <xf numFmtId="0" fontId="30"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3" fontId="12" fillId="0" borderId="0" applyFont="0" applyFill="0" applyBorder="0" applyAlignment="0" applyProtection="0"/>
    <xf numFmtId="44" fontId="30" fillId="0" borderId="0" applyFont="0" applyFill="0" applyBorder="0" applyAlignment="0" applyProtection="0"/>
    <xf numFmtId="44" fontId="12" fillId="0" borderId="0" applyFont="0" applyFill="0" applyBorder="0" applyAlignment="0" applyProtection="0"/>
    <xf numFmtId="9" fontId="12" fillId="0" borderId="0" applyFont="0" applyFill="0" applyBorder="0" applyAlignment="0" applyProtection="0"/>
    <xf numFmtId="0" fontId="24" fillId="0" borderId="0"/>
    <xf numFmtId="0" fontId="26" fillId="0" borderId="0"/>
    <xf numFmtId="0" fontId="24" fillId="0" borderId="0"/>
    <xf numFmtId="219" fontId="24" fillId="0" borderId="0" applyFont="0" applyFill="0" applyBorder="0" applyAlignment="0" applyProtection="0"/>
    <xf numFmtId="0" fontId="24" fillId="0" borderId="0"/>
    <xf numFmtId="0" fontId="11" fillId="0" borderId="0"/>
    <xf numFmtId="0" fontId="11" fillId="0" borderId="0"/>
    <xf numFmtId="44" fontId="11" fillId="0" borderId="0" applyFont="0" applyFill="0" applyBorder="0" applyAlignment="0" applyProtection="0"/>
    <xf numFmtId="43" fontId="11" fillId="0" borderId="0" applyFont="0" applyFill="0" applyBorder="0" applyAlignment="0" applyProtection="0"/>
    <xf numFmtId="0" fontId="30" fillId="0" borderId="0"/>
    <xf numFmtId="43" fontId="30" fillId="0" borderId="0" applyFont="0" applyFill="0" applyBorder="0" applyAlignment="0" applyProtection="0"/>
    <xf numFmtId="9" fontId="24" fillId="0" borderId="0" applyFont="0" applyFill="0" applyBorder="0" applyAlignment="0" applyProtection="0"/>
    <xf numFmtId="0" fontId="10" fillId="0" borderId="0"/>
    <xf numFmtId="0" fontId="179" fillId="7" borderId="0" applyNumberFormat="0" applyBorder="0" applyAlignment="0" applyProtection="0"/>
    <xf numFmtId="0" fontId="180" fillId="5" borderId="0" applyNumberFormat="0" applyBorder="0" applyAlignment="0" applyProtection="0"/>
    <xf numFmtId="0" fontId="10" fillId="0" borderId="0"/>
    <xf numFmtId="0" fontId="9" fillId="0" borderId="0"/>
    <xf numFmtId="0" fontId="8" fillId="0" borderId="0"/>
    <xf numFmtId="0" fontId="7" fillId="0" borderId="0"/>
    <xf numFmtId="43" fontId="7" fillId="0" borderId="0" applyFont="0" applyFill="0" applyBorder="0" applyAlignment="0" applyProtection="0"/>
    <xf numFmtId="0" fontId="6" fillId="0" borderId="0"/>
    <xf numFmtId="0" fontId="5" fillId="0" borderId="0"/>
    <xf numFmtId="0" fontId="5" fillId="0" borderId="0"/>
    <xf numFmtId="0" fontId="5" fillId="0" borderId="0"/>
    <xf numFmtId="9" fontId="5" fillId="0" borderId="0" applyFont="0" applyFill="0" applyBorder="0" applyAlignment="0" applyProtection="0"/>
    <xf numFmtId="44" fontId="5" fillId="0" borderId="0" applyFont="0" applyFill="0" applyBorder="0" applyAlignment="0" applyProtection="0"/>
    <xf numFmtId="0" fontId="4" fillId="0" borderId="0"/>
    <xf numFmtId="44"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2" fillId="0" borderId="0"/>
  </cellStyleXfs>
  <cellXfs count="1449">
    <xf numFmtId="0" fontId="0" fillId="0" borderId="0" xfId="0"/>
    <xf numFmtId="0" fontId="25" fillId="0" borderId="0" xfId="2" applyFont="1" applyAlignment="1">
      <alignment horizontal="left"/>
    </xf>
    <xf numFmtId="0" fontId="24" fillId="2" borderId="0" xfId="6" applyFill="1"/>
    <xf numFmtId="0" fontId="24" fillId="0" borderId="0" xfId="6"/>
    <xf numFmtId="0" fontId="28" fillId="0" borderId="0" xfId="6" applyFont="1" applyAlignment="1">
      <alignment horizontal="right" vertical="center"/>
    </xf>
    <xf numFmtId="0" fontId="23" fillId="0" borderId="0" xfId="59" applyFont="1"/>
    <xf numFmtId="0" fontId="27" fillId="0" borderId="0" xfId="20532" applyFont="1"/>
    <xf numFmtId="172" fontId="45" fillId="0" borderId="0" xfId="20535" applyNumberFormat="1" applyFont="1"/>
    <xf numFmtId="0" fontId="45" fillId="0" borderId="0" xfId="20532" applyFont="1"/>
    <xf numFmtId="0" fontId="27" fillId="0" borderId="0" xfId="20549" applyFont="1"/>
    <xf numFmtId="0" fontId="45" fillId="0" borderId="0" xfId="20548" applyFont="1"/>
    <xf numFmtId="0" fontId="27" fillId="0" borderId="0" xfId="20532" applyFont="1" applyAlignment="1">
      <alignment horizontal="right"/>
    </xf>
    <xf numFmtId="0" fontId="28" fillId="144" borderId="116" xfId="6" applyFont="1" applyFill="1" applyBorder="1" applyAlignment="1">
      <alignment horizontal="center" vertical="center" wrapText="1"/>
    </xf>
    <xf numFmtId="0" fontId="45" fillId="0" borderId="0" xfId="20563" applyFont="1" applyAlignment="1">
      <alignment horizontal="center" vertical="top" wrapText="1"/>
    </xf>
    <xf numFmtId="0" fontId="45" fillId="145" borderId="0" xfId="20563" applyFont="1" applyFill="1" applyAlignment="1">
      <alignment horizontal="center" vertical="top" wrapText="1"/>
    </xf>
    <xf numFmtId="166" fontId="45" fillId="0" borderId="0" xfId="20564" applyNumberFormat="1" applyFont="1" applyBorder="1" applyAlignment="1">
      <alignment horizontal="center" vertical="top" wrapText="1"/>
    </xf>
    <xf numFmtId="0" fontId="45" fillId="0" borderId="111" xfId="20563" applyFont="1" applyBorder="1" applyAlignment="1">
      <alignment horizontal="center"/>
    </xf>
    <xf numFmtId="0" fontId="45" fillId="0" borderId="112" xfId="20563" applyFont="1" applyBorder="1" applyAlignment="1">
      <alignment horizontal="center" wrapText="1"/>
    </xf>
    <xf numFmtId="0" fontId="45" fillId="145" borderId="0" xfId="20563" applyFont="1" applyFill="1" applyAlignment="1">
      <alignment horizontal="center"/>
    </xf>
    <xf numFmtId="0" fontId="45" fillId="0" borderId="121" xfId="20563" applyFont="1" applyBorder="1" applyAlignment="1">
      <alignment horizontal="left"/>
    </xf>
    <xf numFmtId="0" fontId="174" fillId="0" borderId="121" xfId="20563" applyFont="1" applyBorder="1" applyAlignment="1">
      <alignment horizontal="left"/>
    </xf>
    <xf numFmtId="0" fontId="45" fillId="3" borderId="121" xfId="20563" applyFont="1" applyFill="1" applyBorder="1" applyAlignment="1">
      <alignment horizontal="center"/>
    </xf>
    <xf numFmtId="0" fontId="45" fillId="0" borderId="0" xfId="20563" applyFont="1" applyAlignment="1">
      <alignment horizontal="left"/>
    </xf>
    <xf numFmtId="0" fontId="174" fillId="0" borderId="123" xfId="20563" applyFont="1" applyBorder="1" applyAlignment="1">
      <alignment horizontal="right"/>
    </xf>
    <xf numFmtId="0" fontId="172" fillId="0" borderId="110" xfId="0" applyFont="1" applyBorder="1"/>
    <xf numFmtId="6" fontId="27" fillId="3" borderId="121" xfId="20563" applyNumberFormat="1" applyFont="1" applyFill="1" applyBorder="1"/>
    <xf numFmtId="209" fontId="27" fillId="3" borderId="121" xfId="20563" applyNumberFormat="1" applyFont="1" applyFill="1" applyBorder="1" applyAlignment="1">
      <alignment horizontal="right"/>
    </xf>
    <xf numFmtId="9" fontId="27" fillId="3" borderId="121" xfId="58" applyFont="1" applyFill="1" applyBorder="1" applyAlignment="1">
      <alignment horizontal="right"/>
    </xf>
    <xf numFmtId="209" fontId="27" fillId="3" borderId="121" xfId="20563" applyNumberFormat="1" applyFont="1" applyFill="1" applyBorder="1"/>
    <xf numFmtId="0" fontId="27" fillId="0" borderId="2" xfId="20563" applyFont="1" applyBorder="1" applyAlignment="1">
      <alignment horizontal="left" wrapText="1"/>
    </xf>
    <xf numFmtId="0" fontId="45" fillId="0" borderId="0" xfId="20563" applyFont="1" applyAlignment="1">
      <alignment horizontal="center"/>
    </xf>
    <xf numFmtId="6" fontId="174" fillId="3" borderId="121" xfId="20563" applyNumberFormat="1" applyFont="1" applyFill="1" applyBorder="1"/>
    <xf numFmtId="6" fontId="45" fillId="3" borderId="121" xfId="20563" applyNumberFormat="1" applyFont="1" applyFill="1" applyBorder="1"/>
    <xf numFmtId="0" fontId="172" fillId="0" borderId="0" xfId="0" applyFont="1"/>
    <xf numFmtId="0" fontId="177" fillId="146" borderId="110" xfId="0" applyFont="1" applyFill="1" applyBorder="1"/>
    <xf numFmtId="0" fontId="178" fillId="0" borderId="0" xfId="0" applyFont="1"/>
    <xf numFmtId="0" fontId="0" fillId="0" borderId="0" xfId="0" applyAlignment="1">
      <alignment horizontal="right"/>
    </xf>
    <xf numFmtId="0" fontId="173" fillId="0" borderId="0" xfId="0" applyFont="1"/>
    <xf numFmtId="0" fontId="45" fillId="147" borderId="121" xfId="20563" applyFont="1" applyFill="1" applyBorder="1" applyAlignment="1">
      <alignment horizontal="center"/>
    </xf>
    <xf numFmtId="0" fontId="45" fillId="147" borderId="112" xfId="20563" applyFont="1" applyFill="1" applyBorder="1" applyAlignment="1">
      <alignment horizontal="center" wrapText="1"/>
    </xf>
    <xf numFmtId="0" fontId="138" fillId="147" borderId="112" xfId="20563" applyFont="1" applyFill="1" applyBorder="1" applyAlignment="1">
      <alignment horizontal="center" wrapText="1"/>
    </xf>
    <xf numFmtId="0" fontId="0" fillId="0" borderId="0" xfId="0" applyAlignment="1">
      <alignment vertical="top"/>
    </xf>
    <xf numFmtId="44" fontId="22" fillId="0" borderId="0" xfId="20548" applyNumberFormat="1" applyFont="1"/>
    <xf numFmtId="42" fontId="0" fillId="0" borderId="0" xfId="0" applyNumberFormat="1"/>
    <xf numFmtId="9" fontId="27" fillId="3" borderId="113" xfId="58" applyFont="1" applyFill="1" applyBorder="1" applyAlignment="1">
      <alignment horizontal="right"/>
    </xf>
    <xf numFmtId="209" fontId="27" fillId="3" borderId="136" xfId="20563" applyNumberFormat="1" applyFont="1" applyFill="1" applyBorder="1"/>
    <xf numFmtId="209" fontId="27" fillId="3" borderId="137" xfId="20563" applyNumberFormat="1" applyFont="1" applyFill="1" applyBorder="1"/>
    <xf numFmtId="0" fontId="178" fillId="0" borderId="0" xfId="0" applyFont="1" applyAlignment="1">
      <alignment horizontal="center"/>
    </xf>
    <xf numFmtId="43" fontId="178" fillId="0" borderId="0" xfId="0" applyNumberFormat="1" applyFont="1"/>
    <xf numFmtId="41" fontId="178" fillId="0" borderId="0" xfId="0" applyNumberFormat="1" applyFont="1"/>
    <xf numFmtId="0" fontId="45" fillId="0" borderId="0" xfId="20563" applyFont="1" applyAlignment="1">
      <alignment horizontal="right"/>
    </xf>
    <xf numFmtId="0" fontId="177" fillId="146" borderId="101" xfId="0" applyFont="1" applyFill="1" applyBorder="1"/>
    <xf numFmtId="0" fontId="172" fillId="0" borderId="102" xfId="0" applyFont="1" applyBorder="1"/>
    <xf numFmtId="0" fontId="181" fillId="0" borderId="0" xfId="0" applyFont="1"/>
    <xf numFmtId="0" fontId="182" fillId="0" borderId="0" xfId="2" applyFont="1" applyAlignment="1">
      <alignment horizontal="left"/>
    </xf>
    <xf numFmtId="0" fontId="182" fillId="0" borderId="0" xfId="2" applyFont="1" applyProtection="1">
      <protection locked="0"/>
    </xf>
    <xf numFmtId="0" fontId="0" fillId="0" borderId="138" xfId="0" applyBorder="1"/>
    <xf numFmtId="0" fontId="0" fillId="0" borderId="139" xfId="0" applyBorder="1"/>
    <xf numFmtId="0" fontId="0" fillId="0" borderId="140" xfId="0" applyBorder="1"/>
    <xf numFmtId="0" fontId="0" fillId="0" borderId="141" xfId="0" applyBorder="1"/>
    <xf numFmtId="0" fontId="0" fillId="0" borderId="142" xfId="0" applyBorder="1"/>
    <xf numFmtId="0" fontId="0" fillId="0" borderId="143" xfId="0" applyBorder="1"/>
    <xf numFmtId="0" fontId="24" fillId="0" borderId="144" xfId="6" applyBorder="1"/>
    <xf numFmtId="0" fontId="0" fillId="0" borderId="145" xfId="0" applyBorder="1"/>
    <xf numFmtId="0" fontId="0" fillId="3" borderId="95" xfId="0" applyFill="1" applyBorder="1"/>
    <xf numFmtId="0" fontId="177" fillId="146" borderId="95" xfId="0" applyFont="1" applyFill="1" applyBorder="1"/>
    <xf numFmtId="0" fontId="0" fillId="147" borderId="133" xfId="0" applyFill="1" applyBorder="1"/>
    <xf numFmtId="0" fontId="172" fillId="0" borderId="146" xfId="0" applyFont="1" applyBorder="1"/>
    <xf numFmtId="0" fontId="45" fillId="0" borderId="99" xfId="20575" applyFont="1" applyBorder="1" applyAlignment="1">
      <alignment horizontal="center" wrapText="1"/>
    </xf>
    <xf numFmtId="0" fontId="45" fillId="0" borderId="103" xfId="20575" applyFont="1" applyBorder="1" applyAlignment="1">
      <alignment horizontal="center" wrapText="1"/>
    </xf>
    <xf numFmtId="0" fontId="45" fillId="0" borderId="98" xfId="20575" applyFont="1" applyBorder="1" applyAlignment="1">
      <alignment horizontal="center" wrapText="1"/>
    </xf>
    <xf numFmtId="0" fontId="45" fillId="0" borderId="98" xfId="20575" applyFont="1" applyBorder="1"/>
    <xf numFmtId="0" fontId="45" fillId="148" borderId="99" xfId="20575" applyFont="1" applyFill="1" applyBorder="1" applyAlignment="1">
      <alignment horizontal="center" wrapText="1"/>
    </xf>
    <xf numFmtId="172" fontId="45" fillId="143" borderId="99" xfId="20576" applyNumberFormat="1" applyFont="1" applyFill="1" applyBorder="1"/>
    <xf numFmtId="172" fontId="45" fillId="143" borderId="103" xfId="20576" applyNumberFormat="1" applyFont="1" applyFill="1" applyBorder="1"/>
    <xf numFmtId="0" fontId="45" fillId="149" borderId="99" xfId="20575" applyFont="1" applyFill="1" applyBorder="1" applyAlignment="1">
      <alignment horizontal="center" wrapText="1"/>
    </xf>
    <xf numFmtId="0" fontId="45" fillId="145" borderId="99" xfId="20575" applyFont="1" applyFill="1" applyBorder="1" applyAlignment="1">
      <alignment horizontal="center" wrapText="1"/>
    </xf>
    <xf numFmtId="172" fontId="45" fillId="3" borderId="99" xfId="64" applyNumberFormat="1" applyFont="1" applyFill="1" applyBorder="1"/>
    <xf numFmtId="0" fontId="45" fillId="0" borderId="127" xfId="20575" applyFont="1" applyBorder="1" applyAlignment="1">
      <alignment horizontal="center"/>
    </xf>
    <xf numFmtId="0" fontId="45" fillId="0" borderId="102" xfId="20575" applyFont="1" applyBorder="1" applyAlignment="1">
      <alignment horizontal="center" wrapText="1"/>
    </xf>
    <xf numFmtId="0" fontId="45" fillId="0" borderId="98" xfId="20575" applyFont="1" applyBorder="1" applyAlignment="1">
      <alignment horizontal="center"/>
    </xf>
    <xf numFmtId="0" fontId="45" fillId="143" borderId="127" xfId="20575" applyFont="1" applyFill="1" applyBorder="1"/>
    <xf numFmtId="0" fontId="27" fillId="0" borderId="0" xfId="20563" applyFont="1" applyAlignment="1">
      <alignment horizontal="right"/>
    </xf>
    <xf numFmtId="172" fontId="45" fillId="3" borderId="99" xfId="20576" applyNumberFormat="1" applyFont="1" applyFill="1" applyBorder="1"/>
    <xf numFmtId="0" fontId="22" fillId="0" borderId="0" xfId="20563" applyFont="1"/>
    <xf numFmtId="172" fontId="31" fillId="146" borderId="124" xfId="20565" applyNumberFormat="1" applyFont="1" applyFill="1" applyBorder="1" applyAlignment="1">
      <alignment horizontal="right"/>
    </xf>
    <xf numFmtId="172" fontId="31" fillId="146" borderId="135" xfId="20565" applyNumberFormat="1" applyFont="1" applyFill="1" applyBorder="1" applyAlignment="1">
      <alignment horizontal="right"/>
    </xf>
    <xf numFmtId="5" fontId="27" fillId="3" borderId="121" xfId="20554" applyNumberFormat="1" applyFont="1" applyFill="1" applyBorder="1" applyAlignment="1">
      <alignment horizontal="right"/>
    </xf>
    <xf numFmtId="5" fontId="31" fillId="146" borderId="112" xfId="20554" applyNumberFormat="1" applyFont="1" applyFill="1" applyBorder="1" applyAlignment="1">
      <alignment horizontal="right"/>
    </xf>
    <xf numFmtId="172" fontId="31" fillId="146" borderId="136" xfId="20565" applyNumberFormat="1" applyFont="1" applyFill="1" applyBorder="1" applyAlignment="1">
      <alignment horizontal="right"/>
    </xf>
    <xf numFmtId="172" fontId="45" fillId="3" borderId="103" xfId="20576" applyNumberFormat="1" applyFont="1" applyFill="1" applyBorder="1"/>
    <xf numFmtId="0" fontId="45" fillId="0" borderId="0" xfId="20575" applyFont="1" applyAlignment="1">
      <alignment horizontal="center"/>
    </xf>
    <xf numFmtId="0" fontId="184" fillId="0" borderId="0" xfId="20575" applyFont="1" applyAlignment="1">
      <alignment horizontal="center"/>
    </xf>
    <xf numFmtId="0" fontId="183" fillId="0" borderId="0" xfId="20575" applyFont="1" applyAlignment="1">
      <alignment horizontal="center"/>
    </xf>
    <xf numFmtId="172" fontId="45" fillId="146" borderId="99" xfId="20576" applyNumberFormat="1" applyFont="1" applyFill="1" applyBorder="1"/>
    <xf numFmtId="0" fontId="27" fillId="0" borderId="0" xfId="20596" applyFont="1" applyAlignment="1">
      <alignment wrapText="1"/>
    </xf>
    <xf numFmtId="166" fontId="27" fillId="0" borderId="0" xfId="20597" applyNumberFormat="1" applyFont="1" applyFill="1" applyAlignment="1">
      <alignment horizontal="right"/>
    </xf>
    <xf numFmtId="2" fontId="27" fillId="0" borderId="0" xfId="20596" applyNumberFormat="1" applyFont="1" applyAlignment="1">
      <alignment horizontal="right"/>
    </xf>
    <xf numFmtId="9" fontId="27" fillId="0" borderId="0" xfId="20598" applyFont="1" applyFill="1" applyAlignment="1">
      <alignment horizontal="right"/>
    </xf>
    <xf numFmtId="0" fontId="27" fillId="0" borderId="0" xfId="20596" applyFont="1"/>
    <xf numFmtId="0" fontId="45" fillId="0" borderId="0" xfId="20599" applyFont="1"/>
    <xf numFmtId="0" fontId="45" fillId="0" borderId="0" xfId="20596" applyFont="1"/>
    <xf numFmtId="0" fontId="45" fillId="0" borderId="0" xfId="20596" applyFont="1" applyAlignment="1">
      <alignment wrapText="1"/>
    </xf>
    <xf numFmtId="0" fontId="174" fillId="0" borderId="0" xfId="20596" applyFont="1"/>
    <xf numFmtId="172" fontId="45" fillId="146" borderId="103" xfId="20576" applyNumberFormat="1" applyFont="1" applyFill="1" applyBorder="1"/>
    <xf numFmtId="0" fontId="45" fillId="0" borderId="0" xfId="20596" applyFont="1" applyAlignment="1">
      <alignment vertical="center" wrapText="1"/>
    </xf>
    <xf numFmtId="0" fontId="22" fillId="0" borderId="0" xfId="20563" applyFont="1" applyAlignment="1">
      <alignment horizontal="right"/>
    </xf>
    <xf numFmtId="0" fontId="22" fillId="0" borderId="0" xfId="20532" applyFont="1"/>
    <xf numFmtId="0" fontId="22" fillId="0" borderId="0" xfId="20548" applyFont="1"/>
    <xf numFmtId="44" fontId="0" fillId="0" borderId="0" xfId="0" applyNumberFormat="1"/>
    <xf numFmtId="222" fontId="178" fillId="0" borderId="0" xfId="0" applyNumberFormat="1" applyFont="1"/>
    <xf numFmtId="222" fontId="0" fillId="0" borderId="0" xfId="0" applyNumberFormat="1"/>
    <xf numFmtId="0" fontId="183" fillId="0" borderId="0" xfId="20563" applyFont="1"/>
    <xf numFmtId="0" fontId="31" fillId="0" borderId="0" xfId="20548" applyFont="1"/>
    <xf numFmtId="2" fontId="31" fillId="146" borderId="112" xfId="20554" applyNumberFormat="1" applyFont="1" applyFill="1" applyBorder="1" applyAlignment="1">
      <alignment horizontal="right"/>
    </xf>
    <xf numFmtId="222" fontId="178" fillId="159" borderId="0" xfId="0" applyNumberFormat="1" applyFont="1" applyFill="1"/>
    <xf numFmtId="0" fontId="24" fillId="3" borderId="184" xfId="6" applyFill="1" applyBorder="1" applyAlignment="1">
      <alignment horizontal="left"/>
    </xf>
    <xf numFmtId="0" fontId="172" fillId="0" borderId="184" xfId="0" applyFont="1" applyBorder="1" applyAlignment="1">
      <alignment horizontal="center"/>
    </xf>
    <xf numFmtId="222" fontId="0" fillId="0" borderId="184" xfId="0" applyNumberFormat="1" applyBorder="1"/>
    <xf numFmtId="42" fontId="0" fillId="0" borderId="184" xfId="0" applyNumberFormat="1" applyBorder="1"/>
    <xf numFmtId="42" fontId="0" fillId="143" borderId="184" xfId="0" applyNumberFormat="1" applyFill="1" applyBorder="1"/>
    <xf numFmtId="42" fontId="172" fillId="0" borderId="184" xfId="0" applyNumberFormat="1" applyFont="1" applyBorder="1" applyAlignment="1">
      <alignment horizontal="center"/>
    </xf>
    <xf numFmtId="222" fontId="0" fillId="159" borderId="184" xfId="0" applyNumberFormat="1" applyFill="1" applyBorder="1"/>
    <xf numFmtId="222" fontId="0" fillId="143" borderId="184" xfId="0" applyNumberFormat="1" applyFill="1" applyBorder="1"/>
    <xf numFmtId="0" fontId="0" fillId="143" borderId="184" xfId="0" applyFill="1" applyBorder="1"/>
    <xf numFmtId="166" fontId="0" fillId="143" borderId="184" xfId="0" applyNumberFormat="1" applyFill="1" applyBorder="1"/>
    <xf numFmtId="0" fontId="172" fillId="0" borderId="184" xfId="0" applyFont="1" applyBorder="1" applyAlignment="1">
      <alignment horizontal="center" wrapText="1"/>
    </xf>
    <xf numFmtId="0" fontId="172" fillId="3" borderId="184" xfId="0" applyFont="1" applyFill="1" applyBorder="1" applyAlignment="1">
      <alignment horizontal="center" wrapText="1"/>
    </xf>
    <xf numFmtId="44" fontId="0" fillId="0" borderId="184" xfId="0" applyNumberFormat="1" applyBorder="1"/>
    <xf numFmtId="0" fontId="27" fillId="0" borderId="184" xfId="20563" applyFont="1" applyBorder="1" applyAlignment="1">
      <alignment horizontal="left" wrapText="1"/>
    </xf>
    <xf numFmtId="9" fontId="45" fillId="0" borderId="184" xfId="20598" applyFont="1" applyFill="1" applyBorder="1" applyAlignment="1">
      <alignment horizontal="center" vertical="center" wrapText="1"/>
    </xf>
    <xf numFmtId="2" fontId="45" fillId="0" borderId="184" xfId="20596" applyNumberFormat="1" applyFont="1" applyBorder="1" applyAlignment="1">
      <alignment horizontal="center" vertical="center" wrapText="1"/>
    </xf>
    <xf numFmtId="166" fontId="45" fillId="0" borderId="184" xfId="20597" applyNumberFormat="1" applyFont="1" applyFill="1" applyBorder="1" applyAlignment="1">
      <alignment horizontal="center" vertical="center" wrapText="1"/>
    </xf>
    <xf numFmtId="0" fontId="174" fillId="0" borderId="184" xfId="20596" applyFont="1" applyBorder="1" applyAlignment="1">
      <alignment horizontal="center" vertical="center" wrapText="1"/>
    </xf>
    <xf numFmtId="0" fontId="45" fillId="0" borderId="184" xfId="20599" applyFont="1" applyBorder="1" applyAlignment="1">
      <alignment horizontal="center" vertical="center"/>
    </xf>
    <xf numFmtId="0" fontId="174" fillId="0" borderId="184" xfId="0" applyFont="1" applyBorder="1" applyAlignment="1">
      <alignment horizontal="center" vertical="center" wrapText="1"/>
    </xf>
    <xf numFmtId="0" fontId="45" fillId="0" borderId="184" xfId="0" applyFont="1" applyBorder="1" applyAlignment="1">
      <alignment horizontal="center" vertical="center" wrapText="1"/>
    </xf>
    <xf numFmtId="0" fontId="45" fillId="0" borderId="184" xfId="20596" applyFont="1" applyBorder="1" applyAlignment="1">
      <alignment vertical="center" wrapText="1"/>
    </xf>
    <xf numFmtId="0" fontId="45" fillId="0" borderId="184" xfId="20575" applyFont="1" applyBorder="1" applyAlignment="1">
      <alignment horizontal="center"/>
    </xf>
    <xf numFmtId="172" fontId="45" fillId="3" borderId="184" xfId="20576" applyNumberFormat="1" applyFont="1" applyFill="1" applyBorder="1"/>
    <xf numFmtId="0" fontId="138" fillId="0" borderId="207" xfId="20563" applyFont="1" applyBorder="1" applyAlignment="1">
      <alignment horizontal="center" wrapText="1"/>
    </xf>
    <xf numFmtId="0" fontId="27" fillId="0" borderId="184" xfId="20532" applyFont="1" applyBorder="1"/>
    <xf numFmtId="166" fontId="31" fillId="146" borderId="184" xfId="64" applyNumberFormat="1" applyFont="1" applyFill="1" applyBorder="1"/>
    <xf numFmtId="0" fontId="27" fillId="0" borderId="190" xfId="20566" applyFont="1" applyBorder="1" applyAlignment="1">
      <alignment vertical="center"/>
    </xf>
    <xf numFmtId="0" fontId="27" fillId="0" borderId="191" xfId="20566" applyFont="1" applyBorder="1" applyAlignment="1">
      <alignment vertical="center"/>
    </xf>
    <xf numFmtId="0" fontId="27" fillId="0" borderId="192" xfId="20566" applyFont="1" applyBorder="1" applyAlignment="1">
      <alignment vertical="center"/>
    </xf>
    <xf numFmtId="0" fontId="174" fillId="0" borderId="182" xfId="20572" applyFont="1" applyBorder="1" applyAlignment="1">
      <alignment horizontal="center" vertical="center" wrapText="1"/>
    </xf>
    <xf numFmtId="0" fontId="174" fillId="0" borderId="184" xfId="20572" applyFont="1" applyBorder="1" applyAlignment="1">
      <alignment horizontal="center" vertical="center" wrapText="1"/>
    </xf>
    <xf numFmtId="0" fontId="138" fillId="0" borderId="10" xfId="20548" applyFont="1" applyBorder="1"/>
    <xf numFmtId="43" fontId="45" fillId="146" borderId="99" xfId="20576" applyFont="1" applyFill="1" applyBorder="1"/>
    <xf numFmtId="43" fontId="45" fillId="146" borderId="184" xfId="20576" applyFont="1" applyFill="1" applyBorder="1"/>
    <xf numFmtId="0" fontId="185" fillId="0" borderId="0" xfId="20563" applyFont="1" applyAlignment="1">
      <alignment horizontal="left"/>
    </xf>
    <xf numFmtId="0" fontId="185" fillId="154" borderId="99" xfId="0" applyFont="1" applyFill="1" applyBorder="1" applyAlignment="1">
      <alignment horizontal="center"/>
    </xf>
    <xf numFmtId="2" fontId="45" fillId="146" borderId="184" xfId="20576" applyNumberFormat="1" applyFont="1" applyFill="1" applyBorder="1" applyAlignment="1">
      <alignment horizontal="center"/>
    </xf>
    <xf numFmtId="0" fontId="186" fillId="154" borderId="184" xfId="0" applyFont="1" applyFill="1" applyBorder="1" applyAlignment="1">
      <alignment horizontal="center" vertical="center"/>
    </xf>
    <xf numFmtId="2" fontId="186" fillId="154" borderId="184" xfId="0" applyNumberFormat="1" applyFont="1" applyFill="1" applyBorder="1" applyAlignment="1">
      <alignment horizontal="center" vertical="center"/>
    </xf>
    <xf numFmtId="0" fontId="186" fillId="158" borderId="184" xfId="0" applyFont="1" applyFill="1" applyBorder="1" applyAlignment="1">
      <alignment horizontal="center" vertical="center"/>
    </xf>
    <xf numFmtId="0" fontId="186" fillId="146" borderId="184" xfId="7" applyNumberFormat="1" applyFont="1" applyFill="1" applyBorder="1" applyAlignment="1">
      <alignment horizontal="center" vertical="center"/>
    </xf>
    <xf numFmtId="2" fontId="185" fillId="154" borderId="99" xfId="0" applyNumberFormat="1" applyFont="1" applyFill="1" applyBorder="1" applyAlignment="1">
      <alignment horizontal="center"/>
    </xf>
    <xf numFmtId="0" fontId="31" fillId="154" borderId="184" xfId="0" applyFont="1" applyFill="1" applyBorder="1" applyAlignment="1">
      <alignment horizontal="center" vertical="center"/>
    </xf>
    <xf numFmtId="0" fontId="31" fillId="146" borderId="184" xfId="7" applyNumberFormat="1" applyFont="1" applyFill="1" applyBorder="1" applyAlignment="1">
      <alignment horizontal="center" vertical="center"/>
    </xf>
    <xf numFmtId="2" fontId="31" fillId="154" borderId="184" xfId="0" applyNumberFormat="1" applyFont="1" applyFill="1" applyBorder="1" applyAlignment="1">
      <alignment horizontal="center" vertical="center"/>
    </xf>
    <xf numFmtId="41" fontId="31" fillId="146" borderId="184" xfId="7" applyNumberFormat="1" applyFont="1" applyFill="1" applyBorder="1" applyAlignment="1">
      <alignment horizontal="center" vertical="center"/>
    </xf>
    <xf numFmtId="172" fontId="31" fillId="146" borderId="184" xfId="64" applyNumberFormat="1" applyFont="1" applyFill="1" applyBorder="1" applyAlignment="1">
      <alignment horizontal="center" vertical="center"/>
    </xf>
    <xf numFmtId="172" fontId="186" fillId="143" borderId="184" xfId="64" applyNumberFormat="1" applyFont="1" applyFill="1" applyBorder="1" applyAlignment="1">
      <alignment horizontal="center" vertical="center"/>
    </xf>
    <xf numFmtId="172" fontId="186" fillId="146" borderId="184" xfId="64" applyNumberFormat="1" applyFont="1" applyFill="1" applyBorder="1" applyAlignment="1">
      <alignment horizontal="center" vertical="center"/>
    </xf>
    <xf numFmtId="172" fontId="45" fillId="3" borderId="184" xfId="64" applyNumberFormat="1" applyFont="1" applyFill="1" applyBorder="1"/>
    <xf numFmtId="222" fontId="31" fillId="146" borderId="184" xfId="64" applyNumberFormat="1" applyFont="1" applyFill="1" applyBorder="1"/>
    <xf numFmtId="172" fontId="1" fillId="0" borderId="0" xfId="163" applyNumberFormat="1" applyFont="1"/>
    <xf numFmtId="172" fontId="1" fillId="0" borderId="0" xfId="163" applyNumberFormat="1" applyFont="1" applyFill="1"/>
    <xf numFmtId="0" fontId="1" fillId="0" borderId="0" xfId="20529" applyFont="1"/>
    <xf numFmtId="0" fontId="1" fillId="0" borderId="0" xfId="15917" applyFont="1"/>
    <xf numFmtId="0" fontId="1" fillId="0" borderId="0" xfId="15914" applyFont="1"/>
    <xf numFmtId="172" fontId="1" fillId="0" borderId="0" xfId="13594" applyNumberFormat="1" applyFont="1"/>
    <xf numFmtId="0" fontId="1" fillId="0" borderId="0" xfId="15922" applyFont="1"/>
    <xf numFmtId="0" fontId="174" fillId="0" borderId="0" xfId="59" applyFont="1"/>
    <xf numFmtId="0" fontId="27" fillId="3" borderId="184" xfId="6" applyFont="1" applyFill="1" applyBorder="1" applyAlignment="1">
      <alignment horizontal="left"/>
    </xf>
    <xf numFmtId="164" fontId="27" fillId="0" borderId="0" xfId="60" applyNumberFormat="1" applyFont="1"/>
    <xf numFmtId="165" fontId="22" fillId="0" borderId="0" xfId="60" applyNumberFormat="1" applyFont="1"/>
    <xf numFmtId="166" fontId="27" fillId="0" borderId="0" xfId="60" applyNumberFormat="1" applyFont="1"/>
    <xf numFmtId="0" fontId="27" fillId="0" borderId="0" xfId="2" applyFont="1"/>
    <xf numFmtId="165" fontId="27" fillId="0" borderId="0" xfId="60" applyNumberFormat="1" applyFont="1"/>
    <xf numFmtId="0" fontId="174" fillId="0" borderId="0" xfId="2" applyFont="1" applyProtection="1">
      <protection locked="0"/>
    </xf>
    <xf numFmtId="0" fontId="22" fillId="0" borderId="0" xfId="2" applyFont="1" applyProtection="1">
      <protection locked="0"/>
    </xf>
    <xf numFmtId="0" fontId="27" fillId="0" borderId="0" xfId="2" applyFont="1" applyAlignment="1">
      <alignment wrapText="1"/>
    </xf>
    <xf numFmtId="0" fontId="174" fillId="0" borderId="185" xfId="2" applyFont="1" applyBorder="1" applyAlignment="1">
      <alignment horizontal="left" wrapText="1"/>
    </xf>
    <xf numFmtId="164" fontId="174" fillId="0" borderId="184" xfId="60" applyNumberFormat="1" applyFont="1" applyFill="1" applyBorder="1" applyAlignment="1">
      <alignment horizontal="center" wrapText="1"/>
    </xf>
    <xf numFmtId="165" fontId="174" fillId="0" borderId="184" xfId="60" applyNumberFormat="1" applyFont="1" applyFill="1" applyBorder="1" applyAlignment="1">
      <alignment horizontal="center" wrapText="1"/>
    </xf>
    <xf numFmtId="166" fontId="174" fillId="0" borderId="184" xfId="60" applyNumberFormat="1" applyFont="1" applyFill="1" applyBorder="1" applyAlignment="1">
      <alignment horizontal="center" wrapText="1"/>
    </xf>
    <xf numFmtId="166" fontId="174" fillId="0" borderId="186" xfId="60" applyNumberFormat="1" applyFont="1" applyFill="1" applyBorder="1" applyAlignment="1">
      <alignment horizontal="center" wrapText="1"/>
    </xf>
    <xf numFmtId="164" fontId="187" fillId="0" borderId="184" xfId="60" applyNumberFormat="1" applyFont="1" applyFill="1" applyBorder="1" applyAlignment="1">
      <alignment horizontal="center" wrapText="1"/>
    </xf>
    <xf numFmtId="165" fontId="187" fillId="0" borderId="184" xfId="60" applyNumberFormat="1" applyFont="1" applyFill="1" applyBorder="1" applyAlignment="1">
      <alignment horizontal="center" wrapText="1"/>
    </xf>
    <xf numFmtId="166" fontId="187" fillId="0" borderId="184" xfId="60" applyNumberFormat="1" applyFont="1" applyFill="1" applyBorder="1" applyAlignment="1">
      <alignment horizontal="center" wrapText="1"/>
    </xf>
    <xf numFmtId="166" fontId="187" fillId="0" borderId="186" xfId="60" applyNumberFormat="1" applyFont="1" applyFill="1" applyBorder="1" applyAlignment="1">
      <alignment horizontal="center" wrapText="1"/>
    </xf>
    <xf numFmtId="0" fontId="27" fillId="0" borderId="185" xfId="2" applyFont="1" applyBorder="1" applyAlignment="1">
      <alignment horizontal="left" wrapText="1" indent="1"/>
    </xf>
    <xf numFmtId="223" fontId="31" fillId="146" borderId="184" xfId="60" applyNumberFormat="1" applyFont="1" applyFill="1" applyBorder="1" applyAlignment="1">
      <alignment horizontal="center" wrapText="1"/>
    </xf>
    <xf numFmtId="224" fontId="31" fillId="146" borderId="184" xfId="60" applyNumberFormat="1" applyFont="1" applyFill="1" applyBorder="1" applyAlignment="1">
      <alignment horizontal="center" wrapText="1"/>
    </xf>
    <xf numFmtId="166" fontId="31" fillId="146" borderId="184" xfId="60" applyNumberFormat="1" applyFont="1" applyFill="1" applyBorder="1" applyAlignment="1">
      <alignment horizontal="center" wrapText="1"/>
    </xf>
    <xf numFmtId="166" fontId="31" fillId="146" borderId="186" xfId="60" applyNumberFormat="1" applyFont="1" applyFill="1" applyBorder="1" applyAlignment="1">
      <alignment horizontal="center" wrapText="1"/>
    </xf>
    <xf numFmtId="0" fontId="27" fillId="0" borderId="0" xfId="2" applyFont="1" applyAlignment="1">
      <alignment horizontal="left"/>
    </xf>
    <xf numFmtId="0" fontId="27" fillId="0" borderId="187" xfId="2" applyFont="1" applyBorder="1" applyAlignment="1">
      <alignment horizontal="left" wrapText="1" indent="1"/>
    </xf>
    <xf numFmtId="223" fontId="31" fillId="146" borderId="211" xfId="60" applyNumberFormat="1" applyFont="1" applyFill="1" applyBorder="1" applyAlignment="1">
      <alignment horizontal="center" wrapText="1"/>
    </xf>
    <xf numFmtId="224" fontId="31" fillId="146" borderId="211" xfId="60" applyNumberFormat="1" applyFont="1" applyFill="1" applyBorder="1" applyAlignment="1">
      <alignment horizontal="center" wrapText="1"/>
    </xf>
    <xf numFmtId="166" fontId="31" fillId="146" borderId="188" xfId="60" applyNumberFormat="1" applyFont="1" applyFill="1" applyBorder="1" applyAlignment="1">
      <alignment horizontal="center" wrapText="1"/>
    </xf>
    <xf numFmtId="166" fontId="31" fillId="146" borderId="189" xfId="60" applyNumberFormat="1" applyFont="1" applyFill="1" applyBorder="1" applyAlignment="1">
      <alignment horizontal="center" wrapText="1"/>
    </xf>
    <xf numFmtId="44" fontId="27" fillId="0" borderId="0" xfId="2" applyNumberFormat="1" applyFont="1" applyAlignment="1">
      <alignment horizontal="left"/>
    </xf>
    <xf numFmtId="0" fontId="138" fillId="0" borderId="0" xfId="2" applyFont="1" applyAlignment="1">
      <alignment horizontal="left"/>
    </xf>
    <xf numFmtId="166" fontId="27" fillId="0" borderId="0" xfId="60" applyNumberFormat="1" applyFont="1" applyFill="1" applyAlignment="1"/>
    <xf numFmtId="0" fontId="22" fillId="0" borderId="0" xfId="2" applyFont="1"/>
    <xf numFmtId="164" fontId="22" fillId="0" borderId="0" xfId="60" applyNumberFormat="1" applyFont="1" applyFill="1"/>
    <xf numFmtId="165" fontId="22" fillId="0" borderId="0" xfId="60" applyNumberFormat="1" applyFont="1" applyFill="1"/>
    <xf numFmtId="166" fontId="22" fillId="0" borderId="0" xfId="60" applyNumberFormat="1" applyFont="1" applyFill="1"/>
    <xf numFmtId="166" fontId="27" fillId="0" borderId="0" xfId="60" applyNumberFormat="1" applyFont="1" applyFill="1"/>
    <xf numFmtId="164" fontId="27" fillId="0" borderId="0" xfId="60" applyNumberFormat="1" applyFont="1" applyFill="1"/>
    <xf numFmtId="165" fontId="27" fillId="0" borderId="0" xfId="60" applyNumberFormat="1" applyFont="1" applyFill="1"/>
    <xf numFmtId="165" fontId="27" fillId="0" borderId="0" xfId="20543" applyNumberFormat="1" applyFont="1" applyFill="1" applyProtection="1">
      <protection locked="0"/>
    </xf>
    <xf numFmtId="165" fontId="22" fillId="0" borderId="0" xfId="20543" applyNumberFormat="1" applyFont="1" applyFill="1" applyProtection="1">
      <protection locked="0"/>
    </xf>
    <xf numFmtId="166" fontId="27" fillId="0" borderId="0" xfId="20543" applyNumberFormat="1" applyFont="1" applyFill="1" applyProtection="1">
      <protection locked="0"/>
    </xf>
    <xf numFmtId="165" fontId="27" fillId="0" borderId="0" xfId="20543" applyNumberFormat="1" applyFont="1" applyProtection="1">
      <protection locked="0"/>
    </xf>
    <xf numFmtId="166" fontId="27" fillId="0" borderId="0" xfId="20543" applyNumberFormat="1" applyFont="1" applyProtection="1">
      <protection locked="0"/>
    </xf>
    <xf numFmtId="0" fontId="27" fillId="0" borderId="0" xfId="2" applyFont="1" applyProtection="1">
      <protection locked="0"/>
    </xf>
    <xf numFmtId="164" fontId="174" fillId="0" borderId="184" xfId="20543" applyNumberFormat="1" applyFont="1" applyFill="1" applyBorder="1" applyAlignment="1" applyProtection="1">
      <alignment horizontal="center" wrapText="1"/>
      <protection locked="0"/>
    </xf>
    <xf numFmtId="0" fontId="31" fillId="146" borderId="184" xfId="2" applyFont="1" applyFill="1" applyBorder="1" applyAlignment="1" applyProtection="1">
      <alignment horizontal="left" wrapText="1" indent="1"/>
      <protection locked="0"/>
    </xf>
    <xf numFmtId="167" fontId="31" fillId="146" borderId="184" xfId="20543" applyNumberFormat="1" applyFont="1" applyFill="1" applyBorder="1" applyAlignment="1" applyProtection="1">
      <alignment horizontal="center"/>
      <protection locked="0"/>
    </xf>
    <xf numFmtId="166" fontId="31" fillId="146" borderId="184" xfId="20543" applyNumberFormat="1" applyFont="1" applyFill="1" applyBorder="1" applyAlignment="1" applyProtection="1">
      <alignment horizontal="center"/>
      <protection locked="0"/>
    </xf>
    <xf numFmtId="0" fontId="31" fillId="146" borderId="184" xfId="2" applyFont="1" applyFill="1" applyBorder="1" applyAlignment="1" applyProtection="1">
      <alignment horizontal="left" wrapText="1" indent="3"/>
      <protection locked="0"/>
    </xf>
    <xf numFmtId="167" fontId="31" fillId="146" borderId="184" xfId="20545" applyNumberFormat="1" applyFont="1" applyFill="1" applyBorder="1" applyAlignment="1" applyProtection="1">
      <alignment horizontal="center"/>
      <protection locked="0"/>
    </xf>
    <xf numFmtId="168" fontId="31" fillId="146" borderId="184" xfId="20545" applyNumberFormat="1" applyFont="1" applyFill="1" applyBorder="1" applyAlignment="1" applyProtection="1">
      <alignment horizontal="center"/>
      <protection locked="0"/>
    </xf>
    <xf numFmtId="0" fontId="31" fillId="146" borderId="184" xfId="2" applyFont="1" applyFill="1" applyBorder="1" applyAlignment="1" applyProtection="1">
      <alignment horizontal="left" indent="3"/>
      <protection locked="0"/>
    </xf>
    <xf numFmtId="0" fontId="188" fillId="146" borderId="184" xfId="2" applyFont="1" applyFill="1" applyBorder="1" applyAlignment="1" applyProtection="1">
      <alignment horizontal="left" wrapText="1" indent="1"/>
      <protection locked="0"/>
    </xf>
    <xf numFmtId="0" fontId="138" fillId="0" borderId="0" xfId="0" applyFont="1"/>
    <xf numFmtId="166" fontId="22" fillId="0" borderId="93" xfId="20543" applyNumberFormat="1" applyFont="1" applyFill="1" applyBorder="1" applyAlignment="1" applyProtection="1">
      <alignment horizontal="center"/>
      <protection locked="0"/>
    </xf>
    <xf numFmtId="167" fontId="22" fillId="0" borderId="93" xfId="20543" applyNumberFormat="1" applyFont="1" applyFill="1" applyBorder="1" applyAlignment="1" applyProtection="1">
      <alignment horizontal="center"/>
      <protection locked="0"/>
    </xf>
    <xf numFmtId="0" fontId="27" fillId="0" borderId="93" xfId="2" applyFont="1" applyBorder="1" applyAlignment="1" applyProtection="1">
      <alignment horizontal="left"/>
      <protection locked="0"/>
    </xf>
    <xf numFmtId="166" fontId="31" fillId="146" borderId="184" xfId="20543" applyNumberFormat="1" applyFont="1" applyFill="1" applyBorder="1" applyAlignment="1" applyProtection="1">
      <alignment horizontal="center" wrapText="1"/>
      <protection locked="0"/>
    </xf>
    <xf numFmtId="10" fontId="31" fillId="146" borderId="184" xfId="20543" applyNumberFormat="1" applyFont="1" applyFill="1" applyBorder="1" applyAlignment="1" applyProtection="1">
      <alignment horizontal="center" wrapText="1"/>
      <protection locked="0"/>
    </xf>
    <xf numFmtId="167" fontId="31" fillId="146" borderId="184" xfId="20545" applyNumberFormat="1" applyFont="1" applyFill="1" applyBorder="1" applyAlignment="1" applyProtection="1">
      <alignment horizontal="center" wrapText="1"/>
      <protection locked="0"/>
    </xf>
    <xf numFmtId="225" fontId="31" fillId="146" borderId="184" xfId="20546" applyNumberFormat="1" applyFont="1" applyFill="1" applyBorder="1" applyAlignment="1" applyProtection="1">
      <alignment horizontal="center" wrapText="1"/>
      <protection locked="0"/>
    </xf>
    <xf numFmtId="167" fontId="31" fillId="146" borderId="184" xfId="20543" applyNumberFormat="1" applyFont="1" applyFill="1" applyBorder="1" applyAlignment="1" applyProtection="1">
      <alignment horizontal="center" wrapText="1"/>
      <protection locked="0"/>
    </xf>
    <xf numFmtId="171" fontId="31" fillId="146" borderId="184" xfId="20546" applyNumberFormat="1" applyFont="1" applyFill="1" applyBorder="1" applyAlignment="1" applyProtection="1">
      <alignment horizontal="center" wrapText="1"/>
      <protection locked="0"/>
    </xf>
    <xf numFmtId="225" fontId="31" fillId="146" borderId="184" xfId="20543" applyNumberFormat="1" applyFont="1" applyFill="1" applyBorder="1" applyAlignment="1" applyProtection="1">
      <alignment horizontal="center" wrapText="1"/>
      <protection locked="0"/>
    </xf>
    <xf numFmtId="38" fontId="31" fillId="146" borderId="184" xfId="20543" applyNumberFormat="1" applyFont="1" applyFill="1" applyBorder="1" applyAlignment="1" applyProtection="1">
      <alignment horizontal="center" wrapText="1"/>
      <protection locked="0"/>
    </xf>
    <xf numFmtId="167" fontId="27" fillId="0" borderId="0" xfId="20543" applyNumberFormat="1" applyFont="1" applyFill="1" applyBorder="1" applyAlignment="1" applyProtection="1">
      <alignment horizontal="center" wrapText="1"/>
      <protection locked="0"/>
    </xf>
    <xf numFmtId="168" fontId="27" fillId="0" borderId="0" xfId="2" applyNumberFormat="1" applyFont="1" applyAlignment="1" applyProtection="1">
      <alignment horizontal="center"/>
      <protection locked="0"/>
    </xf>
    <xf numFmtId="0" fontId="45" fillId="0" borderId="184" xfId="20596" applyFont="1" applyBorder="1" applyAlignment="1">
      <alignment horizontal="center" vertical="center" wrapText="1"/>
    </xf>
    <xf numFmtId="0" fontId="1" fillId="0" borderId="0" xfId="20563" applyFont="1"/>
    <xf numFmtId="0" fontId="1" fillId="0" borderId="0" xfId="20563" applyFont="1" applyAlignment="1">
      <alignment horizontal="right"/>
    </xf>
    <xf numFmtId="0" fontId="1" fillId="145" borderId="0" xfId="20563" applyFont="1" applyFill="1"/>
    <xf numFmtId="0" fontId="1" fillId="0" borderId="0" xfId="20575" applyFont="1"/>
    <xf numFmtId="0" fontId="1" fillId="0" borderId="4" xfId="20575" applyFont="1" applyBorder="1" applyAlignment="1">
      <alignment horizontal="center"/>
    </xf>
    <xf numFmtId="0" fontId="1" fillId="0" borderId="185" xfId="20575" applyFont="1" applyBorder="1" applyAlignment="1">
      <alignment horizontal="center"/>
    </xf>
    <xf numFmtId="172" fontId="1" fillId="0" borderId="0" xfId="20575" applyNumberFormat="1" applyFont="1"/>
    <xf numFmtId="0" fontId="1" fillId="0" borderId="0" xfId="20575" quotePrefix="1" applyFont="1"/>
    <xf numFmtId="166" fontId="1" fillId="0" borderId="0" xfId="20564" applyNumberFormat="1" applyFont="1"/>
    <xf numFmtId="0" fontId="174" fillId="0" borderId="0" xfId="20532" applyFont="1"/>
    <xf numFmtId="172" fontId="1" fillId="3" borderId="2" xfId="64" applyNumberFormat="1" applyFont="1" applyFill="1" applyBorder="1"/>
    <xf numFmtId="168" fontId="31" fillId="146" borderId="2" xfId="58" applyNumberFormat="1" applyFont="1" applyFill="1" applyBorder="1"/>
    <xf numFmtId="168" fontId="31" fillId="146" borderId="5" xfId="58" applyNumberFormat="1" applyFont="1" applyFill="1" applyBorder="1"/>
    <xf numFmtId="172" fontId="1" fillId="3" borderId="184" xfId="64" applyNumberFormat="1" applyFont="1" applyFill="1" applyBorder="1"/>
    <xf numFmtId="172" fontId="1" fillId="3" borderId="182" xfId="64" applyNumberFormat="1" applyFont="1" applyFill="1" applyBorder="1"/>
    <xf numFmtId="172" fontId="1" fillId="146" borderId="2" xfId="20576" applyNumberFormat="1" applyFont="1" applyFill="1" applyBorder="1"/>
    <xf numFmtId="172" fontId="1" fillId="146" borderId="5" xfId="20576" applyNumberFormat="1" applyFont="1" applyFill="1" applyBorder="1"/>
    <xf numFmtId="172" fontId="1" fillId="146" borderId="184" xfId="20576" applyNumberFormat="1" applyFont="1" applyFill="1" applyBorder="1"/>
    <xf numFmtId="172" fontId="1" fillId="146" borderId="186" xfId="20576" applyNumberFormat="1" applyFont="1" applyFill="1" applyBorder="1"/>
    <xf numFmtId="172" fontId="1" fillId="146" borderId="182" xfId="20576" applyNumberFormat="1" applyFont="1" applyFill="1" applyBorder="1"/>
    <xf numFmtId="0" fontId="1" fillId="0" borderId="0" xfId="20548" applyFont="1" applyAlignment="1">
      <alignment wrapText="1"/>
    </xf>
    <xf numFmtId="0" fontId="1" fillId="0" borderId="0" xfId="20548" applyFont="1"/>
    <xf numFmtId="0" fontId="1" fillId="0" borderId="0" xfId="20548" applyFont="1" applyAlignment="1">
      <alignment horizontal="left"/>
    </xf>
    <xf numFmtId="0" fontId="1" fillId="0" borderId="0" xfId="20549" applyFont="1"/>
    <xf numFmtId="6" fontId="22" fillId="0" borderId="0" xfId="20549" quotePrefix="1" applyNumberFormat="1" applyFont="1"/>
    <xf numFmtId="0" fontId="174" fillId="0" borderId="0" xfId="20549" applyFont="1"/>
    <xf numFmtId="42" fontId="174" fillId="0" borderId="90" xfId="1856" applyNumberFormat="1" applyFont="1" applyBorder="1" applyAlignment="1">
      <alignment horizontal="center"/>
    </xf>
    <xf numFmtId="169" fontId="174" fillId="0" borderId="5" xfId="1856" applyNumberFormat="1" applyFont="1" applyBorder="1" applyAlignment="1">
      <alignment horizontal="center"/>
    </xf>
    <xf numFmtId="0" fontId="27" fillId="0" borderId="185" xfId="1856" applyFont="1" applyBorder="1" applyAlignment="1">
      <alignment horizontal="left"/>
    </xf>
    <xf numFmtId="42" fontId="27" fillId="3" borderId="186" xfId="1856" applyNumberFormat="1" applyFont="1" applyFill="1" applyBorder="1" applyAlignment="1">
      <alignment horizontal="left"/>
    </xf>
    <xf numFmtId="0" fontId="174" fillId="0" borderId="187" xfId="1856" applyFont="1" applyBorder="1" applyAlignment="1">
      <alignment horizontal="left"/>
    </xf>
    <xf numFmtId="42" fontId="174" fillId="3" borderId="189" xfId="1856" applyNumberFormat="1" applyFont="1" applyFill="1" applyBorder="1" applyAlignment="1">
      <alignment horizontal="left"/>
    </xf>
    <xf numFmtId="42" fontId="27" fillId="0" borderId="0" xfId="1856" applyNumberFormat="1" applyFont="1" applyAlignment="1">
      <alignment horizontal="left"/>
    </xf>
    <xf numFmtId="42" fontId="174" fillId="0" borderId="0" xfId="1856" applyNumberFormat="1" applyFont="1" applyAlignment="1">
      <alignment horizontal="left"/>
    </xf>
    <xf numFmtId="42" fontId="174" fillId="0" borderId="91" xfId="1856" applyNumberFormat="1" applyFont="1" applyBorder="1" applyAlignment="1">
      <alignment horizontal="center"/>
    </xf>
    <xf numFmtId="169" fontId="174" fillId="0" borderId="92" xfId="1856" applyNumberFormat="1" applyFont="1" applyBorder="1" applyAlignment="1">
      <alignment horizontal="center"/>
    </xf>
    <xf numFmtId="42" fontId="27" fillId="0" borderId="185" xfId="1856" applyNumberFormat="1" applyFont="1" applyBorder="1" applyAlignment="1">
      <alignment horizontal="left"/>
    </xf>
    <xf numFmtId="166" fontId="27" fillId="3" borderId="184" xfId="1856" applyNumberFormat="1" applyFont="1" applyFill="1" applyBorder="1" applyAlignment="1">
      <alignment horizontal="left"/>
    </xf>
    <xf numFmtId="9" fontId="31" fillId="146" borderId="186" xfId="1856" applyNumberFormat="1" applyFont="1" applyFill="1" applyBorder="1" applyAlignment="1">
      <alignment horizontal="center"/>
    </xf>
    <xf numFmtId="42" fontId="174" fillId="0" borderId="187" xfId="1856" applyNumberFormat="1" applyFont="1" applyBorder="1" applyAlignment="1">
      <alignment horizontal="left"/>
    </xf>
    <xf numFmtId="166" fontId="174" fillId="3" borderId="188" xfId="1856" applyNumberFormat="1" applyFont="1" applyFill="1" applyBorder="1" applyAlignment="1">
      <alignment horizontal="left"/>
    </xf>
    <xf numFmtId="9" fontId="174" fillId="0" borderId="189" xfId="1856" applyNumberFormat="1" applyFont="1" applyBorder="1" applyAlignment="1">
      <alignment horizontal="center"/>
    </xf>
    <xf numFmtId="42" fontId="174" fillId="0" borderId="91" xfId="1856" applyNumberFormat="1" applyFont="1" applyBorder="1" applyAlignment="1">
      <alignment horizontal="center" wrapText="1"/>
    </xf>
    <xf numFmtId="169" fontId="174" fillId="0" borderId="92" xfId="1856" applyNumberFormat="1" applyFont="1" applyBorder="1" applyAlignment="1">
      <alignment horizontal="center" wrapText="1"/>
    </xf>
    <xf numFmtId="9" fontId="27" fillId="3" borderId="186" xfId="1856" applyNumberFormat="1" applyFont="1" applyFill="1" applyBorder="1" applyAlignment="1">
      <alignment horizontal="center"/>
    </xf>
    <xf numFmtId="42" fontId="27" fillId="0" borderId="193" xfId="1856" applyNumberFormat="1" applyFont="1" applyBorder="1" applyAlignment="1">
      <alignment horizontal="left"/>
    </xf>
    <xf numFmtId="42" fontId="174" fillId="3" borderId="188" xfId="1856" applyNumberFormat="1" applyFont="1" applyFill="1" applyBorder="1" applyAlignment="1">
      <alignment horizontal="right"/>
    </xf>
    <xf numFmtId="0" fontId="45" fillId="0" borderId="0" xfId="20549" applyFont="1"/>
    <xf numFmtId="42" fontId="174" fillId="0" borderId="109" xfId="1856" applyNumberFormat="1" applyFont="1" applyBorder="1" applyAlignment="1">
      <alignment horizontal="center"/>
    </xf>
    <xf numFmtId="42" fontId="27" fillId="0" borderId="126" xfId="1856" applyNumberFormat="1" applyFont="1" applyBorder="1" applyAlignment="1">
      <alignment horizontal="left"/>
    </xf>
    <xf numFmtId="166" fontId="27" fillId="3" borderId="185" xfId="1856" applyNumberFormat="1" applyFont="1" applyFill="1" applyBorder="1" applyAlignment="1">
      <alignment horizontal="left"/>
    </xf>
    <xf numFmtId="166" fontId="27" fillId="3" borderId="186" xfId="1856" applyNumberFormat="1" applyFont="1" applyFill="1" applyBorder="1" applyAlignment="1">
      <alignment horizontal="left"/>
    </xf>
    <xf numFmtId="44" fontId="174" fillId="3" borderId="10" xfId="1856" applyNumberFormat="1" applyFont="1" applyFill="1" applyBorder="1" applyAlignment="1">
      <alignment horizontal="center"/>
    </xf>
    <xf numFmtId="44" fontId="174" fillId="3" borderId="53" xfId="1856" applyNumberFormat="1" applyFont="1" applyFill="1" applyBorder="1" applyAlignment="1">
      <alignment horizontal="center" wrapText="1"/>
    </xf>
    <xf numFmtId="44" fontId="31" fillId="146" borderId="186" xfId="1856" applyNumberFormat="1" applyFont="1" applyFill="1" applyBorder="1" applyAlignment="1">
      <alignment horizontal="left"/>
    </xf>
    <xf numFmtId="169" fontId="27" fillId="0" borderId="194" xfId="1856" applyNumberFormat="1" applyFont="1" applyBorder="1" applyAlignment="1">
      <alignment horizontal="left"/>
    </xf>
    <xf numFmtId="42" fontId="31" fillId="146" borderId="186" xfId="1856" applyNumberFormat="1" applyFont="1" applyFill="1" applyBorder="1" applyAlignment="1">
      <alignment horizontal="left"/>
    </xf>
    <xf numFmtId="169" fontId="27" fillId="0" borderId="195" xfId="1856" applyNumberFormat="1" applyFont="1" applyBorder="1" applyAlignment="1">
      <alignment horizontal="left"/>
    </xf>
    <xf numFmtId="42" fontId="27" fillId="143" borderId="193" xfId="1856" applyNumberFormat="1" applyFont="1" applyFill="1" applyBorder="1" applyAlignment="1">
      <alignment horizontal="left"/>
    </xf>
    <xf numFmtId="42" fontId="27" fillId="143" borderId="182" xfId="1856" applyNumberFormat="1" applyFont="1" applyFill="1" applyBorder="1" applyAlignment="1">
      <alignment horizontal="left"/>
    </xf>
    <xf numFmtId="42" fontId="27" fillId="143" borderId="196" xfId="1856" applyNumberFormat="1" applyFont="1" applyFill="1" applyBorder="1" applyAlignment="1">
      <alignment horizontal="left"/>
    </xf>
    <xf numFmtId="44" fontId="31" fillId="146" borderId="196" xfId="20531" applyFont="1" applyFill="1" applyBorder="1" applyAlignment="1">
      <alignment horizontal="left"/>
    </xf>
    <xf numFmtId="42" fontId="174" fillId="0" borderId="197" xfId="1856" applyNumberFormat="1" applyFont="1" applyBorder="1" applyAlignment="1">
      <alignment horizontal="left"/>
    </xf>
    <xf numFmtId="42" fontId="27" fillId="3" borderId="187" xfId="1856" applyNumberFormat="1" applyFont="1" applyFill="1" applyBorder="1" applyAlignment="1">
      <alignment horizontal="center"/>
    </xf>
    <xf numFmtId="44" fontId="27" fillId="3" borderId="198" xfId="1856" applyNumberFormat="1" applyFont="1" applyFill="1" applyBorder="1" applyAlignment="1">
      <alignment horizontal="right"/>
    </xf>
    <xf numFmtId="44" fontId="27" fillId="3" borderId="188" xfId="1856" applyNumberFormat="1" applyFont="1" applyFill="1" applyBorder="1" applyAlignment="1">
      <alignment horizontal="right"/>
    </xf>
    <xf numFmtId="44" fontId="27" fillId="3" borderId="189" xfId="1856" applyNumberFormat="1" applyFont="1" applyFill="1" applyBorder="1" applyAlignment="1">
      <alignment horizontal="right"/>
    </xf>
    <xf numFmtId="42" fontId="27" fillId="3" borderId="185" xfId="1856" applyNumberFormat="1" applyFont="1" applyFill="1" applyBorder="1" applyAlignment="1">
      <alignment horizontal="center"/>
    </xf>
    <xf numFmtId="42" fontId="27" fillId="3" borderId="53" xfId="1856" applyNumberFormat="1" applyFont="1" applyFill="1" applyBorder="1" applyAlignment="1">
      <alignment horizontal="center" wrapText="1"/>
    </xf>
    <xf numFmtId="42" fontId="27" fillId="3" borderId="186" xfId="1856" applyNumberFormat="1" applyFont="1" applyFill="1" applyBorder="1" applyAlignment="1">
      <alignment horizontal="center"/>
    </xf>
    <xf numFmtId="42" fontId="174" fillId="3" borderId="10" xfId="1856" applyNumberFormat="1" applyFont="1" applyFill="1" applyBorder="1" applyAlignment="1">
      <alignment horizontal="center"/>
    </xf>
    <xf numFmtId="42" fontId="174" fillId="3" borderId="53" xfId="1856" applyNumberFormat="1" applyFont="1" applyFill="1" applyBorder="1" applyAlignment="1">
      <alignment horizontal="center" wrapText="1"/>
    </xf>
    <xf numFmtId="42" fontId="27" fillId="143" borderId="186" xfId="1856" applyNumberFormat="1" applyFont="1" applyFill="1" applyBorder="1" applyAlignment="1">
      <alignment horizontal="center"/>
    </xf>
    <xf numFmtId="42" fontId="31" fillId="146" borderId="186" xfId="1856" applyNumberFormat="1" applyFont="1" applyFill="1" applyBorder="1" applyAlignment="1">
      <alignment horizontal="center"/>
    </xf>
    <xf numFmtId="42" fontId="27" fillId="3" borderId="192" xfId="1856" applyNumberFormat="1" applyFont="1" applyFill="1" applyBorder="1" applyAlignment="1">
      <alignment horizontal="center"/>
    </xf>
    <xf numFmtId="42" fontId="27" fillId="3" borderId="184" xfId="1856" applyNumberFormat="1" applyFont="1" applyFill="1" applyBorder="1" applyAlignment="1">
      <alignment horizontal="center"/>
    </xf>
    <xf numFmtId="42" fontId="27" fillId="3" borderId="210" xfId="1856" applyNumberFormat="1" applyFont="1" applyFill="1" applyBorder="1" applyAlignment="1">
      <alignment horizontal="left"/>
    </xf>
    <xf numFmtId="42" fontId="27" fillId="3" borderId="182" xfId="1856" applyNumberFormat="1" applyFont="1" applyFill="1" applyBorder="1" applyAlignment="1">
      <alignment horizontal="left"/>
    </xf>
    <xf numFmtId="42" fontId="27" fillId="3" borderId="188" xfId="1856" applyNumberFormat="1" applyFont="1" applyFill="1" applyBorder="1" applyAlignment="1">
      <alignment horizontal="center"/>
    </xf>
    <xf numFmtId="42" fontId="27" fillId="3" borderId="189" xfId="1856" applyNumberFormat="1" applyFont="1" applyFill="1" applyBorder="1" applyAlignment="1">
      <alignment horizontal="center"/>
    </xf>
    <xf numFmtId="0" fontId="27" fillId="0" borderId="0" xfId="20549" applyFont="1" applyAlignment="1">
      <alignment horizontal="center"/>
    </xf>
    <xf numFmtId="166" fontId="27" fillId="3" borderId="186" xfId="20531" applyNumberFormat="1" applyFont="1" applyFill="1" applyBorder="1" applyAlignment="1">
      <alignment horizontal="center" wrapText="1"/>
    </xf>
    <xf numFmtId="42" fontId="27" fillId="143" borderId="185" xfId="1856" applyNumberFormat="1" applyFont="1" applyFill="1" applyBorder="1" applyAlignment="1">
      <alignment horizontal="center"/>
    </xf>
    <xf numFmtId="42" fontId="27" fillId="143" borderId="184" xfId="1856" applyNumberFormat="1" applyFont="1" applyFill="1" applyBorder="1" applyAlignment="1">
      <alignment horizontal="center"/>
    </xf>
    <xf numFmtId="0" fontId="31" fillId="155" borderId="0" xfId="0" applyFont="1" applyFill="1"/>
    <xf numFmtId="0" fontId="31" fillId="0" borderId="0" xfId="0" applyFont="1"/>
    <xf numFmtId="0" fontId="174" fillId="0" borderId="0" xfId="20549" applyFont="1" applyAlignment="1">
      <alignment wrapText="1"/>
    </xf>
    <xf numFmtId="0" fontId="45" fillId="0" borderId="110" xfId="20549" applyFont="1" applyBorder="1" applyAlignment="1">
      <alignment horizontal="center" wrapText="1"/>
    </xf>
    <xf numFmtId="0" fontId="174" fillId="0" borderId="110" xfId="20548" applyFont="1" applyBorder="1" applyAlignment="1">
      <alignment horizontal="center" wrapText="1"/>
    </xf>
    <xf numFmtId="0" fontId="174" fillId="0" borderId="134" xfId="20548" applyFont="1" applyBorder="1" applyAlignment="1">
      <alignment horizontal="center" wrapText="1"/>
    </xf>
    <xf numFmtId="0" fontId="174" fillId="0" borderId="105" xfId="20548" applyFont="1" applyBorder="1" applyAlignment="1">
      <alignment horizontal="center" wrapText="1"/>
    </xf>
    <xf numFmtId="0" fontId="174" fillId="0" borderId="106" xfId="20548" applyFont="1" applyBorder="1" applyAlignment="1">
      <alignment horizontal="center" wrapText="1"/>
    </xf>
    <xf numFmtId="0" fontId="174" fillId="0" borderId="96" xfId="20548" applyFont="1" applyBorder="1" applyAlignment="1">
      <alignment horizontal="center" wrapText="1"/>
    </xf>
    <xf numFmtId="0" fontId="27" fillId="0" borderId="97" xfId="20548" applyFont="1" applyBorder="1" applyAlignment="1">
      <alignment wrapText="1"/>
    </xf>
    <xf numFmtId="42" fontId="31" fillId="146" borderId="97" xfId="1856" applyNumberFormat="1" applyFont="1" applyFill="1" applyBorder="1" applyAlignment="1">
      <alignment horizontal="left"/>
    </xf>
    <xf numFmtId="42" fontId="27" fillId="3" borderId="109" xfId="1856" applyNumberFormat="1" applyFont="1" applyFill="1" applyBorder="1" applyAlignment="1">
      <alignment horizontal="left"/>
    </xf>
    <xf numFmtId="42" fontId="27" fillId="3" borderId="91" xfId="1856" applyNumberFormat="1" applyFont="1" applyFill="1" applyBorder="1" applyAlignment="1">
      <alignment horizontal="left"/>
    </xf>
    <xf numFmtId="42" fontId="27" fillId="3" borderId="108" xfId="1856" applyNumberFormat="1" applyFont="1" applyFill="1" applyBorder="1" applyAlignment="1">
      <alignment horizontal="left"/>
    </xf>
    <xf numFmtId="42" fontId="27" fillId="3" borderId="92" xfId="1856" applyNumberFormat="1" applyFont="1" applyFill="1" applyBorder="1" applyAlignment="1">
      <alignment horizontal="left"/>
    </xf>
    <xf numFmtId="0" fontId="27" fillId="0" borderId="199" xfId="20548" applyFont="1" applyBorder="1" applyAlignment="1">
      <alignment wrapText="1"/>
    </xf>
    <xf numFmtId="42" fontId="27" fillId="143" borderId="199" xfId="1856" applyNumberFormat="1" applyFont="1" applyFill="1" applyBorder="1" applyAlignment="1">
      <alignment horizontal="center"/>
    </xf>
    <xf numFmtId="42" fontId="27" fillId="3" borderId="192" xfId="1856" applyNumberFormat="1" applyFont="1" applyFill="1" applyBorder="1" applyAlignment="1">
      <alignment horizontal="left"/>
    </xf>
    <xf numFmtId="42" fontId="27" fillId="3" borderId="184" xfId="1856" applyNumberFormat="1" applyFont="1" applyFill="1" applyBorder="1" applyAlignment="1">
      <alignment horizontal="left"/>
    </xf>
    <xf numFmtId="42" fontId="27" fillId="3" borderId="190" xfId="1856" applyNumberFormat="1" applyFont="1" applyFill="1" applyBorder="1" applyAlignment="1">
      <alignment horizontal="left"/>
    </xf>
    <xf numFmtId="0" fontId="174" fillId="0" borderId="200" xfId="20548" applyFont="1" applyBorder="1" applyAlignment="1">
      <alignment horizontal="right" wrapText="1"/>
    </xf>
    <xf numFmtId="42" fontId="174" fillId="3" borderId="200" xfId="1856" applyNumberFormat="1" applyFont="1" applyFill="1" applyBorder="1" applyAlignment="1">
      <alignment horizontal="left"/>
    </xf>
    <xf numFmtId="42" fontId="174" fillId="3" borderId="198" xfId="1856" applyNumberFormat="1" applyFont="1" applyFill="1" applyBorder="1" applyAlignment="1">
      <alignment horizontal="left"/>
    </xf>
    <xf numFmtId="42" fontId="174" fillId="3" borderId="188" xfId="1856" applyNumberFormat="1" applyFont="1" applyFill="1" applyBorder="1" applyAlignment="1">
      <alignment horizontal="left"/>
    </xf>
    <xf numFmtId="42" fontId="174" fillId="3" borderId="189" xfId="1856" applyNumberFormat="1" applyFont="1" applyFill="1" applyBorder="1" applyAlignment="1">
      <alignment horizontal="center"/>
    </xf>
    <xf numFmtId="0" fontId="174" fillId="0" borderId="0" xfId="20548" applyFont="1" applyAlignment="1">
      <alignment horizontal="left" vertical="top" wrapText="1"/>
    </xf>
    <xf numFmtId="166" fontId="174" fillId="0" borderId="0" xfId="20550" applyNumberFormat="1" applyFont="1" applyFill="1" applyBorder="1" applyAlignment="1">
      <alignment wrapText="1"/>
    </xf>
    <xf numFmtId="0" fontId="1" fillId="0" borderId="0" xfId="20549" applyFont="1" applyAlignment="1">
      <alignment horizontal="left"/>
    </xf>
    <xf numFmtId="0" fontId="27" fillId="2" borderId="0" xfId="6" applyFont="1" applyFill="1"/>
    <xf numFmtId="0" fontId="22" fillId="0" borderId="0" xfId="6" applyFont="1"/>
    <xf numFmtId="0" fontId="22" fillId="0" borderId="0" xfId="5259" applyFont="1" applyFill="1"/>
    <xf numFmtId="222" fontId="22" fillId="0" borderId="0" xfId="5259" applyNumberFormat="1" applyFont="1" applyFill="1"/>
    <xf numFmtId="222" fontId="27" fillId="0" borderId="0" xfId="7" applyNumberFormat="1" applyFont="1" applyFill="1" applyBorder="1" applyAlignment="1">
      <alignment horizontal="center"/>
    </xf>
    <xf numFmtId="166" fontId="27" fillId="0" borderId="0" xfId="7" applyNumberFormat="1" applyFont="1" applyFill="1" applyBorder="1" applyAlignment="1">
      <alignment horizontal="center"/>
    </xf>
    <xf numFmtId="172" fontId="22" fillId="0" borderId="0" xfId="5259" applyNumberFormat="1" applyFont="1" applyFill="1"/>
    <xf numFmtId="209" fontId="22" fillId="0" borderId="0" xfId="5259" applyNumberFormat="1" applyFont="1" applyFill="1"/>
    <xf numFmtId="0" fontId="27" fillId="0" borderId="0" xfId="6" applyFont="1"/>
    <xf numFmtId="166" fontId="27" fillId="0" borderId="0" xfId="6" applyNumberFormat="1" applyFont="1" applyAlignment="1">
      <alignment horizontal="center"/>
    </xf>
    <xf numFmtId="0" fontId="27" fillId="2" borderId="0" xfId="6" applyFont="1" applyFill="1" applyAlignment="1">
      <alignment horizontal="center"/>
    </xf>
    <xf numFmtId="222" fontId="184" fillId="0" borderId="0" xfId="6" applyNumberFormat="1" applyFont="1"/>
    <xf numFmtId="166" fontId="22" fillId="2" borderId="0" xfId="7" applyNumberFormat="1" applyFont="1" applyFill="1" applyBorder="1" applyAlignment="1">
      <alignment horizontal="center"/>
    </xf>
    <xf numFmtId="222" fontId="27" fillId="2" borderId="0" xfId="7" applyNumberFormat="1" applyFont="1" applyFill="1" applyBorder="1" applyAlignment="1">
      <alignment horizontal="center"/>
    </xf>
    <xf numFmtId="43" fontId="27" fillId="2" borderId="0" xfId="64" applyFont="1" applyFill="1" applyBorder="1" applyAlignment="1">
      <alignment horizontal="center"/>
    </xf>
    <xf numFmtId="172" fontId="27" fillId="2" borderId="0" xfId="64" applyNumberFormat="1" applyFont="1" applyFill="1" applyBorder="1" applyAlignment="1">
      <alignment horizontal="center"/>
    </xf>
    <xf numFmtId="209" fontId="27" fillId="2" borderId="0" xfId="7" applyNumberFormat="1" applyFont="1" applyFill="1" applyBorder="1" applyAlignment="1">
      <alignment horizontal="center"/>
    </xf>
    <xf numFmtId="0" fontId="22" fillId="2" borderId="0" xfId="6" applyFont="1" applyFill="1"/>
    <xf numFmtId="0" fontId="174" fillId="0" borderId="0" xfId="20547" applyFont="1"/>
    <xf numFmtId="0" fontId="27" fillId="0" borderId="0" xfId="6" applyFont="1" applyAlignment="1">
      <alignment horizontal="center"/>
    </xf>
    <xf numFmtId="0" fontId="184" fillId="0" borderId="0" xfId="6" applyFont="1"/>
    <xf numFmtId="222" fontId="22" fillId="2" borderId="0" xfId="7" applyNumberFormat="1" applyFont="1" applyFill="1" applyBorder="1" applyAlignment="1">
      <alignment horizontal="center"/>
    </xf>
    <xf numFmtId="43" fontId="22" fillId="2" borderId="0" xfId="64" applyFont="1" applyFill="1" applyBorder="1" applyAlignment="1">
      <alignment horizontal="center"/>
    </xf>
    <xf numFmtId="172" fontId="22" fillId="2" borderId="0" xfId="64" applyNumberFormat="1" applyFont="1" applyFill="1" applyBorder="1" applyAlignment="1">
      <alignment horizontal="center"/>
    </xf>
    <xf numFmtId="209" fontId="22" fillId="2" borderId="0" xfId="7" applyNumberFormat="1" applyFont="1" applyFill="1" applyBorder="1" applyAlignment="1">
      <alignment horizontal="center"/>
    </xf>
    <xf numFmtId="0" fontId="174" fillId="2" borderId="0" xfId="6" applyFont="1" applyFill="1"/>
    <xf numFmtId="166" fontId="22" fillId="2" borderId="0" xfId="7" applyNumberFormat="1" applyFont="1" applyFill="1" applyBorder="1" applyAlignment="1">
      <alignment horizontal="center" wrapText="1"/>
    </xf>
    <xf numFmtId="222" fontId="22" fillId="2" borderId="0" xfId="7" applyNumberFormat="1" applyFont="1" applyFill="1" applyBorder="1" applyAlignment="1">
      <alignment horizontal="center" wrapText="1"/>
    </xf>
    <xf numFmtId="222" fontId="174" fillId="0" borderId="0" xfId="6" applyNumberFormat="1" applyFont="1" applyAlignment="1">
      <alignment horizontal="center" vertical="center" wrapText="1"/>
    </xf>
    <xf numFmtId="166" fontId="174" fillId="0" borderId="0" xfId="6" applyNumberFormat="1" applyFont="1" applyAlignment="1">
      <alignment horizontal="center" vertical="center" wrapText="1"/>
    </xf>
    <xf numFmtId="43" fontId="22" fillId="2" borderId="0" xfId="64" applyFont="1" applyFill="1" applyBorder="1" applyAlignment="1">
      <alignment horizontal="center" wrapText="1"/>
    </xf>
    <xf numFmtId="172" fontId="22" fillId="2" borderId="0" xfId="64" applyNumberFormat="1" applyFont="1" applyFill="1" applyBorder="1" applyAlignment="1">
      <alignment horizontal="center" wrapText="1"/>
    </xf>
    <xf numFmtId="209" fontId="22" fillId="2" borderId="0" xfId="7" applyNumberFormat="1" applyFont="1" applyFill="1" applyBorder="1" applyAlignment="1">
      <alignment horizontal="center" wrapText="1"/>
    </xf>
    <xf numFmtId="0" fontId="174" fillId="0" borderId="0" xfId="6" applyFont="1" applyAlignment="1">
      <alignment horizontal="center" vertical="center" wrapText="1"/>
    </xf>
    <xf numFmtId="0" fontId="191" fillId="0" borderId="0" xfId="6" applyFont="1"/>
    <xf numFmtId="0" fontId="158" fillId="0" borderId="0" xfId="6" applyFont="1"/>
    <xf numFmtId="166" fontId="174" fillId="0" borderId="0" xfId="7" applyNumberFormat="1" applyFont="1" applyFill="1" applyBorder="1" applyAlignment="1">
      <alignment horizontal="center" vertical="center"/>
    </xf>
    <xf numFmtId="37" fontId="22" fillId="0" borderId="0" xfId="6" applyNumberFormat="1" applyFont="1" applyAlignment="1">
      <alignment horizontal="center" wrapText="1"/>
    </xf>
    <xf numFmtId="0" fontId="174" fillId="147" borderId="128" xfId="6" applyFont="1" applyFill="1" applyBorder="1" applyAlignment="1">
      <alignment horizontal="center" vertical="center" wrapText="1"/>
    </xf>
    <xf numFmtId="0" fontId="174" fillId="147" borderId="129" xfId="6" applyFont="1" applyFill="1" applyBorder="1" applyAlignment="1">
      <alignment horizontal="center" vertical="center" wrapText="1"/>
    </xf>
    <xf numFmtId="0" fontId="174" fillId="147" borderId="129" xfId="9" applyFont="1" applyFill="1" applyBorder="1" applyAlignment="1">
      <alignment horizontal="center" vertical="center" wrapText="1"/>
    </xf>
    <xf numFmtId="222" fontId="174" fillId="147" borderId="129" xfId="6" applyNumberFormat="1" applyFont="1" applyFill="1" applyBorder="1" applyAlignment="1">
      <alignment horizontal="center" vertical="center" wrapText="1"/>
    </xf>
    <xf numFmtId="222" fontId="174" fillId="147" borderId="153" xfId="7" applyNumberFormat="1" applyFont="1" applyFill="1" applyBorder="1" applyAlignment="1" applyProtection="1">
      <alignment horizontal="center" vertical="center" wrapText="1"/>
      <protection locked="0"/>
    </xf>
    <xf numFmtId="222" fontId="174" fillId="147" borderId="129" xfId="7" applyNumberFormat="1" applyFont="1" applyFill="1" applyBorder="1" applyAlignment="1" applyProtection="1">
      <alignment horizontal="center" vertical="center" wrapText="1"/>
      <protection locked="0"/>
    </xf>
    <xf numFmtId="43" fontId="174" fillId="147" borderId="129" xfId="64" applyFont="1" applyFill="1" applyBorder="1" applyAlignment="1" applyProtection="1">
      <alignment horizontal="center" vertical="center" wrapText="1"/>
      <protection locked="0"/>
    </xf>
    <xf numFmtId="172" fontId="174" fillId="147" borderId="129" xfId="64" applyNumberFormat="1" applyFont="1" applyFill="1" applyBorder="1" applyAlignment="1" applyProtection="1">
      <alignment horizontal="center" vertical="center" wrapText="1"/>
      <protection locked="0"/>
    </xf>
    <xf numFmtId="209" fontId="174" fillId="147" borderId="128" xfId="7" applyNumberFormat="1" applyFont="1" applyFill="1" applyBorder="1" applyAlignment="1" applyProtection="1">
      <alignment horizontal="center" vertical="center" wrapText="1"/>
      <protection locked="0"/>
    </xf>
    <xf numFmtId="209" fontId="174" fillId="147" borderId="129" xfId="7" applyNumberFormat="1" applyFont="1" applyFill="1" applyBorder="1" applyAlignment="1" applyProtection="1">
      <alignment horizontal="center" vertical="center" wrapText="1"/>
      <protection locked="0"/>
    </xf>
    <xf numFmtId="222" fontId="174" fillId="147" borderId="128" xfId="7" applyNumberFormat="1" applyFont="1" applyFill="1" applyBorder="1" applyAlignment="1" applyProtection="1">
      <alignment horizontal="center" vertical="center" wrapText="1"/>
      <protection locked="0"/>
    </xf>
    <xf numFmtId="0" fontId="27" fillId="0" borderId="0" xfId="6" applyFont="1" applyAlignment="1">
      <alignment horizontal="center" vertical="center" wrapText="1"/>
    </xf>
    <xf numFmtId="0" fontId="193" fillId="0" borderId="0" xfId="6" applyFont="1"/>
    <xf numFmtId="0" fontId="31" fillId="146" borderId="4" xfId="6" applyFont="1" applyFill="1" applyBorder="1" applyAlignment="1">
      <alignment horizontal="right"/>
    </xf>
    <xf numFmtId="0" fontId="22" fillId="146" borderId="2" xfId="6" applyFont="1" applyFill="1" applyBorder="1" applyAlignment="1">
      <alignment horizontal="right"/>
    </xf>
    <xf numFmtId="0" fontId="31" fillId="146" borderId="2" xfId="6" applyFont="1" applyFill="1" applyBorder="1" applyAlignment="1">
      <alignment horizontal="left" wrapText="1" indent="1"/>
    </xf>
    <xf numFmtId="0" fontId="31" fillId="146" borderId="184" xfId="6" applyFont="1" applyFill="1" applyBorder="1" applyAlignment="1">
      <alignment horizontal="center"/>
    </xf>
    <xf numFmtId="0" fontId="31" fillId="146" borderId="2" xfId="6" applyFont="1" applyFill="1" applyBorder="1" applyAlignment="1">
      <alignment horizontal="center"/>
    </xf>
    <xf numFmtId="42" fontId="31" fillId="146" borderId="184" xfId="6" applyNumberFormat="1" applyFont="1" applyFill="1" applyBorder="1" applyAlignment="1">
      <alignment horizontal="left" wrapText="1" indent="1"/>
    </xf>
    <xf numFmtId="222" fontId="31" fillId="146" borderId="184" xfId="7" applyNumberFormat="1" applyFont="1" applyFill="1" applyBorder="1" applyAlignment="1">
      <alignment horizontal="center"/>
    </xf>
    <xf numFmtId="222" fontId="31" fillId="146" borderId="192" xfId="7" applyNumberFormat="1" applyFont="1" applyFill="1" applyBorder="1" applyAlignment="1">
      <alignment horizontal="center"/>
    </xf>
    <xf numFmtId="222" fontId="27" fillId="3" borderId="184" xfId="7" applyNumberFormat="1" applyFont="1" applyFill="1" applyBorder="1" applyAlignment="1">
      <alignment horizontal="center"/>
    </xf>
    <xf numFmtId="9" fontId="27" fillId="3" borderId="2" xfId="7" applyNumberFormat="1" applyFont="1" applyFill="1" applyBorder="1" applyAlignment="1">
      <alignment horizontal="center"/>
    </xf>
    <xf numFmtId="166" fontId="31" fillId="146" borderId="2" xfId="7" applyNumberFormat="1" applyFont="1" applyFill="1" applyBorder="1" applyAlignment="1">
      <alignment horizontal="center"/>
    </xf>
    <xf numFmtId="222" fontId="27" fillId="3" borderId="184" xfId="202" applyNumberFormat="1" applyFont="1" applyFill="1" applyBorder="1" applyAlignment="1">
      <alignment horizontal="center"/>
    </xf>
    <xf numFmtId="172" fontId="31" fillId="146" borderId="2" xfId="64" applyNumberFormat="1" applyFont="1" applyFill="1" applyBorder="1" applyAlignment="1">
      <alignment horizontal="right"/>
    </xf>
    <xf numFmtId="172" fontId="31" fillId="146" borderId="186" xfId="64" applyNumberFormat="1" applyFont="1" applyFill="1" applyBorder="1" applyAlignment="1">
      <alignment horizontal="center"/>
    </xf>
    <xf numFmtId="209" fontId="31" fillId="146" borderId="185" xfId="7" applyNumberFormat="1" applyFont="1" applyFill="1" applyBorder="1" applyAlignment="1">
      <alignment horizontal="center"/>
    </xf>
    <xf numFmtId="209" fontId="31" fillId="146" borderId="184" xfId="7" applyNumberFormat="1" applyFont="1" applyFill="1" applyBorder="1" applyAlignment="1">
      <alignment horizontal="center"/>
    </xf>
    <xf numFmtId="166" fontId="27" fillId="3" borderId="184" xfId="202" applyNumberFormat="1" applyFont="1" applyFill="1" applyBorder="1" applyAlignment="1">
      <alignment horizontal="center"/>
    </xf>
    <xf numFmtId="172" fontId="31" fillId="146" borderId="184" xfId="64" applyNumberFormat="1" applyFont="1" applyFill="1" applyBorder="1" applyAlignment="1">
      <alignment horizontal="center"/>
    </xf>
    <xf numFmtId="172" fontId="31" fillId="146" borderId="190" xfId="64" applyNumberFormat="1" applyFont="1" applyFill="1" applyBorder="1" applyAlignment="1">
      <alignment horizontal="center"/>
    </xf>
    <xf numFmtId="222" fontId="31" fillId="146" borderId="185" xfId="7" applyNumberFormat="1" applyFont="1" applyFill="1" applyBorder="1" applyAlignment="1">
      <alignment horizontal="center"/>
    </xf>
    <xf numFmtId="42" fontId="31" fillId="146" borderId="2" xfId="6" applyNumberFormat="1" applyFont="1" applyFill="1" applyBorder="1" applyAlignment="1">
      <alignment horizontal="left" wrapText="1" indent="1"/>
    </xf>
    <xf numFmtId="222" fontId="31" fillId="146" borderId="53" xfId="7" applyNumberFormat="1" applyFont="1" applyFill="1" applyBorder="1" applyAlignment="1">
      <alignment horizontal="center"/>
    </xf>
    <xf numFmtId="222" fontId="31" fillId="146" borderId="2" xfId="7" applyNumberFormat="1" applyFont="1" applyFill="1" applyBorder="1" applyAlignment="1">
      <alignment horizontal="center"/>
    </xf>
    <xf numFmtId="172" fontId="31" fillId="146" borderId="5" xfId="64" applyNumberFormat="1" applyFont="1" applyFill="1" applyBorder="1" applyAlignment="1">
      <alignment horizontal="center"/>
    </xf>
    <xf numFmtId="209" fontId="31" fillId="146" borderId="4" xfId="7" applyNumberFormat="1" applyFont="1" applyFill="1" applyBorder="1" applyAlignment="1">
      <alignment horizontal="center"/>
    </xf>
    <xf numFmtId="209" fontId="31" fillId="146" borderId="2" xfId="7" applyNumberFormat="1" applyFont="1" applyFill="1" applyBorder="1" applyAlignment="1">
      <alignment horizontal="center"/>
    </xf>
    <xf numFmtId="172" fontId="31" fillId="146" borderId="2" xfId="64" applyNumberFormat="1" applyFont="1" applyFill="1" applyBorder="1" applyAlignment="1">
      <alignment horizontal="center"/>
    </xf>
    <xf numFmtId="172" fontId="31" fillId="146" borderId="48" xfId="64" applyNumberFormat="1" applyFont="1" applyFill="1" applyBorder="1" applyAlignment="1">
      <alignment horizontal="center"/>
    </xf>
    <xf numFmtId="222" fontId="31" fillId="146" borderId="4" xfId="7" applyNumberFormat="1" applyFont="1" applyFill="1" applyBorder="1" applyAlignment="1">
      <alignment horizontal="center"/>
    </xf>
    <xf numFmtId="0" fontId="31" fillId="146" borderId="185" xfId="6" applyFont="1" applyFill="1" applyBorder="1" applyAlignment="1">
      <alignment horizontal="right"/>
    </xf>
    <xf numFmtId="0" fontId="22" fillId="146" borderId="184" xfId="6" applyFont="1" applyFill="1" applyBorder="1" applyAlignment="1">
      <alignment horizontal="right"/>
    </xf>
    <xf numFmtId="0" fontId="31" fillId="146" borderId="184" xfId="6" applyFont="1" applyFill="1" applyBorder="1" applyAlignment="1">
      <alignment horizontal="left" wrapText="1" indent="1"/>
    </xf>
    <xf numFmtId="222" fontId="31" fillId="146" borderId="53" xfId="202" applyNumberFormat="1" applyFont="1" applyFill="1" applyBorder="1" applyAlignment="1">
      <alignment horizontal="center"/>
    </xf>
    <xf numFmtId="222" fontId="31" fillId="146" borderId="2" xfId="202" applyNumberFormat="1" applyFont="1" applyFill="1" applyBorder="1" applyAlignment="1">
      <alignment horizontal="center"/>
    </xf>
    <xf numFmtId="166" fontId="31" fillId="146" borderId="184" xfId="7" applyNumberFormat="1" applyFont="1" applyFill="1" applyBorder="1" applyAlignment="1">
      <alignment horizontal="center"/>
    </xf>
    <xf numFmtId="0" fontId="31" fillId="146" borderId="184" xfId="6" applyFont="1" applyFill="1" applyBorder="1" applyAlignment="1">
      <alignment horizontal="left" indent="1"/>
    </xf>
    <xf numFmtId="42" fontId="31" fillId="146" borderId="184" xfId="6" applyNumberFormat="1" applyFont="1" applyFill="1" applyBorder="1" applyAlignment="1">
      <alignment horizontal="left" indent="1"/>
    </xf>
    <xf numFmtId="222" fontId="27" fillId="3" borderId="2" xfId="7" applyNumberFormat="1" applyFont="1" applyFill="1" applyBorder="1" applyAlignment="1">
      <alignment horizontal="center"/>
    </xf>
    <xf numFmtId="170" fontId="31" fillId="146" borderId="184" xfId="6" applyNumberFormat="1" applyFont="1" applyFill="1" applyBorder="1" applyAlignment="1">
      <alignment horizontal="left" wrapText="1" indent="1"/>
    </xf>
    <xf numFmtId="0" fontId="31" fillId="146" borderId="2" xfId="6" applyFont="1" applyFill="1" applyBorder="1" applyAlignment="1">
      <alignment horizontal="left" indent="1"/>
    </xf>
    <xf numFmtId="42" fontId="31" fillId="146" borderId="2" xfId="6" applyNumberFormat="1" applyFont="1" applyFill="1" applyBorder="1" applyAlignment="1">
      <alignment horizontal="left" indent="1"/>
    </xf>
    <xf numFmtId="170" fontId="31" fillId="146" borderId="2" xfId="6" applyNumberFormat="1" applyFont="1" applyFill="1" applyBorder="1" applyAlignment="1">
      <alignment horizontal="left" wrapText="1" indent="1"/>
    </xf>
    <xf numFmtId="1" fontId="31" fillId="146" borderId="185" xfId="6" applyNumberFormat="1" applyFont="1" applyFill="1" applyBorder="1" applyAlignment="1">
      <alignment horizontal="right"/>
    </xf>
    <xf numFmtId="1" fontId="22" fillId="146" borderId="184" xfId="6" applyNumberFormat="1" applyFont="1" applyFill="1" applyBorder="1" applyAlignment="1">
      <alignment horizontal="right"/>
    </xf>
    <xf numFmtId="172" fontId="31" fillId="146" borderId="184" xfId="64" applyNumberFormat="1" applyFont="1" applyFill="1" applyBorder="1" applyAlignment="1">
      <alignment horizontal="right"/>
    </xf>
    <xf numFmtId="0" fontId="193" fillId="0" borderId="0" xfId="5259" applyFont="1" applyFill="1"/>
    <xf numFmtId="0" fontId="31" fillId="146" borderId="185" xfId="5259" applyFont="1" applyFill="1" applyBorder="1" applyAlignment="1">
      <alignment horizontal="right"/>
    </xf>
    <xf numFmtId="0" fontId="22" fillId="146" borderId="184" xfId="5259" applyFont="1" applyFill="1" applyBorder="1" applyAlignment="1">
      <alignment horizontal="right"/>
    </xf>
    <xf numFmtId="0" fontId="31" fillId="146" borderId="184" xfId="5259" applyFont="1" applyFill="1" applyBorder="1" applyAlignment="1">
      <alignment horizontal="left" indent="1"/>
    </xf>
    <xf numFmtId="0" fontId="31" fillId="146" borderId="184" xfId="5259" applyFont="1" applyFill="1" applyBorder="1" applyAlignment="1">
      <alignment horizontal="center"/>
    </xf>
    <xf numFmtId="0" fontId="31" fillId="146" borderId="2" xfId="5259" applyFont="1" applyFill="1" applyBorder="1" applyAlignment="1">
      <alignment horizontal="center"/>
    </xf>
    <xf numFmtId="42" fontId="31" fillId="146" borderId="184" xfId="5259" applyNumberFormat="1" applyFont="1" applyFill="1" applyBorder="1" applyAlignment="1">
      <alignment horizontal="left" indent="1"/>
    </xf>
    <xf numFmtId="222" fontId="31" fillId="146" borderId="184" xfId="202" applyNumberFormat="1" applyFont="1" applyFill="1" applyBorder="1" applyAlignment="1">
      <alignment horizontal="center"/>
    </xf>
    <xf numFmtId="222" fontId="31" fillId="146" borderId="192" xfId="202" applyNumberFormat="1" applyFont="1" applyFill="1" applyBorder="1" applyAlignment="1">
      <alignment horizontal="center"/>
    </xf>
    <xf numFmtId="9" fontId="27" fillId="3" borderId="2" xfId="202" applyNumberFormat="1" applyFont="1" applyFill="1" applyBorder="1" applyAlignment="1">
      <alignment horizontal="center"/>
    </xf>
    <xf numFmtId="166" fontId="31" fillId="146" borderId="184" xfId="202" applyNumberFormat="1" applyFont="1" applyFill="1" applyBorder="1" applyAlignment="1">
      <alignment horizontal="center"/>
    </xf>
    <xf numFmtId="209" fontId="31" fillId="146" borderId="185" xfId="202" applyNumberFormat="1" applyFont="1" applyFill="1" applyBorder="1" applyAlignment="1">
      <alignment horizontal="center"/>
    </xf>
    <xf numFmtId="209" fontId="31" fillId="146" borderId="184" xfId="202" applyNumberFormat="1" applyFont="1" applyFill="1" applyBorder="1" applyAlignment="1">
      <alignment horizontal="center"/>
    </xf>
    <xf numFmtId="222" fontId="31" fillId="146" borderId="185" xfId="202" applyNumberFormat="1" applyFont="1" applyFill="1" applyBorder="1" applyAlignment="1">
      <alignment horizontal="center"/>
    </xf>
    <xf numFmtId="0" fontId="27" fillId="0" borderId="0" xfId="5259" applyFont="1" applyFill="1"/>
    <xf numFmtId="42" fontId="31" fillId="146" borderId="184" xfId="6" applyNumberFormat="1" applyFont="1" applyFill="1" applyBorder="1" applyAlignment="1">
      <alignment horizontal="left" wrapText="1"/>
    </xf>
    <xf numFmtId="0" fontId="186" fillId="146" borderId="4" xfId="6" applyFont="1" applyFill="1" applyBorder="1" applyAlignment="1">
      <alignment horizontal="left"/>
    </xf>
    <xf numFmtId="0" fontId="31" fillId="146" borderId="2" xfId="6" applyFont="1" applyFill="1" applyBorder="1" applyAlignment="1">
      <alignment horizontal="right"/>
    </xf>
    <xf numFmtId="222" fontId="31" fillId="146" borderId="2" xfId="6" applyNumberFormat="1" applyFont="1" applyFill="1" applyBorder="1" applyAlignment="1">
      <alignment horizontal="left" wrapText="1" indent="1"/>
    </xf>
    <xf numFmtId="0" fontId="31" fillId="146" borderId="184" xfId="6" applyFont="1" applyFill="1" applyBorder="1" applyAlignment="1">
      <alignment horizontal="right"/>
    </xf>
    <xf numFmtId="222" fontId="31" fillId="146" borderId="184" xfId="6" applyNumberFormat="1" applyFont="1" applyFill="1" applyBorder="1" applyAlignment="1">
      <alignment horizontal="left" wrapText="1" indent="1"/>
    </xf>
    <xf numFmtId="222" fontId="31" fillId="146" borderId="184" xfId="6" applyNumberFormat="1" applyFont="1" applyFill="1" applyBorder="1" applyAlignment="1">
      <alignment horizontal="left" indent="1"/>
    </xf>
    <xf numFmtId="222" fontId="31" fillId="146" borderId="2" xfId="6" applyNumberFormat="1" applyFont="1" applyFill="1" applyBorder="1" applyAlignment="1">
      <alignment horizontal="left" indent="1"/>
    </xf>
    <xf numFmtId="0" fontId="174" fillId="3" borderId="185" xfId="6" applyFont="1" applyFill="1" applyBorder="1" applyAlignment="1">
      <alignment horizontal="right" vertical="center"/>
    </xf>
    <xf numFmtId="0" fontId="174" fillId="3" borderId="184" xfId="6" applyFont="1" applyFill="1" applyBorder="1" applyAlignment="1">
      <alignment horizontal="right" vertical="center"/>
    </xf>
    <xf numFmtId="0" fontId="174" fillId="3" borderId="184" xfId="6" applyFont="1" applyFill="1" applyBorder="1" applyAlignment="1">
      <alignment horizontal="right" vertical="center" wrapText="1"/>
    </xf>
    <xf numFmtId="0" fontId="174" fillId="3" borderId="184" xfId="6" applyFont="1" applyFill="1" applyBorder="1" applyAlignment="1">
      <alignment horizontal="center" vertical="center"/>
    </xf>
    <xf numFmtId="166" fontId="186" fillId="146" borderId="184" xfId="7" applyNumberFormat="1" applyFont="1" applyFill="1" applyBorder="1" applyAlignment="1">
      <alignment horizontal="center" vertical="center"/>
    </xf>
    <xf numFmtId="222" fontId="174" fillId="3" borderId="184" xfId="7" applyNumberFormat="1" applyFont="1" applyFill="1" applyBorder="1" applyAlignment="1">
      <alignment horizontal="center" vertical="center"/>
    </xf>
    <xf numFmtId="166" fontId="174" fillId="3" borderId="184" xfId="7" applyNumberFormat="1" applyFont="1" applyFill="1" applyBorder="1" applyAlignment="1">
      <alignment horizontal="center" vertical="center"/>
    </xf>
    <xf numFmtId="222" fontId="174" fillId="3" borderId="198" xfId="7" applyNumberFormat="1" applyFont="1" applyFill="1" applyBorder="1" applyAlignment="1">
      <alignment horizontal="center" vertical="center"/>
    </xf>
    <xf numFmtId="222" fontId="174" fillId="3" borderId="188" xfId="7" applyNumberFormat="1" applyFont="1" applyFill="1" applyBorder="1" applyAlignment="1">
      <alignment horizontal="center" vertical="center"/>
    </xf>
    <xf numFmtId="166" fontId="174" fillId="3" borderId="188" xfId="7" applyNumberFormat="1" applyFont="1" applyFill="1" applyBorder="1" applyAlignment="1">
      <alignment horizontal="center" vertical="center"/>
    </xf>
    <xf numFmtId="172" fontId="174" fillId="3" borderId="188" xfId="64" applyNumberFormat="1" applyFont="1" applyFill="1" applyBorder="1" applyAlignment="1">
      <alignment horizontal="center" vertical="center"/>
    </xf>
    <xf numFmtId="172" fontId="174" fillId="3" borderId="189" xfId="64" applyNumberFormat="1" applyFont="1" applyFill="1" applyBorder="1" applyAlignment="1">
      <alignment horizontal="center" vertical="center"/>
    </xf>
    <xf numFmtId="209" fontId="174" fillId="3" borderId="187" xfId="7" applyNumberFormat="1" applyFont="1" applyFill="1" applyBorder="1" applyAlignment="1">
      <alignment horizontal="center" vertical="center"/>
    </xf>
    <xf numFmtId="209" fontId="174" fillId="3" borderId="188" xfId="7" applyNumberFormat="1" applyFont="1" applyFill="1" applyBorder="1" applyAlignment="1">
      <alignment horizontal="center" vertical="center"/>
    </xf>
    <xf numFmtId="222" fontId="174" fillId="3" borderId="187" xfId="7" applyNumberFormat="1" applyFont="1" applyFill="1" applyBorder="1" applyAlignment="1">
      <alignment horizontal="center" vertical="center"/>
    </xf>
    <xf numFmtId="0" fontId="174" fillId="0" borderId="0" xfId="6" applyFont="1" applyAlignment="1">
      <alignment horizontal="right" vertical="center"/>
    </xf>
    <xf numFmtId="0" fontId="174" fillId="0" borderId="4" xfId="6" applyFont="1" applyBorder="1" applyAlignment="1">
      <alignment horizontal="right" vertical="center"/>
    </xf>
    <xf numFmtId="0" fontId="174" fillId="0" borderId="2" xfId="6" applyFont="1" applyBorder="1" applyAlignment="1">
      <alignment horizontal="right" vertical="center"/>
    </xf>
    <xf numFmtId="0" fontId="174" fillId="0" borderId="2" xfId="6" applyFont="1" applyBorder="1" applyAlignment="1">
      <alignment horizontal="right" vertical="center" wrapText="1"/>
    </xf>
    <xf numFmtId="0" fontId="174" fillId="0" borderId="184" xfId="6" applyFont="1" applyBorder="1" applyAlignment="1">
      <alignment horizontal="center" vertical="center"/>
    </xf>
    <xf numFmtId="0" fontId="174" fillId="0" borderId="2" xfId="6" applyFont="1" applyBorder="1" applyAlignment="1">
      <alignment horizontal="center" vertical="center"/>
    </xf>
    <xf numFmtId="222" fontId="174" fillId="0" borderId="2" xfId="6" applyNumberFormat="1" applyFont="1" applyBorder="1" applyAlignment="1">
      <alignment horizontal="right" vertical="center" wrapText="1"/>
    </xf>
    <xf numFmtId="166" fontId="174" fillId="0" borderId="2" xfId="7" applyNumberFormat="1" applyFont="1" applyFill="1" applyBorder="1" applyAlignment="1">
      <alignment horizontal="center" vertical="center"/>
    </xf>
    <xf numFmtId="222" fontId="174" fillId="0" borderId="2" xfId="7" applyNumberFormat="1" applyFont="1" applyFill="1" applyBorder="1" applyAlignment="1">
      <alignment horizontal="center" vertical="center"/>
    </xf>
    <xf numFmtId="43" fontId="174" fillId="0" borderId="2" xfId="64" applyFont="1" applyFill="1" applyBorder="1" applyAlignment="1">
      <alignment horizontal="center" vertical="center"/>
    </xf>
    <xf numFmtId="172" fontId="174" fillId="0" borderId="2" xfId="64" applyNumberFormat="1" applyFont="1" applyFill="1" applyBorder="1" applyAlignment="1">
      <alignment horizontal="center" vertical="center"/>
    </xf>
    <xf numFmtId="209" fontId="174" fillId="0" borderId="2" xfId="7" applyNumberFormat="1" applyFont="1" applyFill="1" applyBorder="1" applyAlignment="1">
      <alignment horizontal="center" vertical="center"/>
    </xf>
    <xf numFmtId="0" fontId="174" fillId="147" borderId="4" xfId="6" applyFont="1" applyFill="1" applyBorder="1"/>
    <xf numFmtId="0" fontId="174" fillId="147" borderId="2" xfId="6" applyFont="1" applyFill="1" applyBorder="1"/>
    <xf numFmtId="0" fontId="174" fillId="147" borderId="2" xfId="6" applyFont="1" applyFill="1" applyBorder="1" applyAlignment="1">
      <alignment horizontal="center" wrapText="1"/>
    </xf>
    <xf numFmtId="166" fontId="174" fillId="147" borderId="2" xfId="7" applyNumberFormat="1" applyFont="1" applyFill="1" applyBorder="1" applyAlignment="1">
      <alignment horizontal="center"/>
    </xf>
    <xf numFmtId="0" fontId="27" fillId="147" borderId="184" xfId="6" applyFont="1" applyFill="1" applyBorder="1" applyAlignment="1">
      <alignment horizontal="center"/>
    </xf>
    <xf numFmtId="0" fontId="27" fillId="147" borderId="2" xfId="6" applyFont="1" applyFill="1" applyBorder="1" applyAlignment="1">
      <alignment horizontal="center"/>
    </xf>
    <xf numFmtId="0" fontId="174" fillId="147" borderId="2" xfId="6" applyFont="1" applyFill="1" applyBorder="1" applyAlignment="1">
      <alignment horizontal="left" wrapText="1"/>
    </xf>
    <xf numFmtId="222" fontId="174" fillId="147" borderId="2" xfId="6" applyNumberFormat="1" applyFont="1" applyFill="1" applyBorder="1" applyAlignment="1">
      <alignment horizontal="left" wrapText="1"/>
    </xf>
    <xf numFmtId="222" fontId="174" fillId="147" borderId="2" xfId="7" applyNumberFormat="1" applyFont="1" applyFill="1" applyBorder="1" applyAlignment="1">
      <alignment horizontal="center"/>
    </xf>
    <xf numFmtId="43" fontId="174" fillId="147" borderId="2" xfId="64" applyFont="1" applyFill="1" applyBorder="1" applyAlignment="1">
      <alignment horizontal="center"/>
    </xf>
    <xf numFmtId="172" fontId="174" fillId="147" borderId="2" xfId="64" applyNumberFormat="1" applyFont="1" applyFill="1" applyBorder="1" applyAlignment="1">
      <alignment horizontal="center"/>
    </xf>
    <xf numFmtId="209" fontId="174" fillId="147" borderId="2" xfId="7" applyNumberFormat="1" applyFont="1" applyFill="1" applyBorder="1" applyAlignment="1">
      <alignment horizontal="center"/>
    </xf>
    <xf numFmtId="168" fontId="27" fillId="0" borderId="184" xfId="5259" applyNumberFormat="1" applyFont="1" applyFill="1" applyBorder="1"/>
    <xf numFmtId="0" fontId="27" fillId="0" borderId="184" xfId="5259" applyFont="1" applyFill="1" applyBorder="1" applyAlignment="1">
      <alignment horizontal="left" wrapText="1" indent="1"/>
    </xf>
    <xf numFmtId="0" fontId="27" fillId="143" borderId="184" xfId="5259" applyFont="1" applyFill="1" applyBorder="1" applyAlignment="1">
      <alignment horizontal="left" wrapText="1" indent="1"/>
    </xf>
    <xf numFmtId="0" fontId="27" fillId="143" borderId="184" xfId="5259" applyFont="1" applyFill="1" applyBorder="1" applyAlignment="1">
      <alignment horizontal="center"/>
    </xf>
    <xf numFmtId="222" fontId="27" fillId="143" borderId="184" xfId="5259" applyNumberFormat="1" applyFont="1" applyFill="1" applyBorder="1" applyAlignment="1">
      <alignment horizontal="left" wrapText="1" indent="1"/>
    </xf>
    <xf numFmtId="222" fontId="31" fillId="143" borderId="184" xfId="202" applyNumberFormat="1" applyFont="1" applyFill="1" applyBorder="1" applyAlignment="1">
      <alignment horizontal="center"/>
    </xf>
    <xf numFmtId="43" fontId="31" fillId="143" borderId="184" xfId="64" applyFont="1" applyFill="1" applyBorder="1" applyAlignment="1">
      <alignment horizontal="center"/>
    </xf>
    <xf numFmtId="172" fontId="31" fillId="143" borderId="184" xfId="64" applyNumberFormat="1" applyFont="1" applyFill="1" applyBorder="1" applyAlignment="1">
      <alignment horizontal="center"/>
    </xf>
    <xf numFmtId="209" fontId="31" fillId="143" borderId="184" xfId="202" applyNumberFormat="1" applyFont="1" applyFill="1" applyBorder="1" applyAlignment="1">
      <alignment horizontal="center"/>
    </xf>
    <xf numFmtId="166" fontId="27" fillId="3" borderId="184" xfId="7" applyNumberFormat="1" applyFont="1" applyFill="1" applyBorder="1" applyAlignment="1">
      <alignment horizontal="center"/>
    </xf>
    <xf numFmtId="0" fontId="174" fillId="143" borderId="184" xfId="6" applyFont="1" applyFill="1" applyBorder="1" applyAlignment="1">
      <alignment horizontal="right" vertical="center" wrapText="1"/>
    </xf>
    <xf numFmtId="0" fontId="174" fillId="143" borderId="184" xfId="6" applyFont="1" applyFill="1" applyBorder="1" applyAlignment="1">
      <alignment horizontal="center" vertical="center"/>
    </xf>
    <xf numFmtId="166" fontId="174" fillId="143" borderId="184" xfId="7" applyNumberFormat="1" applyFont="1" applyFill="1" applyBorder="1" applyAlignment="1">
      <alignment horizontal="center" vertical="center"/>
    </xf>
    <xf numFmtId="222" fontId="174" fillId="143" borderId="184" xfId="7" applyNumberFormat="1" applyFont="1" applyFill="1" applyBorder="1" applyAlignment="1">
      <alignment horizontal="center" vertical="center"/>
    </xf>
    <xf numFmtId="222" fontId="185" fillId="3" borderId="184" xfId="7" applyNumberFormat="1" applyFont="1" applyFill="1" applyBorder="1" applyAlignment="1">
      <alignment horizontal="center" vertical="center"/>
    </xf>
    <xf numFmtId="0" fontId="174" fillId="143" borderId="184" xfId="7" applyNumberFormat="1" applyFont="1" applyFill="1" applyBorder="1" applyAlignment="1">
      <alignment horizontal="center" vertical="center"/>
    </xf>
    <xf numFmtId="172" fontId="174" fillId="143" borderId="184" xfId="7" applyNumberFormat="1" applyFont="1" applyFill="1" applyBorder="1" applyAlignment="1">
      <alignment horizontal="center" vertical="center"/>
    </xf>
    <xf numFmtId="209" fontId="174" fillId="143" borderId="184" xfId="7" applyNumberFormat="1" applyFont="1" applyFill="1" applyBorder="1" applyAlignment="1">
      <alignment horizontal="center" vertical="center"/>
    </xf>
    <xf numFmtId="0" fontId="174" fillId="0" borderId="185" xfId="6" applyFont="1" applyBorder="1" applyAlignment="1">
      <alignment horizontal="right" vertical="center"/>
    </xf>
    <xf numFmtId="0" fontId="174" fillId="0" borderId="184" xfId="6" applyFont="1" applyBorder="1" applyAlignment="1">
      <alignment horizontal="right" vertical="center"/>
    </xf>
    <xf numFmtId="0" fontId="174" fillId="0" borderId="184" xfId="6" applyFont="1" applyBorder="1" applyAlignment="1">
      <alignment horizontal="right" vertical="center" wrapText="1"/>
    </xf>
    <xf numFmtId="222" fontId="174" fillId="0" borderId="184" xfId="6" applyNumberFormat="1" applyFont="1" applyBorder="1" applyAlignment="1">
      <alignment horizontal="right" vertical="center" wrapText="1"/>
    </xf>
    <xf numFmtId="166" fontId="174" fillId="0" borderId="184" xfId="7" applyNumberFormat="1" applyFont="1" applyFill="1" applyBorder="1" applyAlignment="1">
      <alignment horizontal="center" vertical="center"/>
    </xf>
    <xf numFmtId="222" fontId="174" fillId="0" borderId="184" xfId="7" applyNumberFormat="1" applyFont="1" applyFill="1" applyBorder="1" applyAlignment="1">
      <alignment horizontal="center" vertical="center"/>
    </xf>
    <xf numFmtId="9" fontId="27" fillId="0" borderId="2" xfId="7" applyNumberFormat="1" applyFont="1" applyFill="1" applyBorder="1" applyAlignment="1">
      <alignment horizontal="center"/>
    </xf>
    <xf numFmtId="43" fontId="174" fillId="0" borderId="184" xfId="64" applyFont="1" applyFill="1" applyBorder="1" applyAlignment="1">
      <alignment horizontal="center" vertical="center"/>
    </xf>
    <xf numFmtId="172" fontId="174" fillId="0" borderId="184" xfId="64" applyNumberFormat="1" applyFont="1" applyFill="1" applyBorder="1" applyAlignment="1">
      <alignment horizontal="center" vertical="center"/>
    </xf>
    <xf numFmtId="209" fontId="174" fillId="0" borderId="184" xfId="7" applyNumberFormat="1" applyFont="1" applyFill="1" applyBorder="1" applyAlignment="1">
      <alignment horizontal="center" vertical="center"/>
    </xf>
    <xf numFmtId="172" fontId="174" fillId="3" borderId="184" xfId="64" applyNumberFormat="1" applyFont="1" applyFill="1" applyBorder="1" applyAlignment="1">
      <alignment horizontal="center" vertical="center"/>
    </xf>
    <xf numFmtId="209" fontId="174" fillId="3" borderId="184" xfId="7" applyNumberFormat="1" applyFont="1" applyFill="1" applyBorder="1" applyAlignment="1">
      <alignment horizontal="center" vertical="center"/>
    </xf>
    <xf numFmtId="0" fontId="174" fillId="2" borderId="185" xfId="6" applyFont="1" applyFill="1" applyBorder="1" applyAlignment="1">
      <alignment horizontal="right" vertical="center"/>
    </xf>
    <xf numFmtId="0" fontId="174" fillId="2" borderId="184" xfId="6" applyFont="1" applyFill="1" applyBorder="1" applyAlignment="1">
      <alignment horizontal="right" vertical="center"/>
    </xf>
    <xf numFmtId="0" fontId="174" fillId="2" borderId="184" xfId="6" applyFont="1" applyFill="1" applyBorder="1" applyAlignment="1">
      <alignment horizontal="right" vertical="center" wrapText="1"/>
    </xf>
    <xf numFmtId="0" fontId="174" fillId="2" borderId="184" xfId="6" applyFont="1" applyFill="1" applyBorder="1" applyAlignment="1">
      <alignment horizontal="center" vertical="center"/>
    </xf>
    <xf numFmtId="222" fontId="174" fillId="2" borderId="184" xfId="6" applyNumberFormat="1" applyFont="1" applyFill="1" applyBorder="1" applyAlignment="1">
      <alignment horizontal="right" vertical="center" wrapText="1"/>
    </xf>
    <xf numFmtId="166" fontId="174" fillId="2" borderId="184" xfId="7" applyNumberFormat="1" applyFont="1" applyFill="1" applyBorder="1" applyAlignment="1">
      <alignment horizontal="center" vertical="center"/>
    </xf>
    <xf numFmtId="222" fontId="174" fillId="2" borderId="184" xfId="7" applyNumberFormat="1" applyFont="1" applyFill="1" applyBorder="1" applyAlignment="1">
      <alignment horizontal="center" vertical="center"/>
    </xf>
    <xf numFmtId="43" fontId="174" fillId="2" borderId="184" xfId="64" applyFont="1" applyFill="1" applyBorder="1" applyAlignment="1">
      <alignment horizontal="center" vertical="center"/>
    </xf>
    <xf numFmtId="172" fontId="174" fillId="2" borderId="184" xfId="64" applyNumberFormat="1" applyFont="1" applyFill="1" applyBorder="1" applyAlignment="1">
      <alignment horizontal="center" vertical="center"/>
    </xf>
    <xf numFmtId="209" fontId="174" fillId="2" borderId="184" xfId="7" applyNumberFormat="1" applyFont="1" applyFill="1" applyBorder="1" applyAlignment="1">
      <alignment horizontal="center" vertical="center"/>
    </xf>
    <xf numFmtId="0" fontId="174" fillId="3" borderId="131" xfId="6" applyFont="1" applyFill="1" applyBorder="1" applyAlignment="1">
      <alignment horizontal="right" vertical="center"/>
    </xf>
    <xf numFmtId="0" fontId="174" fillId="3" borderId="132" xfId="6" applyFont="1" applyFill="1" applyBorder="1" applyAlignment="1">
      <alignment horizontal="right" vertical="center"/>
    </xf>
    <xf numFmtId="0" fontId="174" fillId="3" borderId="132" xfId="6" applyFont="1" applyFill="1" applyBorder="1" applyAlignment="1">
      <alignment horizontal="center" vertical="center"/>
    </xf>
    <xf numFmtId="166" fontId="174" fillId="3" borderId="132" xfId="7" applyNumberFormat="1" applyFont="1" applyFill="1" applyBorder="1" applyAlignment="1">
      <alignment horizontal="center" vertical="center"/>
    </xf>
    <xf numFmtId="222" fontId="174" fillId="3" borderId="132" xfId="7" applyNumberFormat="1" applyFont="1" applyFill="1" applyBorder="1" applyAlignment="1">
      <alignment horizontal="center" vertical="center"/>
    </xf>
    <xf numFmtId="209" fontId="174" fillId="3" borderId="132" xfId="7" applyNumberFormat="1" applyFont="1" applyFill="1" applyBorder="1" applyAlignment="1">
      <alignment horizontal="center" vertical="center"/>
    </xf>
    <xf numFmtId="0" fontId="174" fillId="0" borderId="0" xfId="6" applyFont="1" applyAlignment="1">
      <alignment horizontal="right" vertical="center" wrapText="1"/>
    </xf>
    <xf numFmtId="0" fontId="174" fillId="0" borderId="0" xfId="6" applyFont="1" applyAlignment="1">
      <alignment horizontal="center" vertical="center"/>
    </xf>
    <xf numFmtId="222" fontId="174" fillId="0" borderId="0" xfId="6" applyNumberFormat="1" applyFont="1" applyAlignment="1">
      <alignment horizontal="right" vertical="center" wrapText="1"/>
    </xf>
    <xf numFmtId="222" fontId="174" fillId="0" borderId="0" xfId="7" applyNumberFormat="1" applyFont="1" applyFill="1" applyBorder="1" applyAlignment="1">
      <alignment horizontal="center" vertical="center"/>
    </xf>
    <xf numFmtId="43" fontId="174" fillId="0" borderId="0" xfId="64" applyFont="1" applyFill="1" applyBorder="1" applyAlignment="1">
      <alignment horizontal="center" vertical="center"/>
    </xf>
    <xf numFmtId="172" fontId="174" fillId="0" borderId="0" xfId="64" applyNumberFormat="1" applyFont="1" applyFill="1" applyBorder="1" applyAlignment="1">
      <alignment horizontal="center" vertical="center"/>
    </xf>
    <xf numFmtId="209" fontId="174" fillId="0" borderId="0" xfId="7" applyNumberFormat="1" applyFont="1" applyFill="1" applyBorder="1" applyAlignment="1">
      <alignment horizontal="center" vertical="center"/>
    </xf>
    <xf numFmtId="0" fontId="27" fillId="0" borderId="90" xfId="6" applyFont="1" applyBorder="1" applyAlignment="1">
      <alignment horizontal="right"/>
    </xf>
    <xf numFmtId="0" fontId="27" fillId="0" borderId="91" xfId="6" applyFont="1" applyBorder="1" applyAlignment="1">
      <alignment horizontal="right"/>
    </xf>
    <xf numFmtId="0" fontId="27" fillId="0" borderId="91" xfId="6" applyFont="1" applyBorder="1" applyAlignment="1">
      <alignment horizontal="left" wrapText="1" indent="1"/>
    </xf>
    <xf numFmtId="0" fontId="27" fillId="0" borderId="91" xfId="6" applyFont="1" applyBorder="1" applyAlignment="1">
      <alignment horizontal="center"/>
    </xf>
    <xf numFmtId="0" fontId="27" fillId="2" borderId="91" xfId="6" applyFont="1" applyFill="1" applyBorder="1" applyAlignment="1">
      <alignment horizontal="center"/>
    </xf>
    <xf numFmtId="222" fontId="27" fillId="0" borderId="91" xfId="6" applyNumberFormat="1" applyFont="1" applyBorder="1" applyAlignment="1">
      <alignment horizontal="left" wrapText="1" indent="1"/>
    </xf>
    <xf numFmtId="166" fontId="27" fillId="0" borderId="91" xfId="7" applyNumberFormat="1" applyFont="1" applyFill="1" applyBorder="1" applyAlignment="1">
      <alignment horizontal="center"/>
    </xf>
    <xf numFmtId="222" fontId="27" fillId="0" borderId="91" xfId="7" applyNumberFormat="1" applyFont="1" applyFill="1" applyBorder="1" applyAlignment="1">
      <alignment horizontal="center"/>
    </xf>
    <xf numFmtId="43" fontId="27" fillId="0" borderId="91" xfId="64" applyFont="1" applyFill="1" applyBorder="1" applyAlignment="1">
      <alignment horizontal="center"/>
    </xf>
    <xf numFmtId="172" fontId="27" fillId="0" borderId="91" xfId="64" applyNumberFormat="1" applyFont="1" applyFill="1" applyBorder="1" applyAlignment="1">
      <alignment horizontal="center"/>
    </xf>
    <xf numFmtId="209" fontId="27" fillId="0" borderId="91" xfId="7" applyNumberFormat="1" applyFont="1" applyFill="1" applyBorder="1" applyAlignment="1">
      <alignment horizontal="center"/>
    </xf>
    <xf numFmtId="0" fontId="31" fillId="154" borderId="185" xfId="0" applyFont="1" applyFill="1" applyBorder="1"/>
    <xf numFmtId="0" fontId="31" fillId="154" borderId="192" xfId="0" applyFont="1" applyFill="1" applyBorder="1"/>
    <xf numFmtId="0" fontId="31" fillId="154" borderId="192" xfId="0" applyFont="1" applyFill="1" applyBorder="1" applyAlignment="1">
      <alignment wrapText="1"/>
    </xf>
    <xf numFmtId="43" fontId="31" fillId="146" borderId="184" xfId="64" applyFont="1" applyFill="1" applyBorder="1" applyAlignment="1">
      <alignment horizontal="center"/>
    </xf>
    <xf numFmtId="166" fontId="27" fillId="146" borderId="184" xfId="7" applyNumberFormat="1" applyFont="1" applyFill="1" applyBorder="1" applyAlignment="1">
      <alignment horizontal="center"/>
    </xf>
    <xf numFmtId="0" fontId="174" fillId="3" borderId="187" xfId="6" applyFont="1" applyFill="1" applyBorder="1" applyAlignment="1">
      <alignment horizontal="right" vertical="center"/>
    </xf>
    <xf numFmtId="0" fontId="174" fillId="3" borderId="188" xfId="6" applyFont="1" applyFill="1" applyBorder="1" applyAlignment="1">
      <alignment horizontal="right" vertical="center"/>
    </xf>
    <xf numFmtId="0" fontId="174" fillId="3" borderId="188" xfId="6" applyFont="1" applyFill="1" applyBorder="1" applyAlignment="1">
      <alignment horizontal="center" vertical="center" wrapText="1"/>
    </xf>
    <xf numFmtId="0" fontId="174" fillId="3" borderId="188" xfId="6" applyFont="1" applyFill="1" applyBorder="1" applyAlignment="1">
      <alignment horizontal="center" vertical="center"/>
    </xf>
    <xf numFmtId="43" fontId="174" fillId="3" borderId="188" xfId="64" applyFont="1" applyFill="1" applyBorder="1" applyAlignment="1">
      <alignment horizontal="center" vertical="center"/>
    </xf>
    <xf numFmtId="0" fontId="174" fillId="147" borderId="90" xfId="6" applyFont="1" applyFill="1" applyBorder="1"/>
    <xf numFmtId="0" fontId="174" fillId="147" borderId="91" xfId="6" applyFont="1" applyFill="1" applyBorder="1"/>
    <xf numFmtId="0" fontId="174" fillId="147" borderId="91" xfId="6" applyFont="1" applyFill="1" applyBorder="1" applyAlignment="1">
      <alignment horizontal="center" wrapText="1"/>
    </xf>
    <xf numFmtId="166" fontId="174" fillId="147" borderId="91" xfId="7" applyNumberFormat="1" applyFont="1" applyFill="1" applyBorder="1" applyAlignment="1">
      <alignment horizontal="center"/>
    </xf>
    <xf numFmtId="0" fontId="27" fillId="147" borderId="91" xfId="6" applyFont="1" applyFill="1" applyBorder="1" applyAlignment="1">
      <alignment horizontal="center"/>
    </xf>
    <xf numFmtId="0" fontId="174" fillId="147" borderId="91" xfId="6" applyFont="1" applyFill="1" applyBorder="1" applyAlignment="1">
      <alignment horizontal="left" wrapText="1"/>
    </xf>
    <xf numFmtId="222" fontId="174" fillId="147" borderId="91" xfId="6" applyNumberFormat="1" applyFont="1" applyFill="1" applyBorder="1" applyAlignment="1">
      <alignment horizontal="left" wrapText="1"/>
    </xf>
    <xf numFmtId="222" fontId="174" fillId="147" borderId="91" xfId="7" applyNumberFormat="1" applyFont="1" applyFill="1" applyBorder="1" applyAlignment="1">
      <alignment horizontal="center"/>
    </xf>
    <xf numFmtId="43" fontId="174" fillId="147" borderId="91" xfId="64" applyFont="1" applyFill="1" applyBorder="1" applyAlignment="1">
      <alignment horizontal="center"/>
    </xf>
    <xf numFmtId="172" fontId="174" fillId="147" borderId="91" xfId="64" applyNumberFormat="1" applyFont="1" applyFill="1" applyBorder="1" applyAlignment="1">
      <alignment horizontal="center"/>
    </xf>
    <xf numFmtId="209" fontId="174" fillId="147" borderId="91" xfId="7" applyNumberFormat="1" applyFont="1" applyFill="1" applyBorder="1" applyAlignment="1">
      <alignment horizontal="center"/>
    </xf>
    <xf numFmtId="0" fontId="27" fillId="146" borderId="185" xfId="6" applyFont="1" applyFill="1" applyBorder="1" applyAlignment="1">
      <alignment horizontal="right"/>
    </xf>
    <xf numFmtId="0" fontId="27" fillId="146" borderId="184" xfId="6" applyFont="1" applyFill="1" applyBorder="1" applyAlignment="1">
      <alignment horizontal="right"/>
    </xf>
    <xf numFmtId="0" fontId="27" fillId="146" borderId="184" xfId="6" applyFont="1" applyFill="1" applyBorder="1" applyAlignment="1">
      <alignment horizontal="left" wrapText="1" indent="1"/>
    </xf>
    <xf numFmtId="0" fontId="27" fillId="146" borderId="187" xfId="6" applyFont="1" applyFill="1" applyBorder="1" applyAlignment="1">
      <alignment horizontal="right"/>
    </xf>
    <xf numFmtId="0" fontId="27" fillId="146" borderId="188" xfId="6" applyFont="1" applyFill="1" applyBorder="1" applyAlignment="1">
      <alignment horizontal="right"/>
    </xf>
    <xf numFmtId="0" fontId="27" fillId="146" borderId="188" xfId="6" applyFont="1" applyFill="1" applyBorder="1" applyAlignment="1">
      <alignment horizontal="left" wrapText="1" indent="1"/>
    </xf>
    <xf numFmtId="0" fontId="27" fillId="146" borderId="188" xfId="6" applyFont="1" applyFill="1" applyBorder="1" applyAlignment="1">
      <alignment horizontal="center"/>
    </xf>
    <xf numFmtId="222" fontId="27" fillId="146" borderId="188" xfId="6" applyNumberFormat="1" applyFont="1" applyFill="1" applyBorder="1" applyAlignment="1">
      <alignment horizontal="left" wrapText="1" indent="1"/>
    </xf>
    <xf numFmtId="166" fontId="27" fillId="146" borderId="188" xfId="7" applyNumberFormat="1" applyFont="1" applyFill="1" applyBorder="1" applyAlignment="1">
      <alignment horizontal="center"/>
    </xf>
    <xf numFmtId="222" fontId="27" fillId="146" borderId="188" xfId="7" applyNumberFormat="1" applyFont="1" applyFill="1" applyBorder="1" applyAlignment="1">
      <alignment horizontal="center"/>
    </xf>
    <xf numFmtId="222" fontId="27" fillId="3" borderId="188" xfId="202" applyNumberFormat="1" applyFont="1" applyFill="1" applyBorder="1" applyAlignment="1">
      <alignment horizontal="center"/>
    </xf>
    <xf numFmtId="166" fontId="27" fillId="3" borderId="188" xfId="202" applyNumberFormat="1" applyFont="1" applyFill="1" applyBorder="1" applyAlignment="1">
      <alignment horizontal="center"/>
    </xf>
    <xf numFmtId="43" fontId="27" fillId="146" borderId="188" xfId="64" applyFont="1" applyFill="1" applyBorder="1" applyAlignment="1">
      <alignment horizontal="center"/>
    </xf>
    <xf numFmtId="172" fontId="27" fillId="146" borderId="188" xfId="64" applyNumberFormat="1" applyFont="1" applyFill="1" applyBorder="1" applyAlignment="1">
      <alignment horizontal="center"/>
    </xf>
    <xf numFmtId="209" fontId="27" fillId="146" borderId="188" xfId="7" applyNumberFormat="1" applyFont="1" applyFill="1" applyBorder="1" applyAlignment="1">
      <alignment horizontal="center"/>
    </xf>
    <xf numFmtId="0" fontId="27" fillId="0" borderId="0" xfId="6" applyFont="1" applyAlignment="1">
      <alignment horizontal="right"/>
    </xf>
    <xf numFmtId="0" fontId="27" fillId="0" borderId="0" xfId="6" applyFont="1" applyAlignment="1">
      <alignment horizontal="left" wrapText="1" indent="1"/>
    </xf>
    <xf numFmtId="222" fontId="27" fillId="0" borderId="0" xfId="6" applyNumberFormat="1" applyFont="1" applyAlignment="1">
      <alignment horizontal="left" wrapText="1" indent="1"/>
    </xf>
    <xf numFmtId="43" fontId="27" fillId="0" borderId="0" xfId="64" applyFont="1" applyFill="1" applyBorder="1" applyAlignment="1">
      <alignment horizontal="center"/>
    </xf>
    <xf numFmtId="172" fontId="27" fillId="0" borderId="0" xfId="64" applyNumberFormat="1" applyFont="1" applyFill="1" applyBorder="1" applyAlignment="1">
      <alignment horizontal="center"/>
    </xf>
    <xf numFmtId="209" fontId="27" fillId="0" borderId="0" xfId="7" applyNumberFormat="1" applyFont="1" applyFill="1" applyBorder="1" applyAlignment="1">
      <alignment horizontal="center"/>
    </xf>
    <xf numFmtId="222" fontId="27" fillId="2" borderId="0" xfId="6" applyNumberFormat="1" applyFont="1" applyFill="1"/>
    <xf numFmtId="166" fontId="27" fillId="2" borderId="0" xfId="7" applyNumberFormat="1" applyFont="1" applyFill="1" applyAlignment="1">
      <alignment horizontal="center"/>
    </xf>
    <xf numFmtId="222" fontId="27" fillId="2" borderId="0" xfId="7" applyNumberFormat="1" applyFont="1" applyFill="1" applyAlignment="1">
      <alignment horizontal="center"/>
    </xf>
    <xf numFmtId="222" fontId="27" fillId="0" borderId="0" xfId="7" applyNumberFormat="1" applyFont="1" applyFill="1" applyAlignment="1">
      <alignment horizontal="center"/>
    </xf>
    <xf numFmtId="166" fontId="27" fillId="0" borderId="0" xfId="7" applyNumberFormat="1" applyFont="1" applyFill="1" applyAlignment="1">
      <alignment horizontal="center"/>
    </xf>
    <xf numFmtId="222" fontId="27" fillId="0" borderId="0" xfId="6" applyNumberFormat="1" applyFont="1"/>
    <xf numFmtId="43" fontId="27" fillId="2" borderId="0" xfId="64" applyFont="1" applyFill="1" applyAlignment="1">
      <alignment horizontal="center"/>
    </xf>
    <xf numFmtId="172" fontId="27" fillId="2" borderId="0" xfId="64" applyNumberFormat="1" applyFont="1" applyFill="1" applyAlignment="1">
      <alignment horizontal="center"/>
    </xf>
    <xf numFmtId="209" fontId="27" fillId="2" borderId="0" xfId="7" applyNumberFormat="1" applyFont="1" applyFill="1" applyAlignment="1">
      <alignment horizontal="center"/>
    </xf>
    <xf numFmtId="0" fontId="138" fillId="0" borderId="0" xfId="6" applyFont="1"/>
    <xf numFmtId="43" fontId="27" fillId="0" borderId="0" xfId="64" applyFont="1" applyFill="1" applyAlignment="1">
      <alignment horizontal="center"/>
    </xf>
    <xf numFmtId="172" fontId="27" fillId="0" borderId="0" xfId="64" applyNumberFormat="1" applyFont="1" applyFill="1" applyAlignment="1">
      <alignment horizontal="center"/>
    </xf>
    <xf numFmtId="209" fontId="27" fillId="0" borderId="0" xfId="7" applyNumberFormat="1" applyFont="1" applyFill="1" applyAlignment="1">
      <alignment horizontal="center"/>
    </xf>
    <xf numFmtId="0" fontId="22" fillId="0" borderId="0" xfId="5259" applyFont="1" applyFill="1" applyAlignment="1">
      <alignment horizontal="center"/>
    </xf>
    <xf numFmtId="0" fontId="31" fillId="146" borderId="2" xfId="6" applyFont="1" applyFill="1" applyBorder="1" applyAlignment="1">
      <alignment horizontal="center" vertical="center" wrapText="1"/>
    </xf>
    <xf numFmtId="0" fontId="31" fillId="146" borderId="2" xfId="5259" applyFont="1" applyFill="1" applyBorder="1" applyAlignment="1">
      <alignment horizontal="center" vertical="center" wrapText="1"/>
    </xf>
    <xf numFmtId="0" fontId="31" fillId="146" borderId="2" xfId="6" applyFont="1" applyFill="1" applyBorder="1" applyAlignment="1">
      <alignment horizontal="center" wrapText="1"/>
    </xf>
    <xf numFmtId="0" fontId="174" fillId="3" borderId="184" xfId="6" applyFont="1" applyFill="1" applyBorder="1" applyAlignment="1">
      <alignment horizontal="center" vertical="center" wrapText="1"/>
    </xf>
    <xf numFmtId="0" fontId="174" fillId="0" borderId="2" xfId="6" applyFont="1" applyBorder="1" applyAlignment="1">
      <alignment horizontal="center" vertical="center" wrapText="1"/>
    </xf>
    <xf numFmtId="0" fontId="27" fillId="143" borderId="184" xfId="5259" applyFont="1" applyFill="1" applyBorder="1" applyAlignment="1">
      <alignment horizontal="center" wrapText="1"/>
    </xf>
    <xf numFmtId="0" fontId="174" fillId="143" borderId="184" xfId="6" applyFont="1" applyFill="1" applyBorder="1" applyAlignment="1">
      <alignment horizontal="center" vertical="center" wrapText="1"/>
    </xf>
    <xf numFmtId="0" fontId="174" fillId="0" borderId="184" xfId="6" applyFont="1" applyBorder="1" applyAlignment="1">
      <alignment horizontal="center" vertical="center" wrapText="1"/>
    </xf>
    <xf numFmtId="0" fontId="174" fillId="2" borderId="184" xfId="6" applyFont="1" applyFill="1" applyBorder="1" applyAlignment="1">
      <alignment horizontal="center" vertical="center" wrapText="1"/>
    </xf>
    <xf numFmtId="0" fontId="27" fillId="0" borderId="2" xfId="20563" applyFont="1" applyBorder="1" applyAlignment="1">
      <alignment horizontal="center" wrapText="1"/>
    </xf>
    <xf numFmtId="0" fontId="174" fillId="3" borderId="132" xfId="6" applyFont="1" applyFill="1" applyBorder="1" applyAlignment="1">
      <alignment horizontal="center" vertical="center" wrapText="1"/>
    </xf>
    <xf numFmtId="0" fontId="27" fillId="0" borderId="91" xfId="6" applyFont="1" applyBorder="1" applyAlignment="1">
      <alignment horizontal="center" wrapText="1"/>
    </xf>
    <xf numFmtId="0" fontId="31" fillId="146" borderId="184" xfId="6" applyFont="1" applyFill="1" applyBorder="1" applyAlignment="1">
      <alignment horizontal="center" wrapText="1"/>
    </xf>
    <xf numFmtId="0" fontId="27" fillId="146" borderId="188" xfId="6" applyFont="1" applyFill="1" applyBorder="1" applyAlignment="1">
      <alignment horizontal="center" wrapText="1"/>
    </xf>
    <xf numFmtId="0" fontId="27" fillId="0" borderId="0" xfId="6" applyFont="1" applyAlignment="1">
      <alignment horizontal="center" wrapText="1"/>
    </xf>
    <xf numFmtId="0" fontId="138" fillId="0" borderId="0" xfId="6" applyFont="1" applyAlignment="1">
      <alignment horizontal="center"/>
    </xf>
    <xf numFmtId="0" fontId="138" fillId="0" borderId="0" xfId="20563" applyFont="1" applyAlignment="1">
      <alignment horizontal="center"/>
    </xf>
    <xf numFmtId="0" fontId="27" fillId="155" borderId="0" xfId="0" applyFont="1" applyFill="1" applyAlignment="1">
      <alignment horizontal="center"/>
    </xf>
    <xf numFmtId="166" fontId="27" fillId="2" borderId="0" xfId="7" applyNumberFormat="1" applyFont="1" applyFill="1" applyBorder="1" applyAlignment="1">
      <alignment horizontal="center"/>
    </xf>
    <xf numFmtId="37" fontId="22" fillId="0" borderId="0" xfId="6" applyNumberFormat="1" applyFont="1" applyAlignment="1">
      <alignment horizontal="center"/>
    </xf>
    <xf numFmtId="166" fontId="174" fillId="147" borderId="128" xfId="7" applyNumberFormat="1" applyFont="1" applyFill="1" applyBorder="1" applyAlignment="1" applyProtection="1">
      <alignment horizontal="center" vertical="center" wrapText="1"/>
      <protection locked="0"/>
    </xf>
    <xf numFmtId="172" fontId="174" fillId="147" borderId="130" xfId="64" applyNumberFormat="1" applyFont="1" applyFill="1" applyBorder="1" applyAlignment="1" applyProtection="1">
      <alignment horizontal="center" vertical="center" wrapText="1"/>
      <protection locked="0"/>
    </xf>
    <xf numFmtId="0" fontId="193" fillId="0" borderId="0" xfId="6" applyFont="1" applyAlignment="1">
      <alignment horizontal="right"/>
    </xf>
    <xf numFmtId="0" fontId="27" fillId="3" borderId="2" xfId="6" applyFont="1" applyFill="1" applyBorder="1" applyAlignment="1">
      <alignment horizontal="left" wrapText="1" indent="1"/>
    </xf>
    <xf numFmtId="0" fontId="27" fillId="3" borderId="184" xfId="6" applyFont="1" applyFill="1" applyBorder="1" applyAlignment="1">
      <alignment horizontal="center"/>
    </xf>
    <xf numFmtId="0" fontId="27" fillId="3" borderId="2" xfId="6" applyFont="1" applyFill="1" applyBorder="1" applyAlignment="1">
      <alignment horizontal="center"/>
    </xf>
    <xf numFmtId="166" fontId="27" fillId="3" borderId="2" xfId="20531" applyNumberFormat="1" applyFont="1" applyFill="1" applyBorder="1" applyAlignment="1">
      <alignment horizontal="center"/>
    </xf>
    <xf numFmtId="168" fontId="31" fillId="146" borderId="184" xfId="58" applyNumberFormat="1" applyFont="1" applyFill="1" applyBorder="1" applyAlignment="1">
      <alignment horizontal="left" wrapText="1" indent="1"/>
    </xf>
    <xf numFmtId="166" fontId="31" fillId="146" borderId="185" xfId="7" applyNumberFormat="1" applyFont="1" applyFill="1" applyBorder="1" applyAlignment="1">
      <alignment horizontal="center"/>
    </xf>
    <xf numFmtId="172" fontId="31" fillId="146" borderId="185" xfId="7" applyNumberFormat="1" applyFont="1" applyFill="1" applyBorder="1" applyAlignment="1">
      <alignment horizontal="center"/>
    </xf>
    <xf numFmtId="0" fontId="27" fillId="3" borderId="184" xfId="6" applyFont="1" applyFill="1" applyBorder="1" applyAlignment="1">
      <alignment horizontal="left" wrapText="1" indent="1"/>
    </xf>
    <xf numFmtId="0" fontId="27" fillId="3" borderId="184" xfId="6" applyFont="1" applyFill="1" applyBorder="1" applyAlignment="1">
      <alignment horizontal="left" indent="1"/>
    </xf>
    <xf numFmtId="0" fontId="27" fillId="143" borderId="184" xfId="6" applyFont="1" applyFill="1" applyBorder="1" applyAlignment="1">
      <alignment horizontal="left" indent="1"/>
    </xf>
    <xf numFmtId="0" fontId="27" fillId="143" borderId="184" xfId="6" applyFont="1" applyFill="1" applyBorder="1" applyAlignment="1">
      <alignment horizontal="center"/>
    </xf>
    <xf numFmtId="0" fontId="27" fillId="143" borderId="2" xfId="6" applyFont="1" applyFill="1" applyBorder="1" applyAlignment="1">
      <alignment horizontal="center"/>
    </xf>
    <xf numFmtId="166" fontId="27" fillId="143" borderId="2" xfId="20531" applyNumberFormat="1" applyFont="1" applyFill="1" applyBorder="1" applyAlignment="1">
      <alignment horizontal="center"/>
    </xf>
    <xf numFmtId="168" fontId="31" fillId="143" borderId="184" xfId="58" applyNumberFormat="1" applyFont="1" applyFill="1" applyBorder="1" applyAlignment="1">
      <alignment horizontal="left" indent="1"/>
    </xf>
    <xf numFmtId="166" fontId="31" fillId="143" borderId="185" xfId="7" applyNumberFormat="1" applyFont="1" applyFill="1" applyBorder="1" applyAlignment="1">
      <alignment horizontal="center"/>
    </xf>
    <xf numFmtId="172" fontId="31" fillId="143" borderId="186" xfId="64" applyNumberFormat="1" applyFont="1" applyFill="1" applyBorder="1" applyAlignment="1">
      <alignment horizontal="center"/>
    </xf>
    <xf numFmtId="172" fontId="31" fillId="143" borderId="185" xfId="7" applyNumberFormat="1" applyFont="1" applyFill="1" applyBorder="1" applyAlignment="1">
      <alignment horizontal="center"/>
    </xf>
    <xf numFmtId="170" fontId="27" fillId="3" borderId="184" xfId="6" applyNumberFormat="1" applyFont="1" applyFill="1" applyBorder="1" applyAlignment="1">
      <alignment horizontal="left" wrapText="1" indent="1"/>
    </xf>
    <xf numFmtId="0" fontId="27" fillId="143" borderId="2" xfId="6" applyFont="1" applyFill="1" applyBorder="1" applyAlignment="1">
      <alignment horizontal="left" wrapText="1" indent="1"/>
    </xf>
    <xf numFmtId="168" fontId="31" fillId="143" borderId="2" xfId="58" applyNumberFormat="1" applyFont="1" applyFill="1" applyBorder="1" applyAlignment="1">
      <alignment horizontal="left" wrapText="1" indent="1"/>
    </xf>
    <xf numFmtId="166" fontId="31" fillId="143" borderId="4" xfId="7" applyNumberFormat="1" applyFont="1" applyFill="1" applyBorder="1" applyAlignment="1">
      <alignment horizontal="center"/>
    </xf>
    <xf numFmtId="172" fontId="31" fillId="143" borderId="2" xfId="64" applyNumberFormat="1" applyFont="1" applyFill="1" applyBorder="1" applyAlignment="1">
      <alignment horizontal="center"/>
    </xf>
    <xf numFmtId="172" fontId="31" fillId="143" borderId="5" xfId="64" applyNumberFormat="1" applyFont="1" applyFill="1" applyBorder="1" applyAlignment="1">
      <alignment horizontal="center"/>
    </xf>
    <xf numFmtId="172" fontId="31" fillId="143" borderId="4" xfId="7" applyNumberFormat="1" applyFont="1" applyFill="1" applyBorder="1" applyAlignment="1">
      <alignment horizontal="center"/>
    </xf>
    <xf numFmtId="0" fontId="194" fillId="0" borderId="0" xfId="6" applyFont="1" applyAlignment="1">
      <alignment horizontal="right" vertical="center"/>
    </xf>
    <xf numFmtId="166" fontId="174" fillId="3" borderId="187" xfId="202" applyNumberFormat="1" applyFont="1" applyFill="1" applyBorder="1" applyAlignment="1">
      <alignment horizontal="center" vertical="center"/>
    </xf>
    <xf numFmtId="166" fontId="186" fillId="143" borderId="184" xfId="7" applyNumberFormat="1" applyFont="1" applyFill="1" applyBorder="1" applyAlignment="1">
      <alignment horizontal="center" vertical="center"/>
    </xf>
    <xf numFmtId="166" fontId="174" fillId="3" borderId="187" xfId="7" applyNumberFormat="1" applyFont="1" applyFill="1" applyBorder="1" applyAlignment="1">
      <alignment horizontal="center" vertical="center"/>
    </xf>
    <xf numFmtId="172" fontId="174" fillId="0" borderId="2" xfId="7" applyNumberFormat="1" applyFont="1" applyFill="1" applyBorder="1" applyAlignment="1">
      <alignment horizontal="center" vertical="center"/>
    </xf>
    <xf numFmtId="172" fontId="174" fillId="147" borderId="2" xfId="7" applyNumberFormat="1" applyFont="1" applyFill="1" applyBorder="1" applyAlignment="1">
      <alignment horizontal="center"/>
    </xf>
    <xf numFmtId="172" fontId="31" fillId="146" borderId="184" xfId="202" applyNumberFormat="1" applyFont="1" applyFill="1" applyBorder="1" applyAlignment="1">
      <alignment horizontal="center"/>
    </xf>
    <xf numFmtId="172" fontId="174" fillId="3" borderId="184" xfId="7" applyNumberFormat="1" applyFont="1" applyFill="1" applyBorder="1" applyAlignment="1">
      <alignment horizontal="center" vertical="center"/>
    </xf>
    <xf numFmtId="172" fontId="174" fillId="0" borderId="184" xfId="7" applyNumberFormat="1" applyFont="1" applyFill="1" applyBorder="1" applyAlignment="1">
      <alignment horizontal="center" vertical="center"/>
    </xf>
    <xf numFmtId="172" fontId="174" fillId="2" borderId="184" xfId="7" applyNumberFormat="1" applyFont="1" applyFill="1" applyBorder="1" applyAlignment="1">
      <alignment horizontal="center" vertical="center"/>
    </xf>
    <xf numFmtId="172" fontId="174" fillId="143" borderId="184" xfId="64" applyNumberFormat="1" applyFont="1" applyFill="1" applyBorder="1" applyAlignment="1">
      <alignment horizontal="center" vertical="center"/>
    </xf>
    <xf numFmtId="166" fontId="174" fillId="143" borderId="184" xfId="202" applyNumberFormat="1" applyFont="1" applyFill="1" applyBorder="1" applyAlignment="1">
      <alignment horizontal="center" vertical="center"/>
    </xf>
    <xf numFmtId="172" fontId="174" fillId="143" borderId="184" xfId="202" applyNumberFormat="1" applyFont="1" applyFill="1" applyBorder="1" applyAlignment="1">
      <alignment horizontal="center" vertical="center"/>
    </xf>
    <xf numFmtId="0" fontId="174" fillId="143" borderId="2" xfId="6" applyFont="1" applyFill="1" applyBorder="1" applyAlignment="1">
      <alignment horizontal="center" vertical="center"/>
    </xf>
    <xf numFmtId="166" fontId="174" fillId="143" borderId="2" xfId="7" applyNumberFormat="1" applyFont="1" applyFill="1" applyBorder="1" applyAlignment="1">
      <alignment horizontal="center" vertical="center"/>
    </xf>
    <xf numFmtId="0" fontId="174" fillId="143" borderId="132" xfId="6" applyFont="1" applyFill="1" applyBorder="1" applyAlignment="1">
      <alignment horizontal="center" vertical="center"/>
    </xf>
    <xf numFmtId="166" fontId="174" fillId="143" borderId="132" xfId="7" applyNumberFormat="1" applyFont="1" applyFill="1" applyBorder="1" applyAlignment="1">
      <alignment horizontal="center" vertical="center"/>
    </xf>
    <xf numFmtId="172" fontId="174" fillId="3" borderId="132" xfId="64" applyNumberFormat="1" applyFont="1" applyFill="1" applyBorder="1" applyAlignment="1">
      <alignment horizontal="center" vertical="center"/>
    </xf>
    <xf numFmtId="166" fontId="174" fillId="3" borderId="132" xfId="202" applyNumberFormat="1" applyFont="1" applyFill="1" applyBorder="1" applyAlignment="1">
      <alignment horizontal="center" vertical="center"/>
    </xf>
    <xf numFmtId="172" fontId="174" fillId="3" borderId="132" xfId="202" applyNumberFormat="1" applyFont="1" applyFill="1" applyBorder="1" applyAlignment="1">
      <alignment horizontal="center" vertical="center"/>
    </xf>
    <xf numFmtId="0" fontId="31" fillId="143" borderId="184" xfId="6" applyFont="1" applyFill="1" applyBorder="1" applyAlignment="1">
      <alignment horizontal="center"/>
    </xf>
    <xf numFmtId="0" fontId="31" fillId="143" borderId="184" xfId="6" applyFont="1" applyFill="1" applyBorder="1" applyAlignment="1">
      <alignment horizontal="left" wrapText="1" indent="1"/>
    </xf>
    <xf numFmtId="0" fontId="174" fillId="143" borderId="188" xfId="6" applyFont="1" applyFill="1" applyBorder="1" applyAlignment="1">
      <alignment horizontal="center" vertical="center"/>
    </xf>
    <xf numFmtId="166" fontId="174" fillId="143" borderId="188" xfId="7" applyNumberFormat="1" applyFont="1" applyFill="1" applyBorder="1" applyAlignment="1">
      <alignment horizontal="center" vertical="center"/>
    </xf>
    <xf numFmtId="172" fontId="27" fillId="146" borderId="185" xfId="6" applyNumberFormat="1" applyFont="1" applyFill="1" applyBorder="1" applyAlignment="1">
      <alignment horizontal="right"/>
    </xf>
    <xf numFmtId="172" fontId="27" fillId="146" borderId="184" xfId="6" applyNumberFormat="1" applyFont="1" applyFill="1" applyBorder="1" applyAlignment="1">
      <alignment horizontal="right"/>
    </xf>
    <xf numFmtId="172" fontId="27" fillId="146" borderId="184" xfId="6" applyNumberFormat="1" applyFont="1" applyFill="1" applyBorder="1" applyAlignment="1">
      <alignment horizontal="left" wrapText="1" indent="1"/>
    </xf>
    <xf numFmtId="172" fontId="31" fillId="146" borderId="184" xfId="6" applyNumberFormat="1" applyFont="1" applyFill="1" applyBorder="1" applyAlignment="1">
      <alignment horizontal="center"/>
    </xf>
    <xf numFmtId="172" fontId="31" fillId="146" borderId="184" xfId="6" applyNumberFormat="1" applyFont="1" applyFill="1" applyBorder="1" applyAlignment="1">
      <alignment horizontal="left" wrapText="1" indent="1"/>
    </xf>
    <xf numFmtId="172" fontId="31" fillId="146" borderId="184" xfId="7" applyNumberFormat="1" applyFont="1" applyFill="1" applyBorder="1" applyAlignment="1">
      <alignment horizontal="center"/>
    </xf>
    <xf numFmtId="172" fontId="27" fillId="0" borderId="0" xfId="6" applyNumberFormat="1" applyFont="1"/>
    <xf numFmtId="0" fontId="22" fillId="2" borderId="0" xfId="5259" applyFont="1" applyFill="1"/>
    <xf numFmtId="0" fontId="1" fillId="0" borderId="0" xfId="20596" applyFont="1" applyAlignment="1">
      <alignment wrapText="1"/>
    </xf>
    <xf numFmtId="0" fontId="1" fillId="0" borderId="0" xfId="20596" applyFont="1"/>
    <xf numFmtId="0" fontId="1" fillId="0" borderId="0" xfId="20596" applyFont="1" applyAlignment="1">
      <alignment vertical="center"/>
    </xf>
    <xf numFmtId="0" fontId="138" fillId="0" borderId="0" xfId="0" applyFont="1" applyAlignment="1">
      <alignment wrapText="1"/>
    </xf>
    <xf numFmtId="0" fontId="195" fillId="0" borderId="0" xfId="0" applyFont="1"/>
    <xf numFmtId="0" fontId="1" fillId="0" borderId="184" xfId="20548" applyFont="1" applyBorder="1"/>
    <xf numFmtId="0" fontId="1" fillId="0" borderId="184" xfId="20548" applyFont="1" applyBorder="1" applyAlignment="1">
      <alignment horizontal="left"/>
    </xf>
    <xf numFmtId="0" fontId="1" fillId="0" borderId="184" xfId="20548" applyFont="1" applyBorder="1" applyAlignment="1">
      <alignment horizontal="center" wrapText="1"/>
    </xf>
    <xf numFmtId="0" fontId="1" fillId="2" borderId="184" xfId="20548" applyFont="1" applyFill="1" applyBorder="1"/>
    <xf numFmtId="0" fontId="1" fillId="3" borderId="184" xfId="20548" applyFont="1" applyFill="1" applyBorder="1"/>
    <xf numFmtId="0" fontId="1" fillId="4" borderId="0" xfId="20548" applyFont="1" applyFill="1"/>
    <xf numFmtId="0" fontId="1" fillId="0" borderId="21" xfId="20548" applyFont="1" applyBorder="1"/>
    <xf numFmtId="172" fontId="1" fillId="0" borderId="0" xfId="20548" applyNumberFormat="1" applyFont="1"/>
    <xf numFmtId="44" fontId="1" fillId="0" borderId="0" xfId="20548" applyNumberFormat="1" applyFont="1"/>
    <xf numFmtId="0" fontId="1" fillId="0" borderId="0" xfId="20532" applyFont="1"/>
    <xf numFmtId="0" fontId="1" fillId="0" borderId="184" xfId="20532" applyFont="1" applyBorder="1"/>
    <xf numFmtId="0" fontId="1" fillId="0" borderId="184" xfId="20532" applyFont="1" applyBorder="1" applyAlignment="1">
      <alignment horizontal="center" vertical="center" wrapText="1"/>
    </xf>
    <xf numFmtId="0" fontId="1" fillId="2" borderId="184" xfId="20532" applyFont="1" applyFill="1" applyBorder="1"/>
    <xf numFmtId="0" fontId="1" fillId="2" borderId="184" xfId="20532" applyFont="1" applyFill="1" applyBorder="1" applyAlignment="1">
      <alignment horizontal="right"/>
    </xf>
    <xf numFmtId="172" fontId="1" fillId="0" borderId="0" xfId="64" applyNumberFormat="1" applyFont="1"/>
    <xf numFmtId="0" fontId="1" fillId="0" borderId="184" xfId="20532" applyFont="1" applyBorder="1" applyAlignment="1">
      <alignment horizontal="center" vertical="center"/>
    </xf>
    <xf numFmtId="172" fontId="1" fillId="0" borderId="184" xfId="64" applyNumberFormat="1" applyFont="1" applyFill="1" applyBorder="1" applyAlignment="1">
      <alignment horizontal="center" vertical="center"/>
    </xf>
    <xf numFmtId="0" fontId="1" fillId="0" borderId="0" xfId="20532" applyFont="1" applyAlignment="1">
      <alignment vertical="center"/>
    </xf>
    <xf numFmtId="0" fontId="1" fillId="3" borderId="184" xfId="20532" applyFont="1" applyFill="1" applyBorder="1"/>
    <xf numFmtId="0" fontId="1" fillId="0" borderId="21" xfId="20532" applyFont="1" applyBorder="1"/>
    <xf numFmtId="42" fontId="1" fillId="0" borderId="0" xfId="20532" applyNumberFormat="1" applyFont="1"/>
    <xf numFmtId="0" fontId="45" fillId="142" borderId="110" xfId="20532" applyFont="1" applyFill="1" applyBorder="1" applyAlignment="1">
      <alignment vertical="center" wrapText="1"/>
    </xf>
    <xf numFmtId="0" fontId="45" fillId="142" borderId="102" xfId="20532" applyFont="1" applyFill="1" applyBorder="1" applyAlignment="1">
      <alignment vertical="center"/>
    </xf>
    <xf numFmtId="0" fontId="138" fillId="142" borderId="133" xfId="20532" applyFont="1" applyFill="1" applyBorder="1" applyAlignment="1">
      <alignment vertical="center" wrapText="1"/>
    </xf>
    <xf numFmtId="0" fontId="138" fillId="142" borderId="7" xfId="20532" applyFont="1" applyFill="1" applyBorder="1" applyAlignment="1">
      <alignment vertical="center" wrapText="1"/>
    </xf>
    <xf numFmtId="0" fontId="138" fillId="142" borderId="146" xfId="20532" applyFont="1" applyFill="1" applyBorder="1" applyAlignment="1">
      <alignment vertical="center"/>
    </xf>
    <xf numFmtId="0" fontId="138" fillId="142" borderId="115" xfId="20532" applyFont="1" applyFill="1" applyBorder="1" applyAlignment="1">
      <alignment vertical="center" wrapText="1"/>
    </xf>
    <xf numFmtId="0" fontId="138" fillId="0" borderId="186" xfId="20532" applyFont="1" applyBorder="1" applyAlignment="1">
      <alignment vertical="center" wrapText="1"/>
    </xf>
    <xf numFmtId="0" fontId="138" fillId="142" borderId="7" xfId="20532" applyFont="1" applyFill="1" applyBorder="1" applyAlignment="1">
      <alignment vertical="center"/>
    </xf>
    <xf numFmtId="0" fontId="138" fillId="0" borderId="133" xfId="20532" applyFont="1" applyBorder="1" applyAlignment="1">
      <alignment vertical="center" wrapText="1"/>
    </xf>
    <xf numFmtId="0" fontId="138" fillId="0" borderId="7" xfId="20532" applyFont="1" applyBorder="1" applyAlignment="1">
      <alignment vertical="center" wrapText="1"/>
    </xf>
    <xf numFmtId="0" fontId="1" fillId="2" borderId="110" xfId="20532" applyFont="1" applyFill="1" applyBorder="1" applyAlignment="1">
      <alignment wrapText="1"/>
    </xf>
    <xf numFmtId="0" fontId="138" fillId="0" borderId="7" xfId="20532" applyFont="1" applyBorder="1" applyAlignment="1">
      <alignment vertical="center"/>
    </xf>
    <xf numFmtId="0" fontId="27" fillId="0" borderId="0" xfId="20557" applyFont="1"/>
    <xf numFmtId="0" fontId="1" fillId="0" borderId="113" xfId="20563" applyFont="1" applyBorder="1" applyAlignment="1">
      <alignment horizontal="center"/>
    </xf>
    <xf numFmtId="0" fontId="1" fillId="0" borderId="0" xfId="20563" applyFont="1" applyAlignment="1">
      <alignment horizontal="center" vertical="top" wrapText="1"/>
    </xf>
    <xf numFmtId="0" fontId="1" fillId="0" borderId="207" xfId="20563" applyFont="1" applyBorder="1" applyAlignment="1">
      <alignment horizontal="center" wrapText="1"/>
    </xf>
    <xf numFmtId="0" fontId="1" fillId="147" borderId="112" xfId="20563" applyFont="1" applyFill="1" applyBorder="1" applyAlignment="1">
      <alignment horizontal="center" wrapText="1"/>
    </xf>
    <xf numFmtId="0" fontId="1" fillId="0" borderId="121" xfId="20563" applyFont="1" applyBorder="1" applyAlignment="1">
      <alignment horizontal="center"/>
    </xf>
    <xf numFmtId="6" fontId="1" fillId="3" borderId="121" xfId="20563" applyNumberFormat="1" applyFont="1" applyFill="1" applyBorder="1"/>
    <xf numFmtId="172" fontId="1" fillId="3" borderId="121" xfId="64" applyNumberFormat="1" applyFont="1" applyFill="1" applyBorder="1"/>
    <xf numFmtId="43" fontId="1" fillId="3" borderId="121" xfId="64" applyFont="1" applyFill="1" applyBorder="1"/>
    <xf numFmtId="0" fontId="1" fillId="145" borderId="121" xfId="20563" applyFont="1" applyFill="1" applyBorder="1"/>
    <xf numFmtId="0" fontId="1" fillId="145" borderId="113" xfId="20563" applyFont="1" applyFill="1" applyBorder="1"/>
    <xf numFmtId="9" fontId="1" fillId="0" borderId="0" xfId="20563" applyNumberFormat="1" applyFont="1" applyAlignment="1">
      <alignment horizontal="right"/>
    </xf>
    <xf numFmtId="0" fontId="1" fillId="0" borderId="121" xfId="20563" applyFont="1" applyBorder="1" applyAlignment="1">
      <alignment horizontal="right"/>
    </xf>
    <xf numFmtId="172" fontId="1" fillId="0" borderId="0" xfId="20565" applyNumberFormat="1" applyFont="1" applyBorder="1" applyAlignment="1">
      <alignment horizontal="right"/>
    </xf>
    <xf numFmtId="168" fontId="1" fillId="143" borderId="124" xfId="58" applyNumberFormat="1" applyFont="1" applyFill="1" applyBorder="1" applyAlignment="1">
      <alignment horizontal="right"/>
    </xf>
    <xf numFmtId="168" fontId="1" fillId="143" borderId="121" xfId="58" applyNumberFormat="1" applyFont="1" applyFill="1" applyBorder="1" applyAlignment="1">
      <alignment horizontal="right"/>
    </xf>
    <xf numFmtId="168" fontId="1" fillId="143" borderId="123" xfId="58" applyNumberFormat="1" applyFont="1" applyFill="1" applyBorder="1" applyAlignment="1">
      <alignment horizontal="right"/>
    </xf>
    <xf numFmtId="5" fontId="1" fillId="3" borderId="112" xfId="20554" applyNumberFormat="1" applyFont="1" applyFill="1" applyBorder="1" applyAlignment="1">
      <alignment horizontal="right"/>
    </xf>
    <xf numFmtId="209" fontId="1" fillId="0" borderId="0" xfId="20563" applyNumberFormat="1" applyFont="1" applyAlignment="1">
      <alignment horizontal="right"/>
    </xf>
    <xf numFmtId="0" fontId="1" fillId="0" borderId="0" xfId="20563" applyFont="1" applyAlignment="1">
      <alignment horizontal="right" vertical="center" wrapText="1"/>
    </xf>
    <xf numFmtId="0" fontId="1" fillId="0" borderId="136" xfId="20563" applyFont="1" applyBorder="1" applyAlignment="1">
      <alignment horizontal="right"/>
    </xf>
    <xf numFmtId="0" fontId="1" fillId="145" borderId="121" xfId="20563" applyFont="1" applyFill="1" applyBorder="1" applyAlignment="1">
      <alignment wrapText="1"/>
    </xf>
    <xf numFmtId="0" fontId="1" fillId="0" borderId="91" xfId="20575" applyFont="1" applyBorder="1" applyAlignment="1">
      <alignment horizontal="center"/>
    </xf>
    <xf numFmtId="172" fontId="1" fillId="3" borderId="2" xfId="20576" applyNumberFormat="1" applyFont="1" applyFill="1" applyBorder="1"/>
    <xf numFmtId="172" fontId="1" fillId="3" borderId="5" xfId="20576" applyNumberFormat="1" applyFont="1" applyFill="1" applyBorder="1"/>
    <xf numFmtId="0" fontId="1" fillId="0" borderId="2" xfId="20575" applyFont="1" applyBorder="1" applyAlignment="1">
      <alignment horizontal="center"/>
    </xf>
    <xf numFmtId="0" fontId="1" fillId="0" borderId="184" xfId="20575" applyFont="1" applyBorder="1" applyAlignment="1">
      <alignment horizontal="center"/>
    </xf>
    <xf numFmtId="0" fontId="1" fillId="0" borderId="132" xfId="20575" applyFont="1" applyBorder="1" applyAlignment="1">
      <alignment horizontal="center"/>
    </xf>
    <xf numFmtId="172" fontId="1" fillId="143" borderId="2" xfId="20576" applyNumberFormat="1" applyFont="1" applyFill="1" applyBorder="1"/>
    <xf numFmtId="172" fontId="1" fillId="143" borderId="5" xfId="20576" applyNumberFormat="1" applyFont="1" applyFill="1" applyBorder="1"/>
    <xf numFmtId="0" fontId="1" fillId="3" borderId="2" xfId="20576" applyNumberFormat="1" applyFont="1" applyFill="1" applyBorder="1"/>
    <xf numFmtId="0" fontId="1" fillId="0" borderId="0" xfId="20575" applyFont="1" applyAlignment="1">
      <alignment horizontal="center"/>
    </xf>
    <xf numFmtId="172" fontId="1" fillId="0" borderId="184" xfId="20575" applyNumberFormat="1" applyFont="1" applyBorder="1"/>
    <xf numFmtId="172" fontId="1" fillId="146" borderId="184" xfId="64" applyNumberFormat="1" applyFont="1" applyFill="1" applyBorder="1"/>
    <xf numFmtId="2" fontId="1" fillId="146" borderId="184" xfId="20575" applyNumberFormat="1" applyFont="1" applyFill="1" applyBorder="1" applyAlignment="1">
      <alignment horizontal="center"/>
    </xf>
    <xf numFmtId="0" fontId="1" fillId="0" borderId="0" xfId="20575" applyFont="1" applyAlignment="1">
      <alignment horizontal="right"/>
    </xf>
    <xf numFmtId="0" fontId="1" fillId="0" borderId="53" xfId="20575" applyFont="1" applyBorder="1" applyAlignment="1">
      <alignment horizontal="center"/>
    </xf>
    <xf numFmtId="43" fontId="1" fillId="3" borderId="2" xfId="20576" applyFont="1" applyFill="1" applyBorder="1"/>
    <xf numFmtId="172" fontId="1" fillId="3" borderId="184" xfId="20576" applyNumberFormat="1" applyFont="1" applyFill="1" applyBorder="1"/>
    <xf numFmtId="172" fontId="1" fillId="143" borderId="184" xfId="20576" applyNumberFormat="1" applyFont="1" applyFill="1" applyBorder="1"/>
    <xf numFmtId="43" fontId="1" fillId="143" borderId="184" xfId="20576" applyFont="1" applyFill="1" applyBorder="1"/>
    <xf numFmtId="172" fontId="1" fillId="143" borderId="201" xfId="20576" applyNumberFormat="1" applyFont="1" applyFill="1" applyBorder="1"/>
    <xf numFmtId="172" fontId="1" fillId="143" borderId="186" xfId="20576" applyNumberFormat="1" applyFont="1" applyFill="1" applyBorder="1"/>
    <xf numFmtId="0" fontId="1" fillId="0" borderId="10" xfId="20575" applyFont="1" applyBorder="1" applyAlignment="1">
      <alignment horizontal="center"/>
    </xf>
    <xf numFmtId="172" fontId="1" fillId="3" borderId="21" xfId="20576" applyNumberFormat="1" applyFont="1" applyFill="1" applyBorder="1"/>
    <xf numFmtId="43" fontId="1" fillId="0" borderId="0" xfId="20575" applyNumberFormat="1" applyFont="1"/>
    <xf numFmtId="43" fontId="1" fillId="146" borderId="184" xfId="20575" applyNumberFormat="1" applyFont="1" applyFill="1" applyBorder="1"/>
    <xf numFmtId="172" fontId="1" fillId="143" borderId="184" xfId="20575" applyNumberFormat="1" applyFont="1" applyFill="1" applyBorder="1"/>
    <xf numFmtId="43" fontId="1" fillId="143" borderId="184" xfId="20575" applyNumberFormat="1" applyFont="1" applyFill="1" applyBorder="1"/>
    <xf numFmtId="0" fontId="138" fillId="155" borderId="0" xfId="0" applyFont="1" applyFill="1"/>
    <xf numFmtId="222" fontId="138" fillId="154" borderId="48" xfId="0" applyNumberFormat="1" applyFont="1" applyFill="1" applyBorder="1"/>
    <xf numFmtId="226" fontId="138" fillId="154" borderId="5" xfId="0" applyNumberFormat="1" applyFont="1" applyFill="1" applyBorder="1" applyAlignment="1">
      <alignment horizontal="center" vertical="center"/>
    </xf>
    <xf numFmtId="0" fontId="138" fillId="154" borderId="152" xfId="0" applyFont="1" applyFill="1" applyBorder="1" applyAlignment="1">
      <alignment horizontal="center" vertical="center"/>
    </xf>
    <xf numFmtId="9" fontId="138" fillId="154" borderId="107" xfId="0" applyNumberFormat="1" applyFont="1" applyFill="1" applyBorder="1"/>
    <xf numFmtId="222" fontId="138" fillId="154" borderId="4" xfId="0" applyNumberFormat="1" applyFont="1" applyFill="1" applyBorder="1"/>
    <xf numFmtId="222" fontId="138" fillId="154" borderId="10" xfId="0" applyNumberFormat="1" applyFont="1" applyFill="1" applyBorder="1"/>
    <xf numFmtId="222" fontId="138" fillId="154" borderId="117" xfId="0" applyNumberFormat="1" applyFont="1" applyFill="1" applyBorder="1"/>
    <xf numFmtId="222" fontId="138" fillId="154" borderId="53" xfId="0" applyNumberFormat="1" applyFont="1" applyFill="1" applyBorder="1"/>
    <xf numFmtId="222" fontId="138" fillId="154" borderId="152" xfId="0" applyNumberFormat="1" applyFont="1" applyFill="1" applyBorder="1"/>
    <xf numFmtId="222" fontId="138" fillId="154" borderId="109" xfId="0" applyNumberFormat="1" applyFont="1" applyFill="1" applyBorder="1"/>
    <xf numFmtId="222" fontId="138" fillId="154" borderId="163" xfId="0" applyNumberFormat="1" applyFont="1" applyFill="1" applyBorder="1"/>
    <xf numFmtId="222" fontId="138" fillId="154" borderId="3" xfId="0" applyNumberFormat="1" applyFont="1" applyFill="1" applyBorder="1"/>
    <xf numFmtId="222" fontId="138" fillId="154" borderId="170" xfId="0" applyNumberFormat="1" applyFont="1" applyFill="1" applyBorder="1"/>
    <xf numFmtId="222" fontId="138" fillId="154" borderId="171" xfId="0" applyNumberFormat="1" applyFont="1" applyFill="1" applyBorder="1"/>
    <xf numFmtId="222" fontId="138" fillId="154" borderId="190" xfId="0" applyNumberFormat="1" applyFont="1" applyFill="1" applyBorder="1"/>
    <xf numFmtId="226" fontId="138" fillId="154" borderId="186" xfId="0" applyNumberFormat="1" applyFont="1" applyFill="1" applyBorder="1" applyAlignment="1">
      <alignment horizontal="center" vertical="center"/>
    </xf>
    <xf numFmtId="222" fontId="138" fillId="154" borderId="192" xfId="0" applyNumberFormat="1" applyFont="1" applyFill="1" applyBorder="1"/>
    <xf numFmtId="222" fontId="138" fillId="154" borderId="201" xfId="0" applyNumberFormat="1" applyFont="1" applyFill="1" applyBorder="1"/>
    <xf numFmtId="222" fontId="138" fillId="154" borderId="202" xfId="0" applyNumberFormat="1" applyFont="1" applyFill="1" applyBorder="1"/>
    <xf numFmtId="222" fontId="138" fillId="154" borderId="188" xfId="0" applyNumberFormat="1" applyFont="1" applyFill="1" applyBorder="1"/>
    <xf numFmtId="226" fontId="138" fillId="154" borderId="164" xfId="0" applyNumberFormat="1" applyFont="1" applyFill="1" applyBorder="1" applyAlignment="1">
      <alignment horizontal="center" vertical="center"/>
    </xf>
    <xf numFmtId="0" fontId="138" fillId="154" borderId="189" xfId="0" applyFont="1" applyFill="1" applyBorder="1" applyAlignment="1">
      <alignment horizontal="center" vertical="center"/>
    </xf>
    <xf numFmtId="9" fontId="138" fillId="154" borderId="7" xfId="0" applyNumberFormat="1" applyFont="1" applyFill="1" applyBorder="1"/>
    <xf numFmtId="222" fontId="138" fillId="154" borderId="120" xfId="0" applyNumberFormat="1" applyFont="1" applyFill="1" applyBorder="1"/>
    <xf numFmtId="222" fontId="138" fillId="154" borderId="131" xfId="0" applyNumberFormat="1" applyFont="1" applyFill="1" applyBorder="1"/>
    <xf numFmtId="222" fontId="138" fillId="154" borderId="7" xfId="0" applyNumberFormat="1" applyFont="1" applyFill="1" applyBorder="1"/>
    <xf numFmtId="222" fontId="138" fillId="154" borderId="6" xfId="0" applyNumberFormat="1" applyFont="1" applyFill="1" applyBorder="1"/>
    <xf numFmtId="222" fontId="138" fillId="154" borderId="172" xfId="0" applyNumberFormat="1" applyFont="1" applyFill="1" applyBorder="1"/>
    <xf numFmtId="222" fontId="138" fillId="154" borderId="173" xfId="0" applyNumberFormat="1" applyFont="1" applyFill="1" applyBorder="1"/>
    <xf numFmtId="222" fontId="138" fillId="154" borderId="108" xfId="0" applyNumberFormat="1" applyFont="1" applyFill="1" applyBorder="1"/>
    <xf numFmtId="222" fontId="138" fillId="154" borderId="2" xfId="0" applyNumberFormat="1" applyFont="1" applyFill="1" applyBorder="1"/>
    <xf numFmtId="222" fontId="138" fillId="154" borderId="185" xfId="0" applyNumberFormat="1" applyFont="1" applyFill="1" applyBorder="1"/>
    <xf numFmtId="222" fontId="138" fillId="154" borderId="203" xfId="0" applyNumberFormat="1" applyFont="1" applyFill="1" applyBorder="1"/>
    <xf numFmtId="222" fontId="138" fillId="158" borderId="53" xfId="0" applyNumberFormat="1" applyFont="1" applyFill="1" applyBorder="1"/>
    <xf numFmtId="222" fontId="138" fillId="158" borderId="152" xfId="0" applyNumberFormat="1" applyFont="1" applyFill="1" applyBorder="1"/>
    <xf numFmtId="222" fontId="138" fillId="158" borderId="3" xfId="0" applyNumberFormat="1" applyFont="1" applyFill="1" applyBorder="1"/>
    <xf numFmtId="222" fontId="138" fillId="158" borderId="170" xfId="0" applyNumberFormat="1" applyFont="1" applyFill="1" applyBorder="1"/>
    <xf numFmtId="222" fontId="138" fillId="158" borderId="171" xfId="0" applyNumberFormat="1" applyFont="1" applyFill="1" applyBorder="1"/>
    <xf numFmtId="226" fontId="138" fillId="154" borderId="165" xfId="0" applyNumberFormat="1" applyFont="1" applyFill="1" applyBorder="1" applyAlignment="1">
      <alignment horizontal="center" vertical="center"/>
    </xf>
    <xf numFmtId="222" fontId="138" fillId="154" borderId="174" xfId="0" applyNumberFormat="1" applyFont="1" applyFill="1" applyBorder="1"/>
    <xf numFmtId="226" fontId="138" fillId="154" borderId="189" xfId="0" applyNumberFormat="1" applyFont="1" applyFill="1" applyBorder="1" applyAlignment="1">
      <alignment horizontal="center" vertical="center"/>
    </xf>
    <xf numFmtId="0" fontId="138" fillId="154" borderId="204" xfId="0" applyFont="1" applyFill="1" applyBorder="1" applyAlignment="1">
      <alignment horizontal="center" vertical="center"/>
    </xf>
    <xf numFmtId="222" fontId="138" fillId="154" borderId="198" xfId="0" applyNumberFormat="1" applyFont="1" applyFill="1" applyBorder="1"/>
    <xf numFmtId="222" fontId="138" fillId="154" borderId="208" xfId="0" applyNumberFormat="1" applyFont="1" applyFill="1" applyBorder="1"/>
    <xf numFmtId="222" fontId="138" fillId="154" borderId="205" xfId="0" applyNumberFormat="1" applyFont="1" applyFill="1" applyBorder="1"/>
    <xf numFmtId="222" fontId="138" fillId="154" borderId="166" xfId="0" applyNumberFormat="1" applyFont="1" applyFill="1" applyBorder="1"/>
    <xf numFmtId="226" fontId="138" fillId="154" borderId="163" xfId="0" applyNumberFormat="1" applyFont="1" applyFill="1" applyBorder="1" applyAlignment="1">
      <alignment horizontal="center" vertical="center"/>
    </xf>
    <xf numFmtId="226" fontId="138" fillId="154" borderId="92" xfId="0" applyNumberFormat="1" applyFont="1" applyFill="1" applyBorder="1" applyAlignment="1">
      <alignment horizontal="center" vertical="center"/>
    </xf>
    <xf numFmtId="226" fontId="138" fillId="154" borderId="152" xfId="0" applyNumberFormat="1" applyFont="1" applyFill="1" applyBorder="1" applyAlignment="1">
      <alignment horizontal="center" vertical="center"/>
    </xf>
    <xf numFmtId="222" fontId="138" fillId="154" borderId="21" xfId="0" applyNumberFormat="1" applyFont="1" applyFill="1" applyBorder="1"/>
    <xf numFmtId="222" fontId="138" fillId="158" borderId="10" xfId="0" applyNumberFormat="1" applyFont="1" applyFill="1" applyBorder="1"/>
    <xf numFmtId="222" fontId="138" fillId="158" borderId="93" xfId="0" applyNumberFormat="1" applyFont="1" applyFill="1" applyBorder="1"/>
    <xf numFmtId="222" fontId="138" fillId="158" borderId="208" xfId="0" applyNumberFormat="1" applyFont="1" applyFill="1" applyBorder="1"/>
    <xf numFmtId="222" fontId="138" fillId="158" borderId="21" xfId="0" applyNumberFormat="1" applyFont="1" applyFill="1" applyBorder="1"/>
    <xf numFmtId="222" fontId="138" fillId="158" borderId="192" xfId="0" applyNumberFormat="1" applyFont="1" applyFill="1" applyBorder="1"/>
    <xf numFmtId="222" fontId="138" fillId="158" borderId="203" xfId="0" applyNumberFormat="1" applyFont="1" applyFill="1" applyBorder="1"/>
    <xf numFmtId="222" fontId="138" fillId="158" borderId="193" xfId="0" applyNumberFormat="1" applyFont="1" applyFill="1" applyBorder="1"/>
    <xf numFmtId="222" fontId="138" fillId="158" borderId="210" xfId="0" applyNumberFormat="1" applyFont="1" applyFill="1" applyBorder="1"/>
    <xf numFmtId="222" fontId="138" fillId="154" borderId="210" xfId="0" applyNumberFormat="1" applyFont="1" applyFill="1" applyBorder="1"/>
    <xf numFmtId="226" fontId="138" fillId="154" borderId="117" xfId="0" applyNumberFormat="1" applyFont="1" applyFill="1" applyBorder="1" applyAlignment="1">
      <alignment horizontal="center" vertical="center"/>
    </xf>
    <xf numFmtId="222" fontId="138" fillId="158" borderId="147" xfId="0" applyNumberFormat="1" applyFont="1" applyFill="1" applyBorder="1"/>
    <xf numFmtId="222" fontId="138" fillId="158" borderId="117" xfId="0" applyNumberFormat="1" applyFont="1" applyFill="1" applyBorder="1"/>
    <xf numFmtId="222" fontId="138" fillId="154" borderId="0" xfId="0" applyNumberFormat="1" applyFont="1" applyFill="1"/>
    <xf numFmtId="222" fontId="138" fillId="154" borderId="175" xfId="0" applyNumberFormat="1" applyFont="1" applyFill="1" applyBorder="1"/>
    <xf numFmtId="222" fontId="138" fillId="154" borderId="155" xfId="0" applyNumberFormat="1" applyFont="1" applyFill="1" applyBorder="1"/>
    <xf numFmtId="222" fontId="138" fillId="158" borderId="187" xfId="0" applyNumberFormat="1" applyFont="1" applyFill="1" applyBorder="1"/>
    <xf numFmtId="222" fontId="138" fillId="158" borderId="198" xfId="0" applyNumberFormat="1" applyFont="1" applyFill="1" applyBorder="1"/>
    <xf numFmtId="226" fontId="138" fillId="154" borderId="201" xfId="0" applyNumberFormat="1" applyFont="1" applyFill="1" applyBorder="1" applyAlignment="1">
      <alignment horizontal="center" vertical="center"/>
    </xf>
    <xf numFmtId="222" fontId="138" fillId="158" borderId="185" xfId="0" applyNumberFormat="1" applyFont="1" applyFill="1" applyBorder="1"/>
    <xf numFmtId="222" fontId="138" fillId="158" borderId="201" xfId="0" applyNumberFormat="1" applyFont="1" applyFill="1" applyBorder="1"/>
    <xf numFmtId="222" fontId="138" fillId="158" borderId="120" xfId="0" applyNumberFormat="1" applyFont="1" applyFill="1" applyBorder="1"/>
    <xf numFmtId="222" fontId="138" fillId="154" borderId="191" xfId="0" applyNumberFormat="1" applyFont="1" applyFill="1" applyBorder="1"/>
    <xf numFmtId="222" fontId="138" fillId="154" borderId="206" xfId="0" applyNumberFormat="1" applyFont="1" applyFill="1" applyBorder="1"/>
    <xf numFmtId="0" fontId="138" fillId="155" borderId="0" xfId="0" applyFont="1" applyFill="1" applyAlignment="1">
      <alignment wrapText="1"/>
    </xf>
    <xf numFmtId="9" fontId="138" fillId="0" borderId="192" xfId="0" applyNumberFormat="1" applyFont="1" applyBorder="1"/>
    <xf numFmtId="10" fontId="138" fillId="0" borderId="192" xfId="0" applyNumberFormat="1" applyFont="1" applyBorder="1"/>
    <xf numFmtId="10" fontId="138" fillId="0" borderId="201" xfId="0" applyNumberFormat="1" applyFont="1" applyBorder="1"/>
    <xf numFmtId="9" fontId="138" fillId="0" borderId="53" xfId="0" applyNumberFormat="1" applyFont="1" applyBorder="1"/>
    <xf numFmtId="10" fontId="138" fillId="0" borderId="53" xfId="0" applyNumberFormat="1" applyFont="1" applyBorder="1"/>
    <xf numFmtId="10" fontId="138" fillId="0" borderId="152" xfId="0" applyNumberFormat="1" applyFont="1" applyBorder="1"/>
    <xf numFmtId="9" fontId="138" fillId="0" borderId="120" xfId="0" applyNumberFormat="1" applyFont="1" applyBorder="1"/>
    <xf numFmtId="10" fontId="138" fillId="0" borderId="120" xfId="0" applyNumberFormat="1" applyFont="1" applyBorder="1"/>
    <xf numFmtId="10" fontId="138" fillId="0" borderId="7" xfId="0" applyNumberFormat="1" applyFont="1" applyBorder="1"/>
    <xf numFmtId="0" fontId="174" fillId="0" borderId="0" xfId="20601" applyFont="1"/>
    <xf numFmtId="0" fontId="1" fillId="0" borderId="0" xfId="0" applyFont="1"/>
    <xf numFmtId="0" fontId="22" fillId="0" borderId="0" xfId="0" applyFont="1"/>
    <xf numFmtId="0" fontId="27" fillId="3" borderId="0" xfId="6" applyFont="1" applyFill="1" applyAlignment="1">
      <alignment horizontal="left"/>
    </xf>
    <xf numFmtId="0" fontId="174" fillId="0" borderId="0" xfId="168" applyFont="1"/>
    <xf numFmtId="0" fontId="27" fillId="3" borderId="184" xfId="5259" applyFont="1" applyFill="1" applyBorder="1" applyAlignment="1">
      <alignment horizontal="left"/>
    </xf>
    <xf numFmtId="0" fontId="27" fillId="3" borderId="0" xfId="5259" applyFont="1" applyFill="1" applyAlignment="1">
      <alignment horizontal="left"/>
    </xf>
    <xf numFmtId="0" fontId="138" fillId="149" borderId="2" xfId="0" applyFont="1" applyFill="1" applyBorder="1"/>
    <xf numFmtId="172" fontId="27" fillId="153" borderId="184" xfId="20567" applyNumberFormat="1" applyFont="1" applyFill="1" applyBorder="1" applyAlignment="1">
      <alignment horizontal="center" vertical="center"/>
    </xf>
    <xf numFmtId="172" fontId="27" fillId="153" borderId="184" xfId="20567" applyNumberFormat="1" applyFont="1" applyFill="1" applyBorder="1" applyAlignment="1">
      <alignment horizontal="center" vertical="center" wrapText="1"/>
    </xf>
    <xf numFmtId="0" fontId="27" fillId="0" borderId="0" xfId="0" applyFont="1"/>
    <xf numFmtId="0" fontId="174" fillId="0" borderId="184" xfId="20566" applyFont="1" applyBorder="1" applyAlignment="1">
      <alignment horizontal="center" vertical="center" wrapText="1"/>
    </xf>
    <xf numFmtId="0" fontId="174" fillId="0" borderId="184" xfId="20566" applyFont="1" applyBorder="1" applyAlignment="1">
      <alignment horizontal="center" vertical="center"/>
    </xf>
    <xf numFmtId="0" fontId="45" fillId="0" borderId="0" xfId="0" applyFont="1"/>
    <xf numFmtId="0" fontId="45" fillId="0" borderId="0" xfId="0" applyFont="1" applyAlignment="1">
      <alignment vertical="center"/>
    </xf>
    <xf numFmtId="0" fontId="27" fillId="0" borderId="0" xfId="0" applyFont="1" applyAlignment="1">
      <alignment vertical="center"/>
    </xf>
    <xf numFmtId="0" fontId="174" fillId="0" borderId="0" xfId="0" applyFont="1" applyAlignment="1">
      <alignment vertical="center"/>
    </xf>
    <xf numFmtId="0" fontId="183" fillId="0" borderId="0" xfId="0" applyFont="1"/>
    <xf numFmtId="0" fontId="174" fillId="0" borderId="0" xfId="0" applyFont="1"/>
    <xf numFmtId="0" fontId="27" fillId="0" borderId="0" xfId="12" applyFont="1" applyAlignment="1">
      <alignment horizontal="center" wrapText="1"/>
    </xf>
    <xf numFmtId="0" fontId="27" fillId="0" borderId="0" xfId="12" applyFont="1" applyAlignment="1">
      <alignment horizontal="left" wrapText="1"/>
    </xf>
    <xf numFmtId="0" fontId="27" fillId="0" borderId="0" xfId="12" applyFont="1" applyAlignment="1">
      <alignment horizontal="center"/>
    </xf>
    <xf numFmtId="220" fontId="27" fillId="0" borderId="0" xfId="390" applyNumberFormat="1" applyFont="1" applyFill="1" applyAlignment="1">
      <alignment horizontal="center" wrapText="1"/>
    </xf>
    <xf numFmtId="0" fontId="27" fillId="0" borderId="0" xfId="12" applyFont="1"/>
    <xf numFmtId="0" fontId="27" fillId="0" borderId="0" xfId="12" applyFont="1" applyAlignment="1">
      <alignment horizontal="left"/>
    </xf>
    <xf numFmtId="0" fontId="174" fillId="0" borderId="182" xfId="20566" applyFont="1" applyBorder="1" applyAlignment="1">
      <alignment horizontal="center" vertical="center" wrapText="1"/>
    </xf>
    <xf numFmtId="0" fontId="174" fillId="0" borderId="182" xfId="12" applyFont="1" applyBorder="1" applyAlignment="1">
      <alignment horizontal="center" vertical="center" wrapText="1"/>
    </xf>
    <xf numFmtId="0" fontId="174" fillId="0" borderId="182" xfId="20571" applyFont="1" applyFill="1" applyBorder="1" applyAlignment="1">
      <alignment horizontal="center" vertical="center" wrapText="1"/>
    </xf>
    <xf numFmtId="0" fontId="174" fillId="142" borderId="182" xfId="12" applyFont="1" applyFill="1" applyBorder="1" applyAlignment="1">
      <alignment horizontal="center" vertical="center" wrapText="1"/>
    </xf>
    <xf numFmtId="0" fontId="27" fillId="0" borderId="184" xfId="20566" applyFont="1" applyBorder="1" applyAlignment="1">
      <alignment horizontal="center" vertical="center"/>
    </xf>
    <xf numFmtId="0" fontId="27" fillId="0" borderId="184" xfId="20566" applyFont="1" applyBorder="1" applyAlignment="1">
      <alignment horizontal="center" vertical="center" wrapText="1"/>
    </xf>
    <xf numFmtId="0" fontId="27" fillId="0" borderId="184" xfId="20566" applyFont="1" applyBorder="1" applyAlignment="1">
      <alignment vertical="center" wrapText="1"/>
    </xf>
    <xf numFmtId="0" fontId="27" fillId="142" borderId="184" xfId="20566" applyFont="1" applyFill="1" applyBorder="1" applyAlignment="1">
      <alignment vertical="center" wrapText="1"/>
    </xf>
    <xf numFmtId="172" fontId="27" fillId="0" borderId="184" xfId="20567" applyNumberFormat="1" applyFont="1" applyBorder="1" applyAlignment="1">
      <alignment horizontal="center" vertical="center"/>
    </xf>
    <xf numFmtId="172" fontId="27" fillId="0" borderId="184" xfId="20567" applyNumberFormat="1" applyFont="1" applyFill="1" applyBorder="1" applyAlignment="1">
      <alignment horizontal="center" vertical="center"/>
    </xf>
    <xf numFmtId="172" fontId="27" fillId="142" borderId="184" xfId="20567" applyNumberFormat="1" applyFont="1" applyFill="1" applyBorder="1" applyAlignment="1">
      <alignment horizontal="center" vertical="center"/>
    </xf>
    <xf numFmtId="0" fontId="27" fillId="142" borderId="184" xfId="20566" applyFont="1" applyFill="1" applyBorder="1" applyAlignment="1">
      <alignment horizontal="center" vertical="center" wrapText="1"/>
    </xf>
    <xf numFmtId="43" fontId="27" fillId="0" borderId="184" xfId="20567" applyFont="1" applyBorder="1" applyAlignment="1">
      <alignment horizontal="center" vertical="center"/>
    </xf>
    <xf numFmtId="43" fontId="27" fillId="0" borderId="184" xfId="20567" applyFont="1" applyFill="1" applyBorder="1" applyAlignment="1">
      <alignment horizontal="center" vertical="center"/>
    </xf>
    <xf numFmtId="43" fontId="27" fillId="0" borderId="184" xfId="20567" applyFont="1" applyFill="1" applyBorder="1" applyAlignment="1">
      <alignment vertical="center"/>
    </xf>
    <xf numFmtId="0" fontId="27" fillId="0" borderId="184" xfId="20571" applyFont="1" applyFill="1" applyBorder="1" applyAlignment="1">
      <alignment horizontal="center" vertical="center"/>
    </xf>
    <xf numFmtId="9" fontId="27" fillId="0" borderId="184" xfId="5748" applyNumberFormat="1" applyFont="1" applyFill="1" applyBorder="1" applyAlignment="1">
      <alignment horizontal="center" vertical="center"/>
    </xf>
    <xf numFmtId="9" fontId="27" fillId="0" borderId="184" xfId="58" applyFont="1" applyFill="1" applyBorder="1" applyAlignment="1">
      <alignment horizontal="center" vertical="center"/>
    </xf>
    <xf numFmtId="0" fontId="197" fillId="0" borderId="184" xfId="20566" applyFont="1" applyBorder="1" applyAlignment="1">
      <alignment vertical="center" wrapText="1"/>
    </xf>
    <xf numFmtId="10" fontId="27" fillId="0" borderId="184" xfId="5748" applyNumberFormat="1" applyFont="1" applyFill="1" applyBorder="1" applyAlignment="1">
      <alignment horizontal="center" vertical="center"/>
    </xf>
    <xf numFmtId="221" fontId="27" fillId="0" borderId="184" xfId="5748" applyNumberFormat="1" applyFont="1" applyFill="1" applyBorder="1" applyAlignment="1">
      <alignment horizontal="center" vertical="center"/>
    </xf>
    <xf numFmtId="10" fontId="27" fillId="0" borderId="184" xfId="58" applyNumberFormat="1" applyFont="1" applyFill="1" applyBorder="1" applyAlignment="1">
      <alignment horizontal="center" vertical="center"/>
    </xf>
    <xf numFmtId="221" fontId="27" fillId="0" borderId="184" xfId="58" applyNumberFormat="1" applyFont="1" applyFill="1" applyBorder="1" applyAlignment="1">
      <alignment horizontal="center" vertical="center"/>
    </xf>
    <xf numFmtId="43" fontId="27" fillId="0" borderId="184" xfId="64" applyFont="1" applyFill="1" applyBorder="1" applyAlignment="1">
      <alignment horizontal="center" vertical="center"/>
    </xf>
    <xf numFmtId="220" fontId="27" fillId="0" borderId="184" xfId="64" applyNumberFormat="1" applyFont="1" applyFill="1" applyBorder="1" applyAlignment="1">
      <alignment horizontal="center" vertical="center"/>
    </xf>
    <xf numFmtId="0" fontId="27" fillId="142" borderId="184" xfId="20566" applyFont="1" applyFill="1" applyBorder="1" applyAlignment="1">
      <alignment vertical="center"/>
    </xf>
    <xf numFmtId="0" fontId="27" fillId="0" borderId="184" xfId="20566" applyFont="1" applyBorder="1" applyAlignment="1">
      <alignment vertical="top" wrapText="1"/>
    </xf>
    <xf numFmtId="168" fontId="27" fillId="0" borderId="184" xfId="5748" applyNumberFormat="1" applyFont="1" applyFill="1" applyBorder="1" applyAlignment="1">
      <alignment horizontal="center" vertical="center"/>
    </xf>
    <xf numFmtId="168" fontId="27" fillId="0" borderId="184" xfId="58" applyNumberFormat="1" applyFont="1" applyFill="1" applyBorder="1" applyAlignment="1">
      <alignment horizontal="center" vertical="center"/>
    </xf>
    <xf numFmtId="218" fontId="27" fillId="0" borderId="184" xfId="20567" applyNumberFormat="1" applyFont="1" applyFill="1" applyBorder="1" applyAlignment="1">
      <alignment horizontal="center" vertical="center"/>
    </xf>
    <xf numFmtId="172" fontId="27" fillId="0" borderId="184" xfId="20567" applyNumberFormat="1" applyFont="1" applyFill="1" applyBorder="1" applyAlignment="1">
      <alignment horizontal="center" vertical="center" wrapText="1"/>
    </xf>
    <xf numFmtId="43" fontId="27" fillId="0" borderId="184" xfId="20567" applyFont="1" applyFill="1" applyBorder="1" applyAlignment="1">
      <alignment horizontal="center" vertical="center" wrapText="1"/>
    </xf>
    <xf numFmtId="0" fontId="1" fillId="0" borderId="53" xfId="20602" applyFont="1" applyBorder="1" applyAlignment="1">
      <alignment vertical="center" wrapText="1"/>
    </xf>
    <xf numFmtId="0" fontId="1" fillId="0" borderId="2" xfId="20602" applyFont="1" applyBorder="1" applyAlignment="1">
      <alignment vertical="center" wrapText="1"/>
    </xf>
    <xf numFmtId="172" fontId="27" fillId="0" borderId="192" xfId="20567" applyNumberFormat="1" applyFont="1" applyFill="1" applyBorder="1" applyAlignment="1">
      <alignment horizontal="right" vertical="top"/>
    </xf>
    <xf numFmtId="0" fontId="1" fillId="0" borderId="192" xfId="20602" applyFont="1" applyBorder="1" applyAlignment="1">
      <alignment vertical="center" wrapText="1"/>
    </xf>
    <xf numFmtId="0" fontId="1" fillId="0" borderId="184" xfId="20602" applyFont="1" applyBorder="1" applyAlignment="1">
      <alignment vertical="center" wrapText="1"/>
    </xf>
    <xf numFmtId="0" fontId="27" fillId="142" borderId="184" xfId="20566" applyFont="1" applyFill="1" applyBorder="1" applyAlignment="1">
      <alignment horizontal="left" vertical="center" wrapText="1"/>
    </xf>
    <xf numFmtId="0" fontId="27" fillId="142" borderId="184" xfId="20570" applyFont="1" applyFill="1" applyBorder="1" applyAlignment="1">
      <alignment horizontal="left" vertical="center" wrapText="1"/>
    </xf>
    <xf numFmtId="43" fontId="27" fillId="0" borderId="184" xfId="64" applyFont="1" applyFill="1" applyBorder="1" applyAlignment="1">
      <alignment horizontal="center" vertical="center" wrapText="1"/>
    </xf>
    <xf numFmtId="0" fontId="27" fillId="0" borderId="184" xfId="20566" applyFont="1" applyBorder="1" applyAlignment="1">
      <alignment horizontal="left" vertical="center" wrapText="1"/>
    </xf>
    <xf numFmtId="172" fontId="27" fillId="0" borderId="184" xfId="20567" applyNumberFormat="1" applyFont="1" applyBorder="1" applyAlignment="1">
      <alignment horizontal="center" vertical="center" wrapText="1"/>
    </xf>
    <xf numFmtId="220" fontId="27" fillId="0" borderId="184" xfId="64" applyNumberFormat="1" applyFont="1" applyFill="1" applyBorder="1" applyAlignment="1">
      <alignment horizontal="center" vertical="center" wrapText="1"/>
    </xf>
    <xf numFmtId="43" fontId="27" fillId="152" borderId="184" xfId="64" applyFont="1" applyFill="1" applyBorder="1" applyAlignment="1">
      <alignment horizontal="center" vertical="center" wrapText="1"/>
    </xf>
    <xf numFmtId="222" fontId="45" fillId="3" borderId="184" xfId="64" applyNumberFormat="1" applyFont="1" applyFill="1" applyBorder="1"/>
    <xf numFmtId="222" fontId="31" fillId="146" borderId="184" xfId="20555" applyNumberFormat="1" applyFont="1" applyFill="1" applyBorder="1"/>
    <xf numFmtId="166" fontId="45" fillId="3" borderId="184" xfId="64" applyNumberFormat="1" applyFont="1" applyFill="1" applyBorder="1"/>
    <xf numFmtId="166" fontId="45" fillId="3" borderId="184" xfId="20555" applyNumberFormat="1" applyFont="1" applyFill="1" applyBorder="1"/>
    <xf numFmtId="166" fontId="31" fillId="146" borderId="184" xfId="20555" applyNumberFormat="1" applyFont="1" applyFill="1" applyBorder="1"/>
    <xf numFmtId="0" fontId="27" fillId="3" borderId="182" xfId="6" applyFont="1" applyFill="1" applyBorder="1" applyAlignment="1">
      <alignment horizontal="left"/>
    </xf>
    <xf numFmtId="218" fontId="27" fillId="146" borderId="184" xfId="20535" applyNumberFormat="1" applyFont="1" applyFill="1" applyBorder="1"/>
    <xf numFmtId="218" fontId="1" fillId="3" borderId="184" xfId="20535" applyNumberFormat="1" applyFont="1" applyFill="1" applyBorder="1"/>
    <xf numFmtId="218" fontId="1" fillId="0" borderId="0" xfId="20535" applyNumberFormat="1" applyFont="1" applyBorder="1"/>
    <xf numFmtId="172" fontId="1" fillId="0" borderId="0" xfId="20535" applyNumberFormat="1" applyFont="1"/>
    <xf numFmtId="42" fontId="31" fillId="146" borderId="184" xfId="20531" applyNumberFormat="1" applyFont="1" applyFill="1" applyBorder="1"/>
    <xf numFmtId="42" fontId="45" fillId="3" borderId="184" xfId="20531" applyNumberFormat="1" applyFont="1" applyFill="1" applyBorder="1"/>
    <xf numFmtId="42" fontId="27" fillId="3" borderId="184" xfId="20531" applyNumberFormat="1" applyFont="1" applyFill="1" applyBorder="1"/>
    <xf numFmtId="172" fontId="31" fillId="146" borderId="184" xfId="64" applyNumberFormat="1" applyFont="1" applyFill="1" applyBorder="1"/>
    <xf numFmtId="172" fontId="1" fillId="3" borderId="184" xfId="20535" applyNumberFormat="1" applyFont="1" applyFill="1" applyBorder="1"/>
    <xf numFmtId="42" fontId="31" fillId="146" borderId="184" xfId="20541" applyNumberFormat="1" applyFont="1" applyFill="1" applyBorder="1"/>
    <xf numFmtId="42" fontId="1" fillId="3" borderId="184" xfId="20531" applyNumberFormat="1" applyFont="1" applyFill="1" applyBorder="1"/>
    <xf numFmtId="6" fontId="31" fillId="146" borderId="184" xfId="20531" applyNumberFormat="1" applyFont="1" applyFill="1" applyBorder="1"/>
    <xf numFmtId="42" fontId="45" fillId="150" borderId="184" xfId="20531" applyNumberFormat="1" applyFont="1" applyFill="1" applyBorder="1"/>
    <xf numFmtId="172" fontId="31" fillId="143" borderId="184" xfId="64" applyNumberFormat="1" applyFont="1" applyFill="1" applyBorder="1"/>
    <xf numFmtId="43" fontId="31" fillId="143" borderId="184" xfId="20535" applyFont="1" applyFill="1" applyBorder="1"/>
    <xf numFmtId="172" fontId="1" fillId="143" borderId="184" xfId="20535" applyNumberFormat="1" applyFont="1" applyFill="1" applyBorder="1"/>
    <xf numFmtId="43" fontId="45" fillId="160" borderId="184" xfId="20535" applyFont="1" applyFill="1" applyBorder="1"/>
    <xf numFmtId="172" fontId="45" fillId="160" borderId="184" xfId="20535" applyNumberFormat="1" applyFont="1" applyFill="1" applyBorder="1"/>
    <xf numFmtId="6" fontId="22" fillId="0" borderId="0" xfId="20532" applyNumberFormat="1" applyFont="1"/>
    <xf numFmtId="6" fontId="22" fillId="0" borderId="0" xfId="20532" applyNumberFormat="1" applyFont="1" applyAlignment="1">
      <alignment horizontal="right"/>
    </xf>
    <xf numFmtId="43" fontId="1" fillId="0" borderId="0" xfId="64" applyFont="1"/>
    <xf numFmtId="0" fontId="1" fillId="0" borderId="0" xfId="0" applyFont="1" applyAlignment="1">
      <alignment horizontal="right"/>
    </xf>
    <xf numFmtId="172" fontId="27" fillId="0" borderId="0" xfId="64" applyNumberFormat="1" applyFont="1"/>
    <xf numFmtId="17" fontId="174" fillId="0" borderId="0" xfId="20557" applyNumberFormat="1" applyFont="1"/>
    <xf numFmtId="0" fontId="27" fillId="0" borderId="0" xfId="20557" applyFont="1" applyAlignment="1">
      <alignment wrapText="1"/>
    </xf>
    <xf numFmtId="0" fontId="174" fillId="74" borderId="101" xfId="20557" applyFont="1" applyFill="1" applyBorder="1" applyAlignment="1">
      <alignment vertical="center"/>
    </xf>
    <xf numFmtId="0" fontId="174" fillId="74" borderId="73" xfId="20557" applyFont="1" applyFill="1" applyBorder="1" applyAlignment="1">
      <alignment vertical="center"/>
    </xf>
    <xf numFmtId="0" fontId="174" fillId="74" borderId="102" xfId="20557" applyFont="1" applyFill="1" applyBorder="1" applyAlignment="1">
      <alignment vertical="center"/>
    </xf>
    <xf numFmtId="0" fontId="174" fillId="3" borderId="101" xfId="20558" applyFont="1" applyFill="1" applyBorder="1" applyAlignment="1">
      <alignment horizontal="center" wrapText="1"/>
    </xf>
    <xf numFmtId="0" fontId="174" fillId="3" borderId="73" xfId="20558" applyFont="1" applyFill="1" applyBorder="1" applyAlignment="1">
      <alignment horizontal="center" wrapText="1"/>
    </xf>
    <xf numFmtId="0" fontId="174" fillId="3" borderId="115" xfId="20559" applyFont="1" applyFill="1" applyBorder="1" applyAlignment="1">
      <alignment horizontal="left"/>
    </xf>
    <xf numFmtId="0" fontId="174" fillId="3" borderId="7" xfId="20558" applyFont="1" applyFill="1" applyBorder="1" applyAlignment="1">
      <alignment horizontal="center" wrapText="1"/>
    </xf>
    <xf numFmtId="0" fontId="174" fillId="3" borderId="118" xfId="20558" applyFont="1" applyFill="1" applyBorder="1" applyAlignment="1" applyProtection="1">
      <alignment horizontal="center" wrapText="1"/>
      <protection locked="0"/>
    </xf>
    <xf numFmtId="168" fontId="174" fillId="3" borderId="95" xfId="17592" applyNumberFormat="1" applyFont="1" applyFill="1" applyBorder="1" applyAlignment="1" applyProtection="1">
      <alignment horizontal="center" wrapText="1"/>
      <protection locked="0"/>
    </xf>
    <xf numFmtId="0" fontId="174" fillId="3" borderId="95" xfId="20557" applyFont="1" applyFill="1" applyBorder="1" applyAlignment="1">
      <alignment horizontal="center" wrapText="1"/>
    </xf>
    <xf numFmtId="0" fontId="27" fillId="0" borderId="118" xfId="20557" applyFont="1" applyBorder="1" applyAlignment="1">
      <alignment horizontal="center"/>
    </xf>
    <xf numFmtId="0" fontId="174" fillId="0" borderId="0" xfId="20558" applyFont="1" applyProtection="1">
      <protection locked="0"/>
    </xf>
    <xf numFmtId="0" fontId="174" fillId="0" borderId="119" xfId="20558" applyFont="1" applyBorder="1" applyProtection="1">
      <protection locked="0"/>
    </xf>
    <xf numFmtId="0" fontId="174" fillId="0" borderId="151" xfId="20558" applyFont="1" applyBorder="1" applyProtection="1">
      <protection locked="0"/>
    </xf>
    <xf numFmtId="0" fontId="174" fillId="0" borderId="146" xfId="20558" applyFont="1" applyBorder="1" applyProtection="1">
      <protection locked="0"/>
    </xf>
    <xf numFmtId="168" fontId="174" fillId="0" borderId="151" xfId="17592" applyNumberFormat="1" applyFont="1" applyBorder="1" applyProtection="1">
      <protection locked="0"/>
    </xf>
    <xf numFmtId="0" fontId="174" fillId="0" borderId="0" xfId="20559" applyFont="1" applyAlignment="1">
      <alignment horizontal="left"/>
    </xf>
    <xf numFmtId="0" fontId="174" fillId="0" borderId="118" xfId="20559" applyFont="1" applyBorder="1" applyAlignment="1">
      <alignment horizontal="left"/>
    </xf>
    <xf numFmtId="0" fontId="174" fillId="0" borderId="117" xfId="20559" applyFont="1" applyBorder="1" applyAlignment="1">
      <alignment horizontal="left"/>
    </xf>
    <xf numFmtId="168" fontId="174" fillId="0" borderId="0" xfId="17592" applyNumberFormat="1" applyFont="1"/>
    <xf numFmtId="0" fontId="174" fillId="0" borderId="0" xfId="20559" applyFont="1" applyAlignment="1">
      <alignment horizontal="left" vertical="center"/>
    </xf>
    <xf numFmtId="0" fontId="174" fillId="0" borderId="117" xfId="20559" applyFont="1" applyBorder="1" applyAlignment="1">
      <alignment horizontal="left" vertical="center"/>
    </xf>
    <xf numFmtId="42" fontId="174" fillId="0" borderId="118" xfId="20559" applyNumberFormat="1" applyFont="1" applyBorder="1" applyAlignment="1">
      <alignment horizontal="right"/>
    </xf>
    <xf numFmtId="42" fontId="174" fillId="0" borderId="0" xfId="20559" applyNumberFormat="1" applyFont="1" applyAlignment="1">
      <alignment horizontal="right"/>
    </xf>
    <xf numFmtId="42" fontId="174" fillId="0" borderId="117" xfId="20559" applyNumberFormat="1" applyFont="1" applyBorder="1" applyAlignment="1">
      <alignment horizontal="right"/>
    </xf>
    <xf numFmtId="0" fontId="174" fillId="0" borderId="0" xfId="20559" applyFont="1" applyAlignment="1">
      <alignment horizontal="right" vertical="center"/>
    </xf>
    <xf numFmtId="0" fontId="174" fillId="0" borderId="117" xfId="20559" applyFont="1" applyBorder="1" applyAlignment="1">
      <alignment horizontal="right" vertical="center"/>
    </xf>
    <xf numFmtId="0" fontId="174" fillId="0" borderId="0" xfId="20557" applyFont="1"/>
    <xf numFmtId="42" fontId="174" fillId="0" borderId="118" xfId="20559" applyNumberFormat="1" applyFont="1" applyBorder="1"/>
    <xf numFmtId="42" fontId="174" fillId="0" borderId="0" xfId="20559" applyNumberFormat="1" applyFont="1"/>
    <xf numFmtId="42" fontId="174" fillId="0" borderId="117" xfId="20559" applyNumberFormat="1" applyFont="1" applyBorder="1"/>
    <xf numFmtId="42" fontId="174" fillId="0" borderId="0" xfId="20559" applyNumberFormat="1" applyFont="1" applyAlignment="1">
      <alignment horizontal="center" vertical="center"/>
    </xf>
    <xf numFmtId="42" fontId="174" fillId="0" borderId="117" xfId="20559" applyNumberFormat="1" applyFont="1" applyBorder="1" applyAlignment="1">
      <alignment horizontal="center" vertical="center"/>
    </xf>
    <xf numFmtId="0" fontId="1" fillId="0" borderId="0" xfId="0" applyFont="1" applyAlignment="1">
      <alignment vertical="center"/>
    </xf>
    <xf numFmtId="0" fontId="27" fillId="0" borderId="118" xfId="20557" applyFont="1" applyBorder="1" applyAlignment="1">
      <alignment horizontal="center" vertical="center"/>
    </xf>
    <xf numFmtId="0" fontId="174" fillId="0" borderId="0" xfId="20557" applyFont="1" applyAlignment="1">
      <alignment vertical="center"/>
    </xf>
    <xf numFmtId="0" fontId="27" fillId="0" borderId="0" xfId="20557" applyFont="1" applyAlignment="1">
      <alignment vertical="center"/>
    </xf>
    <xf numFmtId="42" fontId="138" fillId="3" borderId="118" xfId="20559" applyNumberFormat="1" applyFont="1" applyFill="1" applyBorder="1"/>
    <xf numFmtId="0" fontId="138" fillId="143" borderId="0" xfId="0" applyFont="1" applyFill="1" applyAlignment="1">
      <alignment vertical="center"/>
    </xf>
    <xf numFmtId="42" fontId="138" fillId="3" borderId="117" xfId="20559" applyNumberFormat="1" applyFont="1" applyFill="1" applyBorder="1" applyAlignment="1">
      <alignment vertical="center"/>
    </xf>
    <xf numFmtId="9" fontId="185" fillId="3" borderId="0" xfId="17592" applyNumberFormat="1" applyFont="1" applyFill="1" applyAlignment="1">
      <alignment horizontal="center" vertical="center"/>
    </xf>
    <xf numFmtId="9" fontId="185" fillId="3" borderId="0" xfId="20560" applyNumberFormat="1" applyFont="1" applyFill="1" applyBorder="1" applyAlignment="1">
      <alignment horizontal="center" vertical="center"/>
    </xf>
    <xf numFmtId="9" fontId="185" fillId="3" borderId="117" xfId="20560" applyNumberFormat="1" applyFont="1" applyFill="1" applyBorder="1" applyAlignment="1">
      <alignment horizontal="center" vertical="center"/>
    </xf>
    <xf numFmtId="0" fontId="1" fillId="143" borderId="0" xfId="0" applyFont="1" applyFill="1" applyAlignment="1">
      <alignment vertical="center"/>
    </xf>
    <xf numFmtId="42" fontId="27" fillId="3" borderId="117" xfId="20559" applyNumberFormat="1" applyFont="1" applyFill="1" applyBorder="1" applyAlignment="1">
      <alignment vertical="center"/>
    </xf>
    <xf numFmtId="9" fontId="174" fillId="3" borderId="0" xfId="17592" applyNumberFormat="1" applyFont="1" applyFill="1" applyAlignment="1">
      <alignment horizontal="center" vertical="center"/>
    </xf>
    <xf numFmtId="9" fontId="174" fillId="3" borderId="0" xfId="20560" applyNumberFormat="1" applyFont="1" applyFill="1" applyBorder="1" applyAlignment="1">
      <alignment horizontal="center" vertical="center"/>
    </xf>
    <xf numFmtId="9" fontId="174" fillId="3" borderId="117" xfId="20560" applyNumberFormat="1" applyFont="1" applyFill="1" applyBorder="1" applyAlignment="1">
      <alignment horizontal="center" vertical="center"/>
    </xf>
    <xf numFmtId="42" fontId="31" fillId="146" borderId="118" xfId="20559" applyNumberFormat="1" applyFont="1" applyFill="1" applyBorder="1"/>
    <xf numFmtId="42" fontId="27" fillId="3" borderId="0" xfId="20559" applyNumberFormat="1" applyFont="1" applyFill="1"/>
    <xf numFmtId="42" fontId="27" fillId="3" borderId="117" xfId="20559" applyNumberFormat="1" applyFont="1" applyFill="1" applyBorder="1"/>
    <xf numFmtId="42" fontId="27" fillId="3" borderId="118" xfId="20559" applyNumberFormat="1" applyFont="1" applyFill="1" applyBorder="1"/>
    <xf numFmtId="9" fontId="174" fillId="143" borderId="0" xfId="17592" applyNumberFormat="1" applyFont="1" applyFill="1"/>
    <xf numFmtId="9" fontId="174" fillId="143" borderId="0" xfId="20560" applyNumberFormat="1" applyFont="1" applyFill="1" applyBorder="1" applyAlignment="1">
      <alignment horizontal="center" vertical="center"/>
    </xf>
    <xf numFmtId="9" fontId="174" fillId="143" borderId="117" xfId="20560" applyNumberFormat="1" applyFont="1" applyFill="1" applyBorder="1" applyAlignment="1">
      <alignment horizontal="center" vertical="center"/>
    </xf>
    <xf numFmtId="42" fontId="27" fillId="0" borderId="0" xfId="20559" applyNumberFormat="1" applyFont="1"/>
    <xf numFmtId="42" fontId="27" fillId="0" borderId="117" xfId="20559" applyNumberFormat="1" applyFont="1" applyBorder="1"/>
    <xf numFmtId="168" fontId="27" fillId="0" borderId="0" xfId="17592" applyNumberFormat="1" applyFont="1"/>
    <xf numFmtId="42" fontId="27" fillId="0" borderId="0" xfId="20559" applyNumberFormat="1" applyFont="1" applyAlignment="1">
      <alignment horizontal="center" vertical="center"/>
    </xf>
    <xf numFmtId="42" fontId="27" fillId="0" borderId="117" xfId="20559" applyNumberFormat="1" applyFont="1" applyBorder="1" applyAlignment="1">
      <alignment horizontal="center" vertical="center"/>
    </xf>
    <xf numFmtId="9" fontId="27" fillId="0" borderId="0" xfId="17592" applyNumberFormat="1" applyFont="1"/>
    <xf numFmtId="9" fontId="27" fillId="0" borderId="0" xfId="20559" applyNumberFormat="1" applyFont="1" applyAlignment="1">
      <alignment horizontal="center" vertical="center"/>
    </xf>
    <xf numFmtId="9" fontId="27" fillId="0" borderId="117" xfId="20559" applyNumberFormat="1" applyFont="1" applyBorder="1" applyAlignment="1">
      <alignment horizontal="center" vertical="center"/>
    </xf>
    <xf numFmtId="9" fontId="174" fillId="0" borderId="0" xfId="17592" applyNumberFormat="1" applyFont="1"/>
    <xf numFmtId="9" fontId="174" fillId="0" borderId="0" xfId="20559" applyNumberFormat="1" applyFont="1" applyAlignment="1">
      <alignment horizontal="center" vertical="center"/>
    </xf>
    <xf numFmtId="9" fontId="174" fillId="0" borderId="117" xfId="20559" applyNumberFormat="1" applyFont="1" applyBorder="1" applyAlignment="1">
      <alignment horizontal="center" vertical="center"/>
    </xf>
    <xf numFmtId="0" fontId="27" fillId="0" borderId="0" xfId="20559" applyFont="1" applyAlignment="1">
      <alignment horizontal="left"/>
    </xf>
    <xf numFmtId="0" fontId="1" fillId="143" borderId="0" xfId="0" applyFont="1" applyFill="1"/>
    <xf numFmtId="9" fontId="27" fillId="143" borderId="0" xfId="20559" applyNumberFormat="1" applyFont="1" applyFill="1" applyAlignment="1">
      <alignment horizontal="center" vertical="center"/>
    </xf>
    <xf numFmtId="9" fontId="27" fillId="143" borderId="117" xfId="20559" applyNumberFormat="1" applyFont="1" applyFill="1" applyBorder="1" applyAlignment="1">
      <alignment horizontal="center" vertical="center"/>
    </xf>
    <xf numFmtId="42" fontId="27" fillId="0" borderId="118" xfId="20559" applyNumberFormat="1" applyFont="1" applyBorder="1"/>
    <xf numFmtId="0" fontId="27" fillId="0" borderId="0" xfId="20557" applyFont="1" applyAlignment="1">
      <alignment horizontal="left" wrapText="1"/>
    </xf>
    <xf numFmtId="42" fontId="27" fillId="0" borderId="0" xfId="20559" applyNumberFormat="1" applyFont="1" applyAlignment="1">
      <alignment horizontal="center"/>
    </xf>
    <xf numFmtId="42" fontId="174" fillId="3" borderId="118" xfId="20559" applyNumberFormat="1" applyFont="1" applyFill="1" applyBorder="1"/>
    <xf numFmtId="168" fontId="27" fillId="143" borderId="0" xfId="17592" applyNumberFormat="1" applyFont="1" applyFill="1"/>
    <xf numFmtId="42" fontId="27" fillId="143" borderId="0" xfId="20559" applyNumberFormat="1" applyFont="1" applyFill="1" applyAlignment="1">
      <alignment horizontal="center" vertical="center"/>
    </xf>
    <xf numFmtId="42" fontId="27" fillId="143" borderId="117" xfId="20559" applyNumberFormat="1" applyFont="1" applyFill="1" applyBorder="1" applyAlignment="1">
      <alignment horizontal="center" vertical="center"/>
    </xf>
    <xf numFmtId="9" fontId="27" fillId="143" borderId="0" xfId="17592" applyNumberFormat="1" applyFont="1" applyFill="1"/>
    <xf numFmtId="42" fontId="27" fillId="143" borderId="0" xfId="20559" applyNumberFormat="1" applyFont="1" applyFill="1"/>
    <xf numFmtId="9" fontId="174" fillId="3" borderId="117" xfId="17592" applyNumberFormat="1" applyFont="1" applyFill="1" applyBorder="1" applyAlignment="1">
      <alignment horizontal="center" vertical="center"/>
    </xf>
    <xf numFmtId="0" fontId="174" fillId="0" borderId="0" xfId="20558" applyFont="1" applyAlignment="1">
      <alignment horizontal="left" vertical="top" wrapText="1"/>
    </xf>
    <xf numFmtId="9" fontId="174" fillId="143" borderId="0" xfId="17592" applyNumberFormat="1" applyFont="1" applyFill="1" applyAlignment="1">
      <alignment horizontal="center" vertical="center"/>
    </xf>
    <xf numFmtId="9" fontId="174" fillId="143" borderId="117" xfId="17592" applyNumberFormat="1" applyFont="1" applyFill="1" applyBorder="1" applyAlignment="1">
      <alignment horizontal="center" vertical="center"/>
    </xf>
    <xf numFmtId="42" fontId="174" fillId="3" borderId="0" xfId="20559" applyNumberFormat="1" applyFont="1" applyFill="1"/>
    <xf numFmtId="166" fontId="174" fillId="3" borderId="117" xfId="7" applyNumberFormat="1" applyFont="1" applyFill="1" applyBorder="1" applyAlignment="1"/>
    <xf numFmtId="9" fontId="174" fillId="143" borderId="0" xfId="20559" applyNumberFormat="1" applyFont="1" applyFill="1" applyAlignment="1">
      <alignment horizontal="center" vertical="center"/>
    </xf>
    <xf numFmtId="9" fontId="174" fillId="143" borderId="117" xfId="20559" applyNumberFormat="1" applyFont="1" applyFill="1" applyBorder="1" applyAlignment="1">
      <alignment horizontal="center" vertical="center"/>
    </xf>
    <xf numFmtId="0" fontId="174" fillId="0" borderId="0" xfId="20557" applyFont="1" applyAlignment="1">
      <alignment horizontal="left" wrapText="1"/>
    </xf>
    <xf numFmtId="166" fontId="174" fillId="0" borderId="117" xfId="7" applyNumberFormat="1" applyFont="1" applyFill="1" applyBorder="1" applyAlignment="1"/>
    <xf numFmtId="0" fontId="27" fillId="0" borderId="119" xfId="20557" applyFont="1" applyBorder="1" applyAlignment="1">
      <alignment horizontal="center"/>
    </xf>
    <xf numFmtId="0" fontId="27" fillId="0" borderId="151" xfId="20557" applyFont="1" applyBorder="1"/>
    <xf numFmtId="0" fontId="174" fillId="0" borderId="151" xfId="20559" applyFont="1" applyBorder="1" applyAlignment="1">
      <alignment horizontal="left" indent="1"/>
    </xf>
    <xf numFmtId="42" fontId="174" fillId="0" borderId="151" xfId="20559" applyNumberFormat="1" applyFont="1" applyBorder="1"/>
    <xf numFmtId="42" fontId="174" fillId="0" borderId="134" xfId="20559" applyNumberFormat="1" applyFont="1" applyBorder="1"/>
    <xf numFmtId="168" fontId="174" fillId="0" borderId="151" xfId="17592" applyNumberFormat="1" applyFont="1" applyBorder="1"/>
    <xf numFmtId="42" fontId="174" fillId="0" borderId="151" xfId="20559" applyNumberFormat="1" applyFont="1" applyBorder="1" applyAlignment="1">
      <alignment horizontal="center" vertical="center"/>
    </xf>
    <xf numFmtId="42" fontId="174" fillId="0" borderId="146" xfId="20559" applyNumberFormat="1" applyFont="1" applyBorder="1" applyAlignment="1">
      <alignment horizontal="center" vertical="center"/>
    </xf>
    <xf numFmtId="9" fontId="174" fillId="0" borderId="151" xfId="17592" applyNumberFormat="1" applyFont="1" applyBorder="1"/>
    <xf numFmtId="9" fontId="174" fillId="0" borderId="151" xfId="20559" applyNumberFormat="1" applyFont="1" applyBorder="1" applyAlignment="1">
      <alignment horizontal="center" vertical="center"/>
    </xf>
    <xf numFmtId="9" fontId="174" fillId="0" borderId="146" xfId="20559" applyNumberFormat="1" applyFont="1" applyBorder="1" applyAlignment="1">
      <alignment horizontal="center" vertical="center"/>
    </xf>
    <xf numFmtId="42" fontId="174" fillId="143" borderId="0" xfId="20559" applyNumberFormat="1" applyFont="1" applyFill="1"/>
    <xf numFmtId="44" fontId="174" fillId="0" borderId="0" xfId="17842" applyNumberFormat="1" applyFont="1" applyFill="1" applyBorder="1" applyAlignment="1">
      <alignment horizontal="center"/>
    </xf>
    <xf numFmtId="9" fontId="174" fillId="0" borderId="0" xfId="17842" applyFont="1" applyFill="1" applyBorder="1" applyAlignment="1">
      <alignment horizontal="center"/>
    </xf>
    <xf numFmtId="0" fontId="174" fillId="0" borderId="0" xfId="20559" applyFont="1" applyAlignment="1">
      <alignment horizontal="left" indent="1"/>
    </xf>
    <xf numFmtId="42" fontId="174" fillId="0" borderId="10" xfId="20559" applyNumberFormat="1" applyFont="1" applyBorder="1"/>
    <xf numFmtId="42" fontId="174" fillId="143" borderId="0" xfId="20559" applyNumberFormat="1" applyFont="1" applyFill="1" applyAlignment="1">
      <alignment vertical="center"/>
    </xf>
    <xf numFmtId="42" fontId="174" fillId="3" borderId="0" xfId="20559" applyNumberFormat="1" applyFont="1" applyFill="1" applyAlignment="1">
      <alignment vertical="center"/>
    </xf>
    <xf numFmtId="42" fontId="174" fillId="143" borderId="10" xfId="20559" applyNumberFormat="1" applyFont="1" applyFill="1" applyBorder="1" applyAlignment="1">
      <alignment vertical="center"/>
    </xf>
    <xf numFmtId="9" fontId="174" fillId="3" borderId="0" xfId="17592" applyNumberFormat="1" applyFont="1" applyFill="1" applyAlignment="1">
      <alignment vertical="center"/>
    </xf>
    <xf numFmtId="42" fontId="174" fillId="3" borderId="0" xfId="20559" applyNumberFormat="1" applyFont="1" applyFill="1" applyAlignment="1">
      <alignment horizontal="center" vertical="center"/>
    </xf>
    <xf numFmtId="168" fontId="174" fillId="3" borderId="117" xfId="17592" applyNumberFormat="1" applyFont="1" applyFill="1" applyBorder="1" applyAlignment="1">
      <alignment horizontal="center" vertical="center"/>
    </xf>
    <xf numFmtId="9" fontId="174" fillId="3" borderId="0" xfId="20559" applyNumberFormat="1" applyFont="1" applyFill="1" applyAlignment="1">
      <alignment horizontal="center" vertical="center"/>
    </xf>
    <xf numFmtId="0" fontId="27" fillId="0" borderId="115" xfId="20557" applyFont="1" applyBorder="1" applyAlignment="1">
      <alignment horizontal="center"/>
    </xf>
    <xf numFmtId="0" fontId="27" fillId="0" borderId="6" xfId="20557" applyFont="1" applyBorder="1"/>
    <xf numFmtId="42" fontId="174" fillId="0" borderId="6" xfId="20559" applyNumberFormat="1" applyFont="1" applyBorder="1"/>
    <xf numFmtId="42" fontId="174" fillId="0" borderId="120" xfId="20559" applyNumberFormat="1" applyFont="1" applyBorder="1"/>
    <xf numFmtId="168" fontId="174" fillId="0" borderId="6" xfId="17592" applyNumberFormat="1" applyFont="1" applyBorder="1" applyAlignment="1">
      <alignment horizontal="center"/>
    </xf>
    <xf numFmtId="42" fontId="174" fillId="0" borderId="6" xfId="20559" applyNumberFormat="1" applyFont="1" applyBorder="1" applyAlignment="1">
      <alignment horizontal="center" vertical="center"/>
    </xf>
    <xf numFmtId="42" fontId="174" fillId="0" borderId="7" xfId="20559" applyNumberFormat="1" applyFont="1" applyBorder="1" applyAlignment="1">
      <alignment horizontal="center" vertical="center"/>
    </xf>
    <xf numFmtId="9" fontId="174" fillId="0" borderId="6" xfId="17592" applyNumberFormat="1" applyFont="1" applyBorder="1" applyAlignment="1">
      <alignment horizontal="center"/>
    </xf>
    <xf numFmtId="9" fontId="174" fillId="0" borderId="6" xfId="20559" applyNumberFormat="1" applyFont="1" applyBorder="1" applyAlignment="1">
      <alignment horizontal="center" vertical="center"/>
    </xf>
    <xf numFmtId="9" fontId="174" fillId="0" borderId="7" xfId="20559" applyNumberFormat="1" applyFont="1" applyBorder="1" applyAlignment="1">
      <alignment horizontal="center" vertical="center"/>
    </xf>
    <xf numFmtId="172" fontId="174" fillId="0" borderId="0" xfId="64" applyNumberFormat="1" applyFont="1"/>
    <xf numFmtId="42" fontId="174" fillId="0" borderId="0" xfId="20557" applyNumberFormat="1" applyFont="1"/>
    <xf numFmtId="9" fontId="174" fillId="0" borderId="0" xfId="20557" applyNumberFormat="1" applyFont="1"/>
    <xf numFmtId="9" fontId="27" fillId="0" borderId="0" xfId="20557" applyNumberFormat="1" applyFont="1"/>
    <xf numFmtId="0" fontId="174" fillId="0" borderId="158" xfId="20557" applyFont="1" applyBorder="1" applyAlignment="1">
      <alignment vertical="center"/>
    </xf>
    <xf numFmtId="0" fontId="27" fillId="0" borderId="159" xfId="20557" applyFont="1" applyBorder="1"/>
    <xf numFmtId="172" fontId="174" fillId="0" borderId="159" xfId="64" applyNumberFormat="1" applyFont="1" applyBorder="1"/>
    <xf numFmtId="42" fontId="174" fillId="0" borderId="159" xfId="20557" applyNumberFormat="1" applyFont="1" applyBorder="1"/>
    <xf numFmtId="9" fontId="174" fillId="0" borderId="159" xfId="20557" applyNumberFormat="1" applyFont="1" applyBorder="1"/>
    <xf numFmtId="9" fontId="27" fillId="0" borderId="159" xfId="20557" applyNumberFormat="1" applyFont="1" applyBorder="1"/>
    <xf numFmtId="9" fontId="27" fillId="0" borderId="160" xfId="20557" applyNumberFormat="1" applyFont="1" applyBorder="1"/>
    <xf numFmtId="0" fontId="27" fillId="0" borderId="154" xfId="20557" applyFont="1" applyBorder="1" applyAlignment="1">
      <alignment vertical="center"/>
    </xf>
    <xf numFmtId="168" fontId="185" fillId="3" borderId="0" xfId="20560" applyNumberFormat="1" applyFont="1" applyFill="1" applyBorder="1" applyAlignment="1">
      <alignment horizontal="center" vertical="center"/>
    </xf>
    <xf numFmtId="168" fontId="185" fillId="3" borderId="117" xfId="20560" applyNumberFormat="1" applyFont="1" applyFill="1" applyBorder="1" applyAlignment="1">
      <alignment horizontal="center" vertical="center"/>
    </xf>
    <xf numFmtId="9" fontId="174" fillId="3" borderId="155" xfId="20560" applyNumberFormat="1" applyFont="1" applyFill="1" applyBorder="1" applyAlignment="1">
      <alignment horizontal="center" vertical="center"/>
    </xf>
    <xf numFmtId="42" fontId="185" fillId="143" borderId="215" xfId="20559" applyNumberFormat="1" applyFont="1" applyFill="1" applyBorder="1"/>
    <xf numFmtId="42" fontId="138" fillId="3" borderId="216" xfId="20559" applyNumberFormat="1" applyFont="1" applyFill="1" applyBorder="1" applyAlignment="1">
      <alignment vertical="center"/>
    </xf>
    <xf numFmtId="44" fontId="185" fillId="0" borderId="215" xfId="17842" applyNumberFormat="1" applyFont="1" applyFill="1" applyBorder="1" applyAlignment="1">
      <alignment horizontal="center"/>
    </xf>
    <xf numFmtId="42" fontId="185" fillId="0" borderId="215" xfId="20559" applyNumberFormat="1" applyFont="1" applyBorder="1" applyAlignment="1">
      <alignment horizontal="center" vertical="center"/>
    </xf>
    <xf numFmtId="42" fontId="185" fillId="0" borderId="216" xfId="20559" applyNumberFormat="1" applyFont="1" applyBorder="1" applyAlignment="1">
      <alignment horizontal="center" vertical="center"/>
    </xf>
    <xf numFmtId="9" fontId="185" fillId="0" borderId="215" xfId="17842" applyFont="1" applyFill="1" applyBorder="1" applyAlignment="1">
      <alignment horizontal="center"/>
    </xf>
    <xf numFmtId="9" fontId="185" fillId="0" borderId="215" xfId="20559" applyNumberFormat="1" applyFont="1" applyBorder="1" applyAlignment="1">
      <alignment horizontal="center" vertical="center"/>
    </xf>
    <xf numFmtId="9" fontId="185" fillId="0" borderId="216" xfId="20559" applyNumberFormat="1" applyFont="1" applyBorder="1" applyAlignment="1">
      <alignment horizontal="center" vertical="center"/>
    </xf>
    <xf numFmtId="9" fontId="174" fillId="0" borderId="215" xfId="17842" applyFont="1" applyFill="1" applyBorder="1" applyAlignment="1">
      <alignment horizontal="center"/>
    </xf>
    <xf numFmtId="9" fontId="174" fillId="0" borderId="215" xfId="20559" applyNumberFormat="1" applyFont="1" applyBorder="1" applyAlignment="1">
      <alignment horizontal="center" vertical="center"/>
    </xf>
    <xf numFmtId="9" fontId="174" fillId="0" borderId="217" xfId="20559" applyNumberFormat="1" applyFont="1" applyBorder="1" applyAlignment="1">
      <alignment horizontal="center" vertical="center"/>
    </xf>
    <xf numFmtId="0" fontId="27" fillId="0" borderId="0" xfId="20561" applyFont="1"/>
    <xf numFmtId="0" fontId="174" fillId="0" borderId="0" xfId="20558" applyFont="1" applyAlignment="1" applyProtection="1">
      <alignment horizontal="left"/>
      <protection locked="0"/>
    </xf>
    <xf numFmtId="166" fontId="174" fillId="0" borderId="0" xfId="20558" applyNumberFormat="1" applyFont="1" applyAlignment="1" applyProtection="1">
      <alignment horizontal="left"/>
      <protection locked="0"/>
    </xf>
    <xf numFmtId="0" fontId="27" fillId="0" borderId="0" xfId="20561" applyFont="1" applyAlignment="1">
      <alignment wrapText="1"/>
    </xf>
    <xf numFmtId="0" fontId="27" fillId="0" borderId="0" xfId="20561" applyFont="1" applyAlignment="1">
      <alignment vertical="top" wrapText="1"/>
    </xf>
    <xf numFmtId="0" fontId="138" fillId="0" borderId="0" xfId="20561" applyFont="1" applyAlignment="1">
      <alignment vertical="top" wrapText="1"/>
    </xf>
    <xf numFmtId="172" fontId="27" fillId="3" borderId="121" xfId="20565" applyNumberFormat="1" applyFont="1" applyFill="1" applyBorder="1" applyAlignment="1">
      <alignment horizontal="right"/>
    </xf>
    <xf numFmtId="209" fontId="1" fillId="0" borderId="0" xfId="20564" applyNumberFormat="1" applyFont="1"/>
    <xf numFmtId="172" fontId="1" fillId="0" borderId="0" xfId="20565" applyNumberFormat="1" applyFont="1"/>
    <xf numFmtId="172" fontId="174" fillId="3" borderId="121" xfId="20565" applyNumberFormat="1" applyFont="1" applyFill="1" applyBorder="1" applyAlignment="1">
      <alignment horizontal="right"/>
    </xf>
    <xf numFmtId="172" fontId="45" fillId="3" borderId="121" xfId="20565" applyNumberFormat="1" applyFont="1" applyFill="1" applyBorder="1" applyAlignment="1">
      <alignment horizontal="right"/>
    </xf>
    <xf numFmtId="172" fontId="1" fillId="0" borderId="0" xfId="20565" applyNumberFormat="1" applyFont="1" applyBorder="1"/>
    <xf numFmtId="166" fontId="1" fillId="0" borderId="0" xfId="20564" applyNumberFormat="1" applyFont="1" applyFill="1"/>
    <xf numFmtId="172" fontId="174" fillId="3" borderId="113" xfId="20565" applyNumberFormat="1" applyFont="1" applyFill="1" applyBorder="1" applyAlignment="1">
      <alignment horizontal="right"/>
    </xf>
    <xf numFmtId="5" fontId="1" fillId="143" borderId="112" xfId="20554" applyNumberFormat="1" applyFont="1" applyFill="1" applyBorder="1" applyAlignment="1">
      <alignment horizontal="right"/>
    </xf>
    <xf numFmtId="172" fontId="31" fillId="146" borderId="123" xfId="20565" applyNumberFormat="1" applyFont="1" applyFill="1" applyBorder="1" applyAlignment="1">
      <alignment horizontal="right"/>
    </xf>
    <xf numFmtId="172" fontId="31" fillId="146" borderId="214" xfId="20565" applyNumberFormat="1" applyFont="1" applyFill="1" applyBorder="1" applyAlignment="1">
      <alignment horizontal="right"/>
    </xf>
    <xf numFmtId="168" fontId="1" fillId="3" borderId="124" xfId="58" applyNumberFormat="1" applyFont="1" applyFill="1" applyBorder="1" applyAlignment="1">
      <alignment horizontal="right"/>
    </xf>
    <xf numFmtId="168" fontId="1" fillId="3" borderId="121" xfId="58" applyNumberFormat="1" applyFont="1" applyFill="1" applyBorder="1" applyAlignment="1">
      <alignment horizontal="right"/>
    </xf>
    <xf numFmtId="168" fontId="1" fillId="3" borderId="112" xfId="58" applyNumberFormat="1" applyFont="1" applyFill="1" applyBorder="1" applyAlignment="1">
      <alignment horizontal="right"/>
    </xf>
    <xf numFmtId="166" fontId="1" fillId="0" borderId="0" xfId="20564" applyNumberFormat="1" applyFont="1" applyBorder="1"/>
    <xf numFmtId="0" fontId="138" fillId="0" borderId="121" xfId="0" applyFont="1" applyBorder="1" applyAlignment="1">
      <alignment horizontal="left" indent="2"/>
    </xf>
    <xf numFmtId="0" fontId="1" fillId="0" borderId="121" xfId="0" applyFont="1" applyBorder="1" applyAlignment="1">
      <alignment horizontal="left" indent="2"/>
    </xf>
    <xf numFmtId="166" fontId="1" fillId="0" borderId="0" xfId="20564" applyNumberFormat="1" applyFont="1" applyFill="1" applyBorder="1"/>
    <xf numFmtId="0" fontId="27" fillId="156" borderId="184" xfId="0" applyFont="1" applyFill="1" applyBorder="1"/>
    <xf numFmtId="0" fontId="1" fillId="2" borderId="0" xfId="0" applyFont="1" applyFill="1" applyAlignment="1">
      <alignment vertical="center"/>
    </xf>
    <xf numFmtId="0" fontId="27" fillId="156" borderId="2" xfId="0" applyFont="1" applyFill="1" applyBorder="1"/>
    <xf numFmtId="0" fontId="1" fillId="2" borderId="0" xfId="0" applyFont="1" applyFill="1" applyAlignment="1">
      <alignment horizontal="center" vertical="center"/>
    </xf>
    <xf numFmtId="0" fontId="1" fillId="2" borderId="0" xfId="0" applyFont="1" applyFill="1"/>
    <xf numFmtId="0" fontId="184" fillId="0" borderId="0" xfId="0" applyFont="1"/>
    <xf numFmtId="0" fontId="138" fillId="0" borderId="182" xfId="0" applyFont="1" applyBorder="1" applyAlignment="1">
      <alignment wrapText="1"/>
    </xf>
    <xf numFmtId="0" fontId="138" fillId="0" borderId="210" xfId="0" applyFont="1" applyBorder="1" applyAlignment="1">
      <alignment wrapText="1"/>
    </xf>
    <xf numFmtId="0" fontId="138" fillId="0" borderId="93" xfId="0" applyFont="1" applyBorder="1" applyAlignment="1">
      <alignment wrapText="1"/>
    </xf>
    <xf numFmtId="0" fontId="138" fillId="0" borderId="117" xfId="0" applyFont="1" applyBorder="1" applyAlignment="1">
      <alignment wrapText="1"/>
    </xf>
    <xf numFmtId="0" fontId="1" fillId="2" borderId="151" xfId="0" applyFont="1" applyFill="1" applyBorder="1"/>
    <xf numFmtId="0" fontId="174" fillId="156" borderId="131" xfId="0" applyFont="1" applyFill="1" applyBorder="1" applyAlignment="1">
      <alignment horizontal="center" wrapText="1"/>
    </xf>
    <xf numFmtId="0" fontId="174" fillId="156" borderId="120" xfId="0" applyFont="1" applyFill="1" applyBorder="1" applyAlignment="1">
      <alignment horizontal="center" wrapText="1"/>
    </xf>
    <xf numFmtId="0" fontId="174" fillId="156" borderId="7" xfId="0" applyFont="1" applyFill="1" applyBorder="1" applyAlignment="1">
      <alignment horizontal="center" wrapText="1"/>
    </xf>
    <xf numFmtId="0" fontId="185" fillId="156" borderId="120" xfId="0" applyFont="1" applyFill="1" applyBorder="1" applyAlignment="1">
      <alignment horizontal="center" wrapText="1"/>
    </xf>
    <xf numFmtId="0" fontId="185" fillId="156" borderId="7" xfId="0" applyFont="1" applyFill="1" applyBorder="1" applyAlignment="1">
      <alignment horizontal="center" wrapText="1"/>
    </xf>
    <xf numFmtId="0" fontId="185" fillId="156" borderId="10" xfId="0" applyFont="1" applyFill="1" applyBorder="1" applyAlignment="1">
      <alignment horizontal="center" wrapText="1"/>
    </xf>
    <xf numFmtId="0" fontId="174" fillId="156" borderId="10" xfId="0" applyFont="1" applyFill="1" applyBorder="1" applyAlignment="1">
      <alignment horizontal="center" wrapText="1"/>
    </xf>
    <xf numFmtId="0" fontId="185" fillId="156" borderId="117" xfId="0" applyFont="1" applyFill="1" applyBorder="1" applyAlignment="1">
      <alignment horizontal="center" wrapText="1"/>
    </xf>
    <xf numFmtId="0" fontId="185" fillId="156" borderId="6" xfId="0" applyFont="1" applyFill="1" applyBorder="1" applyAlignment="1">
      <alignment horizontal="center" wrapText="1"/>
    </xf>
    <xf numFmtId="0" fontId="185" fillId="156" borderId="167" xfId="0" applyFont="1" applyFill="1" applyBorder="1" applyAlignment="1">
      <alignment horizontal="center" wrapText="1"/>
    </xf>
    <xf numFmtId="0" fontId="174" fillId="156" borderId="168" xfId="0" applyFont="1" applyFill="1" applyBorder="1" applyAlignment="1">
      <alignment horizontal="center" wrapText="1"/>
    </xf>
    <xf numFmtId="0" fontId="185" fillId="156" borderId="169" xfId="0" applyFont="1" applyFill="1" applyBorder="1" applyAlignment="1">
      <alignment horizontal="center" wrapText="1"/>
    </xf>
    <xf numFmtId="0" fontId="185" fillId="0" borderId="0" xfId="0" applyFont="1"/>
    <xf numFmtId="0" fontId="45" fillId="2" borderId="0" xfId="0" applyFont="1" applyFill="1" applyAlignment="1">
      <alignment horizontal="center"/>
    </xf>
    <xf numFmtId="0" fontId="27" fillId="155" borderId="152" xfId="0" applyFont="1" applyFill="1" applyBorder="1" applyAlignment="1">
      <alignment wrapText="1"/>
    </xf>
    <xf numFmtId="10" fontId="27" fillId="154" borderId="4" xfId="0" applyNumberFormat="1" applyFont="1" applyFill="1" applyBorder="1"/>
    <xf numFmtId="0" fontId="27" fillId="155" borderId="7" xfId="0" applyFont="1" applyFill="1" applyBorder="1" applyAlignment="1">
      <alignment wrapText="1"/>
    </xf>
    <xf numFmtId="10" fontId="27" fillId="154" borderId="198" xfId="0" applyNumberFormat="1" applyFont="1" applyFill="1" applyBorder="1"/>
    <xf numFmtId="10" fontId="27" fillId="154" borderId="187" xfId="0" applyNumberFormat="1" applyFont="1" applyFill="1" applyBorder="1"/>
    <xf numFmtId="10" fontId="27" fillId="154" borderId="200" xfId="0" applyNumberFormat="1" applyFont="1" applyFill="1" applyBorder="1"/>
    <xf numFmtId="9" fontId="27" fillId="154" borderId="107" xfId="0" applyNumberFormat="1" applyFont="1" applyFill="1" applyBorder="1"/>
    <xf numFmtId="0" fontId="45" fillId="2" borderId="6" xfId="0" applyFont="1" applyFill="1" applyBorder="1" applyAlignment="1">
      <alignment vertical="center"/>
    </xf>
    <xf numFmtId="0" fontId="1" fillId="2" borderId="0" xfId="0" applyFont="1" applyFill="1" applyAlignment="1">
      <alignment vertical="top"/>
    </xf>
    <xf numFmtId="0" fontId="27" fillId="155" borderId="117" xfId="0" applyFont="1" applyFill="1" applyBorder="1" applyAlignment="1">
      <alignment wrapText="1"/>
    </xf>
    <xf numFmtId="0" fontId="27" fillId="155" borderId="209" xfId="0" applyFont="1" applyFill="1" applyBorder="1" applyAlignment="1">
      <alignment wrapText="1"/>
    </xf>
    <xf numFmtId="0" fontId="27" fillId="155" borderId="204" xfId="0" applyFont="1" applyFill="1" applyBorder="1" applyAlignment="1">
      <alignment wrapText="1"/>
    </xf>
    <xf numFmtId="0" fontId="174" fillId="155" borderId="7" xfId="0" applyFont="1" applyFill="1" applyBorder="1" applyAlignment="1">
      <alignment wrapText="1"/>
    </xf>
    <xf numFmtId="0" fontId="185" fillId="158" borderId="102" xfId="0" applyFont="1" applyFill="1" applyBorder="1"/>
    <xf numFmtId="222" fontId="185" fillId="156" borderId="132" xfId="0" applyNumberFormat="1" applyFont="1" applyFill="1" applyBorder="1"/>
    <xf numFmtId="222" fontId="185" fillId="156" borderId="120" xfId="0" applyNumberFormat="1" applyFont="1" applyFill="1" applyBorder="1"/>
    <xf numFmtId="0" fontId="185" fillId="158" borderId="103" xfId="0" applyFont="1" applyFill="1" applyBorder="1"/>
    <xf numFmtId="0" fontId="174" fillId="158" borderId="73" xfId="0" applyFont="1" applyFill="1" applyBorder="1"/>
    <xf numFmtId="0" fontId="174" fillId="158" borderId="102" xfId="0" applyFont="1" applyFill="1" applyBorder="1"/>
    <xf numFmtId="222" fontId="185" fillId="156" borderId="127" xfId="0" applyNumberFormat="1" applyFont="1" applyFill="1" applyBorder="1"/>
    <xf numFmtId="222" fontId="185" fillId="156" borderId="98" xfId="0" applyNumberFormat="1" applyFont="1" applyFill="1" applyBorder="1"/>
    <xf numFmtId="222" fontId="185" fillId="156" borderId="131" xfId="0" applyNumberFormat="1" applyFont="1" applyFill="1" applyBorder="1"/>
    <xf numFmtId="222" fontId="185" fillId="156" borderId="101" xfId="0" applyNumberFormat="1" applyFont="1" applyFill="1" applyBorder="1"/>
    <xf numFmtId="222" fontId="185" fillId="156" borderId="176" xfId="0" applyNumberFormat="1" applyFont="1" applyFill="1" applyBorder="1"/>
    <xf numFmtId="222" fontId="185" fillId="156" borderId="177" xfId="0" applyNumberFormat="1" applyFont="1" applyFill="1" applyBorder="1"/>
    <xf numFmtId="222" fontId="185" fillId="156" borderId="178" xfId="0" applyNumberFormat="1" applyFont="1" applyFill="1" applyBorder="1"/>
    <xf numFmtId="0" fontId="27" fillId="0" borderId="0" xfId="0" applyFont="1" applyAlignment="1">
      <alignment wrapText="1"/>
    </xf>
    <xf numFmtId="0" fontId="198" fillId="0" borderId="73" xfId="0" applyFont="1" applyBorder="1"/>
    <xf numFmtId="0" fontId="198" fillId="0" borderId="102" xfId="0" applyFont="1" applyBorder="1"/>
    <xf numFmtId="0" fontId="185" fillId="0" borderId="4" xfId="0" applyFont="1" applyBorder="1"/>
    <xf numFmtId="0" fontId="185" fillId="0" borderId="53" xfId="0" applyFont="1" applyBorder="1" applyAlignment="1">
      <alignment wrapText="1"/>
    </xf>
    <xf numFmtId="0" fontId="185" fillId="0" borderId="152" xfId="0" applyFont="1" applyBorder="1" applyAlignment="1">
      <alignment wrapText="1"/>
    </xf>
    <xf numFmtId="0" fontId="185" fillId="0" borderId="185" xfId="0" applyFont="1" applyBorder="1"/>
    <xf numFmtId="0" fontId="185" fillId="0" borderId="131" xfId="0" applyFont="1" applyBorder="1"/>
    <xf numFmtId="0" fontId="1" fillId="2" borderId="0" xfId="0" applyFont="1" applyFill="1" applyAlignment="1">
      <alignment wrapText="1"/>
    </xf>
    <xf numFmtId="0" fontId="174" fillId="0" borderId="110" xfId="20532" applyFont="1" applyBorder="1" applyAlignment="1">
      <alignment wrapText="1"/>
    </xf>
    <xf numFmtId="0" fontId="174" fillId="0" borderId="146" xfId="20532" applyFont="1" applyBorder="1" applyAlignment="1">
      <alignment horizontal="center" wrapText="1"/>
    </xf>
    <xf numFmtId="0" fontId="174" fillId="0" borderId="133" xfId="20532" applyFont="1" applyBorder="1" applyAlignment="1">
      <alignment wrapText="1"/>
    </xf>
    <xf numFmtId="0" fontId="174" fillId="0" borderId="7" xfId="20532" applyFont="1" applyBorder="1" applyAlignment="1">
      <alignment horizontal="center" wrapText="1"/>
    </xf>
    <xf numFmtId="0" fontId="27" fillId="0" borderId="133" xfId="20532" applyFont="1" applyBorder="1" applyAlignment="1">
      <alignment wrapText="1"/>
    </xf>
    <xf numFmtId="6" fontId="186" fillId="146" borderId="7" xfId="20532" applyNumberFormat="1" applyFont="1" applyFill="1" applyBorder="1" applyAlignment="1">
      <alignment horizontal="right" wrapText="1"/>
    </xf>
    <xf numFmtId="6" fontId="174" fillId="3" borderId="7" xfId="20532" applyNumberFormat="1" applyFont="1" applyFill="1" applyBorder="1" applyAlignment="1">
      <alignment horizontal="right" wrapText="1"/>
    </xf>
    <xf numFmtId="0" fontId="27" fillId="0" borderId="0" xfId="2" applyFont="1" applyAlignment="1">
      <alignment horizontal="left" vertical="top"/>
    </xf>
    <xf numFmtId="42" fontId="174" fillId="0" borderId="125" xfId="1856" applyNumberFormat="1" applyFont="1" applyBorder="1" applyAlignment="1">
      <alignment horizontal="left" wrapText="1"/>
    </xf>
    <xf numFmtId="42" fontId="174" fillId="0" borderId="90" xfId="1856" applyNumberFormat="1" applyFont="1" applyBorder="1" applyAlignment="1">
      <alignment horizontal="left" wrapText="1"/>
    </xf>
    <xf numFmtId="0" fontId="138" fillId="0" borderId="0" xfId="0" applyFont="1" applyAlignment="1">
      <alignment vertical="center" wrapText="1"/>
    </xf>
    <xf numFmtId="0" fontId="1" fillId="0" borderId="0" xfId="20596" applyFont="1" applyAlignment="1">
      <alignment vertical="center" wrapText="1"/>
    </xf>
    <xf numFmtId="10" fontId="1" fillId="0" borderId="0" xfId="20596" applyNumberFormat="1" applyFont="1" applyAlignment="1">
      <alignment vertical="center"/>
    </xf>
    <xf numFmtId="2" fontId="1" fillId="0" borderId="0" xfId="20596" applyNumberFormat="1" applyFont="1" applyAlignment="1">
      <alignment horizontal="right" vertical="center"/>
    </xf>
    <xf numFmtId="166" fontId="1" fillId="0" borderId="0" xfId="20597" applyNumberFormat="1" applyFont="1" applyBorder="1" applyAlignment="1">
      <alignment horizontal="right" vertical="center"/>
    </xf>
    <xf numFmtId="0" fontId="27" fillId="0" borderId="0" xfId="20596" applyFont="1" applyAlignment="1">
      <alignment vertical="center" wrapText="1"/>
    </xf>
    <xf numFmtId="16" fontId="1" fillId="0" borderId="0" xfId="20596" quotePrefix="1" applyNumberFormat="1" applyFont="1" applyAlignment="1">
      <alignment horizontal="center" vertical="center" wrapText="1"/>
    </xf>
    <xf numFmtId="0" fontId="45" fillId="0" borderId="0" xfId="20599" applyFont="1" applyAlignment="1">
      <alignment vertical="center"/>
    </xf>
    <xf numFmtId="0" fontId="27" fillId="0" borderId="0" xfId="20596" applyFont="1" applyAlignment="1">
      <alignment vertical="center"/>
    </xf>
    <xf numFmtId="9" fontId="27" fillId="0" borderId="0" xfId="20598" applyFont="1" applyFill="1" applyAlignment="1">
      <alignment horizontal="right" vertical="center"/>
    </xf>
    <xf numFmtId="2" fontId="27" fillId="0" borderId="0" xfId="20596" applyNumberFormat="1" applyFont="1" applyAlignment="1">
      <alignment horizontal="right" vertical="center"/>
    </xf>
    <xf numFmtId="166" fontId="27" fillId="0" borderId="0" xfId="20597" applyNumberFormat="1" applyFont="1" applyFill="1" applyAlignment="1">
      <alignment horizontal="right" vertical="center"/>
    </xf>
    <xf numFmtId="0" fontId="45" fillId="0" borderId="0" xfId="20596" applyFont="1" applyAlignment="1">
      <alignment vertical="center"/>
    </xf>
    <xf numFmtId="0" fontId="1" fillId="149" borderId="182" xfId="20596" applyFont="1" applyFill="1" applyBorder="1" applyAlignment="1">
      <alignment vertical="center" wrapText="1"/>
    </xf>
    <xf numFmtId="0" fontId="1" fillId="149" borderId="182" xfId="20596" applyFont="1" applyFill="1" applyBorder="1" applyAlignment="1">
      <alignment vertical="center"/>
    </xf>
    <xf numFmtId="10" fontId="1" fillId="160" borderId="182" xfId="20596" applyNumberFormat="1" applyFont="1" applyFill="1" applyBorder="1" applyAlignment="1">
      <alignment vertical="center"/>
    </xf>
    <xf numFmtId="43" fontId="1" fillId="149" borderId="182" xfId="20596" applyNumberFormat="1" applyFont="1" applyFill="1" applyBorder="1" applyAlignment="1">
      <alignment horizontal="right" vertical="center"/>
    </xf>
    <xf numFmtId="43" fontId="1" fillId="160" borderId="182" xfId="20596" applyNumberFormat="1" applyFont="1" applyFill="1" applyBorder="1" applyAlignment="1">
      <alignment horizontal="right" vertical="center"/>
    </xf>
    <xf numFmtId="166" fontId="1" fillId="149" borderId="182" xfId="20597" applyNumberFormat="1" applyFont="1" applyFill="1" applyBorder="1" applyAlignment="1">
      <alignment horizontal="right" vertical="center"/>
    </xf>
    <xf numFmtId="0" fontId="27" fillId="149" borderId="182" xfId="20596" applyFont="1" applyFill="1" applyBorder="1" applyAlignment="1">
      <alignment vertical="center" wrapText="1"/>
    </xf>
    <xf numFmtId="16" fontId="1" fillId="160" borderId="182" xfId="20596" quotePrefix="1" applyNumberFormat="1" applyFont="1" applyFill="1" applyBorder="1" applyAlignment="1">
      <alignment horizontal="center" vertical="center" wrapText="1"/>
    </xf>
    <xf numFmtId="0" fontId="1" fillId="149" borderId="161" xfId="20596" applyFont="1" applyFill="1" applyBorder="1" applyAlignment="1">
      <alignment vertical="center"/>
    </xf>
    <xf numFmtId="10" fontId="1" fillId="160" borderId="161" xfId="20596" applyNumberFormat="1" applyFont="1" applyFill="1" applyBorder="1" applyAlignment="1">
      <alignment vertical="center"/>
    </xf>
    <xf numFmtId="43" fontId="1" fillId="149" borderId="161" xfId="20596" applyNumberFormat="1" applyFont="1" applyFill="1" applyBorder="1" applyAlignment="1">
      <alignment horizontal="right" vertical="center"/>
    </xf>
    <xf numFmtId="166" fontId="1" fillId="149" borderId="161" xfId="20597" applyNumberFormat="1" applyFont="1" applyFill="1" applyBorder="1" applyAlignment="1">
      <alignment horizontal="right" vertical="center"/>
    </xf>
    <xf numFmtId="0" fontId="27" fillId="149" borderId="161" xfId="20596" applyFont="1" applyFill="1" applyBorder="1" applyAlignment="1">
      <alignment vertical="center" wrapText="1"/>
    </xf>
    <xf numFmtId="16" fontId="1" fillId="160" borderId="161" xfId="20596" quotePrefix="1" applyNumberFormat="1" applyFont="1" applyFill="1" applyBorder="1" applyAlignment="1">
      <alignment horizontal="center" vertical="center" wrapText="1"/>
    </xf>
    <xf numFmtId="0" fontId="1" fillId="149" borderId="161" xfId="20596" applyFont="1" applyFill="1" applyBorder="1" applyAlignment="1">
      <alignment vertical="center" wrapText="1"/>
    </xf>
    <xf numFmtId="0" fontId="1" fillId="149" borderId="212" xfId="20596" applyFont="1" applyFill="1" applyBorder="1" applyAlignment="1">
      <alignment vertical="center"/>
    </xf>
    <xf numFmtId="0" fontId="1" fillId="149" borderId="181" xfId="20596" applyFont="1" applyFill="1" applyBorder="1" applyAlignment="1">
      <alignment vertical="center"/>
    </xf>
    <xf numFmtId="9" fontId="1" fillId="0" borderId="0" xfId="20596" applyNumberFormat="1" applyFont="1" applyAlignment="1">
      <alignment vertical="center"/>
    </xf>
    <xf numFmtId="0" fontId="27" fillId="149" borderId="182" xfId="20596" applyFont="1" applyFill="1" applyBorder="1" applyAlignment="1">
      <alignment vertical="center"/>
    </xf>
    <xf numFmtId="9" fontId="1" fillId="160" borderId="182" xfId="20596" applyNumberFormat="1" applyFont="1" applyFill="1" applyBorder="1" applyAlignment="1">
      <alignment vertical="center"/>
    </xf>
    <xf numFmtId="9" fontId="27" fillId="149" borderId="182" xfId="20596" applyNumberFormat="1" applyFont="1" applyFill="1" applyBorder="1" applyAlignment="1">
      <alignment horizontal="right" vertical="center"/>
    </xf>
    <xf numFmtId="222" fontId="27" fillId="149" borderId="182" xfId="20596" applyNumberFormat="1" applyFont="1" applyFill="1" applyBorder="1" applyAlignment="1">
      <alignment horizontal="right" vertical="center"/>
    </xf>
    <xf numFmtId="2" fontId="27" fillId="149" borderId="182" xfId="20596" applyNumberFormat="1" applyFont="1" applyFill="1" applyBorder="1" applyAlignment="1">
      <alignment horizontal="right" vertical="center"/>
    </xf>
    <xf numFmtId="166" fontId="27" fillId="149" borderId="182" xfId="20597" applyNumberFormat="1" applyFont="1" applyFill="1" applyBorder="1" applyAlignment="1">
      <alignment horizontal="right" vertical="center"/>
    </xf>
    <xf numFmtId="0" fontId="27" fillId="149" borderId="182" xfId="20597" applyNumberFormat="1" applyFont="1" applyFill="1" applyBorder="1" applyAlignment="1">
      <alignment horizontal="right" vertical="center"/>
    </xf>
    <xf numFmtId="9" fontId="1" fillId="160" borderId="161" xfId="20596" applyNumberFormat="1" applyFont="1" applyFill="1" applyBorder="1" applyAlignment="1">
      <alignment vertical="center"/>
    </xf>
    <xf numFmtId="9" fontId="27" fillId="149" borderId="161" xfId="20596" applyNumberFormat="1" applyFont="1" applyFill="1" applyBorder="1" applyAlignment="1">
      <alignment horizontal="right" vertical="center"/>
    </xf>
    <xf numFmtId="222" fontId="27" fillId="149" borderId="161" xfId="20596" applyNumberFormat="1" applyFont="1" applyFill="1" applyBorder="1" applyAlignment="1">
      <alignment horizontal="right" vertical="center"/>
    </xf>
    <xf numFmtId="2" fontId="27" fillId="149" borderId="161" xfId="20596" applyNumberFormat="1" applyFont="1" applyFill="1" applyBorder="1" applyAlignment="1">
      <alignment horizontal="right" vertical="center"/>
    </xf>
    <xf numFmtId="166" fontId="27" fillId="149" borderId="161" xfId="20597" applyNumberFormat="1" applyFont="1" applyFill="1" applyBorder="1" applyAlignment="1">
      <alignment horizontal="right" vertical="center"/>
    </xf>
    <xf numFmtId="0" fontId="27" fillId="149" borderId="161" xfId="20597" applyNumberFormat="1" applyFont="1" applyFill="1" applyBorder="1" applyAlignment="1">
      <alignment horizontal="right" vertical="center"/>
    </xf>
    <xf numFmtId="9" fontId="27" fillId="149" borderId="161" xfId="20596" applyNumberFormat="1" applyFont="1" applyFill="1" applyBorder="1" applyAlignment="1">
      <alignment horizontal="right" vertical="center" wrapText="1"/>
    </xf>
    <xf numFmtId="222" fontId="27" fillId="149" borderId="161" xfId="20596" applyNumberFormat="1" applyFont="1" applyFill="1" applyBorder="1" applyAlignment="1">
      <alignment horizontal="right" vertical="center" wrapText="1"/>
    </xf>
    <xf numFmtId="2" fontId="27" fillId="149" borderId="161" xfId="20596" applyNumberFormat="1" applyFont="1" applyFill="1" applyBorder="1" applyAlignment="1">
      <alignment horizontal="right" vertical="center" wrapText="1"/>
    </xf>
    <xf numFmtId="223" fontId="27" fillId="149" borderId="161" xfId="20597" applyNumberFormat="1" applyFont="1" applyFill="1" applyBorder="1" applyAlignment="1">
      <alignment horizontal="right" vertical="center" wrapText="1"/>
    </xf>
    <xf numFmtId="166" fontId="27" fillId="149" borderId="161" xfId="20597" applyNumberFormat="1" applyFont="1" applyFill="1" applyBorder="1" applyAlignment="1">
      <alignment horizontal="right" vertical="center" wrapText="1"/>
    </xf>
    <xf numFmtId="0" fontId="27" fillId="149" borderId="161" xfId="20597" applyNumberFormat="1" applyFont="1" applyFill="1" applyBorder="1" applyAlignment="1">
      <alignment horizontal="right" vertical="center" wrapText="1"/>
    </xf>
    <xf numFmtId="0" fontId="27" fillId="149" borderId="161" xfId="20596" applyFont="1" applyFill="1" applyBorder="1" applyAlignment="1">
      <alignment vertical="center"/>
    </xf>
    <xf numFmtId="43" fontId="27" fillId="149" borderId="161" xfId="20596" applyNumberFormat="1" applyFont="1" applyFill="1" applyBorder="1" applyAlignment="1">
      <alignment horizontal="right" vertical="center"/>
    </xf>
    <xf numFmtId="43" fontId="27" fillId="149" borderId="161" xfId="20597" applyNumberFormat="1" applyFont="1" applyFill="1" applyBorder="1" applyAlignment="1">
      <alignment horizontal="right" vertical="center"/>
    </xf>
    <xf numFmtId="0" fontId="1" fillId="149" borderId="183" xfId="20596" applyFont="1" applyFill="1" applyBorder="1" applyAlignment="1">
      <alignment vertical="center"/>
    </xf>
    <xf numFmtId="9" fontId="1" fillId="160" borderId="183" xfId="20596" applyNumberFormat="1" applyFont="1" applyFill="1" applyBorder="1" applyAlignment="1">
      <alignment vertical="center"/>
    </xf>
    <xf numFmtId="9" fontId="27" fillId="149" borderId="183" xfId="20596" applyNumberFormat="1" applyFont="1" applyFill="1" applyBorder="1" applyAlignment="1">
      <alignment horizontal="right" vertical="center"/>
    </xf>
    <xf numFmtId="222" fontId="27" fillId="149" borderId="183" xfId="20596" applyNumberFormat="1" applyFont="1" applyFill="1" applyBorder="1" applyAlignment="1">
      <alignment horizontal="right" vertical="center"/>
    </xf>
    <xf numFmtId="2" fontId="27" fillId="149" borderId="183" xfId="20596" applyNumberFormat="1" applyFont="1" applyFill="1" applyBorder="1" applyAlignment="1">
      <alignment horizontal="right" vertical="center"/>
    </xf>
    <xf numFmtId="166" fontId="27" fillId="149" borderId="183" xfId="20597" applyNumberFormat="1" applyFont="1" applyFill="1" applyBorder="1" applyAlignment="1">
      <alignment horizontal="right" vertical="center"/>
    </xf>
    <xf numFmtId="0" fontId="27" fillId="149" borderId="183" xfId="20597" applyNumberFormat="1" applyFont="1" applyFill="1" applyBorder="1" applyAlignment="1">
      <alignment horizontal="right" vertical="center"/>
    </xf>
    <xf numFmtId="0" fontId="27" fillId="149" borderId="183" xfId="20596" applyFont="1" applyFill="1" applyBorder="1" applyAlignment="1">
      <alignment vertical="center" wrapText="1"/>
    </xf>
    <xf numFmtId="0" fontId="27" fillId="149" borderId="181" xfId="20596" applyFont="1" applyFill="1" applyBorder="1" applyAlignment="1">
      <alignment vertical="center"/>
    </xf>
    <xf numFmtId="166" fontId="27" fillId="0" borderId="0" xfId="20597" applyNumberFormat="1" applyFont="1" applyFill="1" applyBorder="1" applyAlignment="1">
      <alignment horizontal="right" vertical="center"/>
    </xf>
    <xf numFmtId="17" fontId="27" fillId="149" borderId="161" xfId="20597" applyNumberFormat="1" applyFont="1" applyFill="1" applyBorder="1" applyAlignment="1">
      <alignment horizontal="right" vertical="center"/>
    </xf>
    <xf numFmtId="0" fontId="27" fillId="149" borderId="180" xfId="20596" applyFont="1" applyFill="1" applyBorder="1" applyAlignment="1">
      <alignment vertical="center"/>
    </xf>
    <xf numFmtId="166" fontId="27" fillId="160" borderId="161" xfId="20597" applyNumberFormat="1" applyFont="1" applyFill="1" applyBorder="1" applyAlignment="1">
      <alignment horizontal="right" vertical="center"/>
    </xf>
    <xf numFmtId="0" fontId="174" fillId="0" borderId="0" xfId="20596" applyFont="1" applyAlignment="1">
      <alignment vertical="center"/>
    </xf>
    <xf numFmtId="16" fontId="1" fillId="143" borderId="182" xfId="20596" quotePrefix="1" applyNumberFormat="1" applyFont="1" applyFill="1" applyBorder="1" applyAlignment="1">
      <alignment horizontal="center" vertical="center" wrapText="1"/>
    </xf>
    <xf numFmtId="16" fontId="1" fillId="149" borderId="182" xfId="20596" quotePrefix="1" applyNumberFormat="1" applyFont="1" applyFill="1" applyBorder="1" applyAlignment="1">
      <alignment horizontal="center" vertical="center" wrapText="1"/>
    </xf>
    <xf numFmtId="0" fontId="138" fillId="153" borderId="2" xfId="0" applyFont="1" applyFill="1" applyBorder="1" applyAlignment="1">
      <alignment vertical="center"/>
    </xf>
    <xf numFmtId="0" fontId="1" fillId="149" borderId="182" xfId="20596" quotePrefix="1" applyFont="1" applyFill="1" applyBorder="1" applyAlignment="1">
      <alignment horizontal="center" vertical="center" wrapText="1"/>
    </xf>
    <xf numFmtId="16" fontId="1" fillId="143" borderId="161" xfId="20596" quotePrefix="1" applyNumberFormat="1" applyFont="1" applyFill="1" applyBorder="1" applyAlignment="1">
      <alignment horizontal="center" vertical="center" wrapText="1"/>
    </xf>
    <xf numFmtId="16" fontId="1" fillId="149" borderId="161" xfId="20596" quotePrefix="1" applyNumberFormat="1" applyFont="1" applyFill="1" applyBorder="1" applyAlignment="1">
      <alignment horizontal="center" vertical="center" wrapText="1"/>
    </xf>
    <xf numFmtId="0" fontId="138" fillId="153" borderId="184" xfId="0" applyFont="1" applyFill="1" applyBorder="1" applyAlignment="1">
      <alignment vertical="center"/>
    </xf>
    <xf numFmtId="0" fontId="1" fillId="149" borderId="161" xfId="20596" quotePrefix="1" applyFont="1" applyFill="1" applyBorder="1" applyAlignment="1">
      <alignment horizontal="center" vertical="center" wrapText="1"/>
    </xf>
    <xf numFmtId="0" fontId="27" fillId="153" borderId="190" xfId="0" applyFont="1" applyFill="1" applyBorder="1" applyAlignment="1">
      <alignment vertical="center" wrapText="1"/>
    </xf>
    <xf numFmtId="0" fontId="27" fillId="153" borderId="190" xfId="0" applyFont="1" applyFill="1" applyBorder="1" applyAlignment="1">
      <alignment vertical="center"/>
    </xf>
    <xf numFmtId="16" fontId="1" fillId="149" borderId="213" xfId="20596" quotePrefix="1" applyNumberFormat="1" applyFont="1" applyFill="1" applyBorder="1" applyAlignment="1">
      <alignment horizontal="center" vertical="center" wrapText="1"/>
    </xf>
    <xf numFmtId="0" fontId="27" fillId="0" borderId="0" xfId="20561" applyFont="1" applyAlignment="1">
      <alignment vertical="top"/>
    </xf>
    <xf numFmtId="0" fontId="138" fillId="0" borderId="0" xfId="20561" applyFont="1" applyAlignment="1">
      <alignment vertical="top"/>
    </xf>
    <xf numFmtId="0" fontId="174" fillId="3" borderId="133" xfId="20559" applyFont="1" applyFill="1" applyBorder="1" applyAlignment="1">
      <alignment horizontal="center"/>
    </xf>
    <xf numFmtId="0" fontId="174" fillId="0" borderId="0" xfId="168" applyFont="1" applyAlignment="1">
      <alignment vertical="center"/>
    </xf>
    <xf numFmtId="0" fontId="27" fillId="3" borderId="184" xfId="5259" applyFont="1" applyFill="1" applyBorder="1" applyAlignment="1">
      <alignment horizontal="left" vertical="center"/>
    </xf>
    <xf numFmtId="0" fontId="22" fillId="0" borderId="0" xfId="0" applyFont="1" applyAlignment="1">
      <alignment vertical="center"/>
    </xf>
    <xf numFmtId="0" fontId="1" fillId="0" borderId="0" xfId="0" applyFont="1" applyAlignment="1">
      <alignment vertical="center" wrapText="1"/>
    </xf>
    <xf numFmtId="0" fontId="27" fillId="3" borderId="0" xfId="5259" applyFont="1" applyFill="1" applyAlignment="1">
      <alignment horizontal="left" vertical="center"/>
    </xf>
    <xf numFmtId="0" fontId="45" fillId="0" borderId="0" xfId="20548" applyFont="1" applyAlignment="1">
      <alignment vertical="center"/>
    </xf>
    <xf numFmtId="0" fontId="1" fillId="0" borderId="0" xfId="20548" applyFont="1" applyAlignment="1">
      <alignment vertical="center"/>
    </xf>
    <xf numFmtId="0" fontId="1" fillId="0" borderId="184" xfId="0" applyFont="1" applyBorder="1" applyAlignment="1">
      <alignment vertical="center"/>
    </xf>
    <xf numFmtId="0" fontId="1" fillId="0" borderId="114" xfId="0" applyFont="1" applyBorder="1" applyAlignment="1">
      <alignment vertical="center"/>
    </xf>
    <xf numFmtId="0" fontId="1" fillId="149" borderId="184" xfId="0" applyFont="1" applyFill="1" applyBorder="1" applyAlignment="1">
      <alignment horizontal="center" vertical="center"/>
    </xf>
    <xf numFmtId="0" fontId="45" fillId="149" borderId="184" xfId="0" applyFont="1" applyFill="1" applyBorder="1" applyAlignment="1">
      <alignment horizontal="center" vertical="center"/>
    </xf>
    <xf numFmtId="0" fontId="45" fillId="149" borderId="184" xfId="0" applyFont="1" applyFill="1" applyBorder="1" applyAlignment="1">
      <alignment vertical="center"/>
    </xf>
    <xf numFmtId="0" fontId="45" fillId="149" borderId="184" xfId="0" applyFont="1" applyFill="1" applyBorder="1" applyAlignment="1">
      <alignment vertical="center" wrapText="1"/>
    </xf>
    <xf numFmtId="0" fontId="1" fillId="149" borderId="184" xfId="0" applyFont="1" applyFill="1" applyBorder="1" applyAlignment="1">
      <alignment vertical="center" wrapText="1"/>
    </xf>
    <xf numFmtId="0" fontId="1" fillId="149" borderId="182" xfId="0" applyFont="1" applyFill="1" applyBorder="1" applyAlignment="1">
      <alignment vertical="center" wrapText="1"/>
    </xf>
    <xf numFmtId="0" fontId="45" fillId="149" borderId="190" xfId="0" applyFont="1" applyFill="1" applyBorder="1" applyAlignment="1">
      <alignment vertical="center"/>
    </xf>
    <xf numFmtId="0" fontId="45" fillId="149" borderId="161" xfId="0" applyFont="1" applyFill="1" applyBorder="1" applyAlignment="1">
      <alignment vertical="center" wrapText="1"/>
    </xf>
    <xf numFmtId="0" fontId="1" fillId="149" borderId="2" xfId="0" applyFont="1" applyFill="1" applyBorder="1" applyAlignment="1">
      <alignment vertical="center" wrapText="1"/>
    </xf>
    <xf numFmtId="0" fontId="1" fillId="149" borderId="184" xfId="0" applyFont="1" applyFill="1" applyBorder="1" applyAlignment="1">
      <alignment vertical="center"/>
    </xf>
    <xf numFmtId="0" fontId="183" fillId="0" borderId="0" xfId="0" applyFont="1" applyAlignment="1">
      <alignment vertical="center"/>
    </xf>
    <xf numFmtId="0" fontId="1" fillId="0" borderId="182" xfId="0" applyFont="1" applyBorder="1" applyAlignment="1">
      <alignment vertical="center"/>
    </xf>
    <xf numFmtId="0" fontId="45" fillId="0" borderId="184" xfId="0" applyFont="1" applyBorder="1" applyAlignment="1">
      <alignment vertical="center"/>
    </xf>
    <xf numFmtId="0" fontId="45" fillId="0" borderId="184" xfId="0" applyFont="1" applyBorder="1" applyAlignment="1">
      <alignment vertical="center" wrapText="1"/>
    </xf>
    <xf numFmtId="0" fontId="1" fillId="0" borderId="184" xfId="0" applyFont="1" applyBorder="1" applyAlignment="1">
      <alignment vertical="center" wrapText="1"/>
    </xf>
    <xf numFmtId="0" fontId="27" fillId="0" borderId="184" xfId="0" applyFont="1" applyBorder="1" applyAlignment="1">
      <alignment vertical="center" wrapText="1"/>
    </xf>
    <xf numFmtId="0" fontId="1" fillId="142" borderId="184" xfId="0" applyFont="1" applyFill="1" applyBorder="1" applyAlignment="1">
      <alignment vertical="center" wrapText="1"/>
    </xf>
    <xf numFmtId="0" fontId="22" fillId="149" borderId="2" xfId="0" applyFont="1" applyFill="1" applyBorder="1"/>
    <xf numFmtId="0" fontId="138" fillId="0" borderId="184" xfId="0" applyFont="1" applyBorder="1" applyAlignment="1">
      <alignment vertical="center"/>
    </xf>
    <xf numFmtId="0" fontId="174" fillId="0" borderId="184" xfId="0" applyFont="1" applyBorder="1" applyAlignment="1">
      <alignment vertical="center" wrapText="1"/>
    </xf>
    <xf numFmtId="0" fontId="174" fillId="0" borderId="184" xfId="0" applyFont="1" applyBorder="1" applyAlignment="1">
      <alignment vertical="center"/>
    </xf>
    <xf numFmtId="0" fontId="185" fillId="0" borderId="184" xfId="0" applyFont="1" applyBorder="1" applyAlignment="1">
      <alignment vertical="center" wrapText="1"/>
    </xf>
    <xf numFmtId="0" fontId="138" fillId="0" borderId="184" xfId="0" applyFont="1" applyBorder="1" applyAlignment="1">
      <alignment horizontal="center" vertical="center"/>
    </xf>
    <xf numFmtId="0" fontId="196" fillId="151" borderId="184" xfId="0" applyFont="1" applyFill="1" applyBorder="1" applyAlignment="1">
      <alignment vertical="center"/>
    </xf>
    <xf numFmtId="0" fontId="138" fillId="0" borderId="184" xfId="0" applyFont="1" applyBorder="1" applyAlignment="1">
      <alignment vertical="center" wrapText="1"/>
    </xf>
    <xf numFmtId="0" fontId="138" fillId="149" borderId="184" xfId="0" applyFont="1" applyFill="1" applyBorder="1" applyAlignment="1">
      <alignment vertical="center"/>
    </xf>
    <xf numFmtId="0" fontId="138" fillId="0" borderId="0" xfId="0" applyFont="1" applyAlignment="1">
      <alignment vertical="center"/>
    </xf>
    <xf numFmtId="0" fontId="22" fillId="149" borderId="184" xfId="0" applyFont="1" applyFill="1" applyBorder="1" applyAlignment="1">
      <alignment vertical="center"/>
    </xf>
    <xf numFmtId="0" fontId="22" fillId="0" borderId="184" xfId="0" applyFont="1" applyBorder="1" applyAlignment="1">
      <alignment vertical="center"/>
    </xf>
    <xf numFmtId="0" fontId="138" fillId="149" borderId="184" xfId="0" applyFont="1" applyFill="1" applyBorder="1" applyAlignment="1">
      <alignment vertical="center" wrapText="1"/>
    </xf>
    <xf numFmtId="0" fontId="0" fillId="0" borderId="0" xfId="0" applyAlignment="1">
      <alignment horizontal="left" wrapText="1"/>
    </xf>
    <xf numFmtId="0" fontId="0" fillId="0" borderId="0" xfId="0" applyAlignment="1">
      <alignment horizontal="center"/>
    </xf>
    <xf numFmtId="0" fontId="172" fillId="0" borderId="184" xfId="0" applyFont="1" applyBorder="1" applyAlignment="1">
      <alignment horizontal="center"/>
    </xf>
    <xf numFmtId="42" fontId="172" fillId="0" borderId="184" xfId="0" applyNumberFormat="1" applyFont="1" applyBorder="1" applyAlignment="1">
      <alignment horizontal="center"/>
    </xf>
    <xf numFmtId="0" fontId="174" fillId="0" borderId="90" xfId="2" applyFont="1" applyBorder="1" applyAlignment="1">
      <alignment horizontal="left"/>
    </xf>
    <xf numFmtId="0" fontId="174" fillId="0" borderId="91" xfId="2" applyFont="1" applyBorder="1" applyAlignment="1">
      <alignment horizontal="left"/>
    </xf>
    <xf numFmtId="0" fontId="174" fillId="0" borderId="92" xfId="2" applyFont="1" applyBorder="1" applyAlignment="1">
      <alignment horizontal="left"/>
    </xf>
    <xf numFmtId="0" fontId="27" fillId="0" borderId="0" xfId="2" applyFont="1" applyAlignment="1">
      <alignment horizontal="left" wrapText="1"/>
    </xf>
    <xf numFmtId="0" fontId="183" fillId="0" borderId="0" xfId="20575" applyFont="1" applyAlignment="1">
      <alignment horizontal="center"/>
    </xf>
    <xf numFmtId="0" fontId="45" fillId="0" borderId="0" xfId="20575" applyFont="1" applyAlignment="1">
      <alignment horizontal="center"/>
    </xf>
    <xf numFmtId="0" fontId="45" fillId="0" borderId="119" xfId="20575" applyFont="1" applyBorder="1" applyAlignment="1">
      <alignment horizontal="center"/>
    </xf>
    <xf numFmtId="0" fontId="45" fillId="0" borderId="115" xfId="20575" applyFont="1" applyBorder="1" applyAlignment="1">
      <alignment horizontal="center"/>
    </xf>
    <xf numFmtId="0" fontId="45" fillId="0" borderId="101" xfId="20575" applyFont="1" applyBorder="1" applyAlignment="1">
      <alignment horizontal="center" wrapText="1"/>
    </xf>
    <xf numFmtId="0" fontId="45" fillId="0" borderId="127" xfId="20575" applyFont="1" applyBorder="1" applyAlignment="1">
      <alignment horizontal="center" wrapText="1"/>
    </xf>
    <xf numFmtId="0" fontId="45" fillId="0" borderId="100" xfId="20575" applyFont="1" applyBorder="1" applyAlignment="1">
      <alignment horizontal="center" wrapText="1"/>
    </xf>
    <xf numFmtId="0" fontId="1" fillId="0" borderId="190" xfId="20549" applyFont="1" applyBorder="1" applyAlignment="1">
      <alignment horizontal="center"/>
    </xf>
    <xf numFmtId="0" fontId="1" fillId="0" borderId="191" xfId="20549" applyFont="1" applyBorder="1" applyAlignment="1">
      <alignment horizontal="center"/>
    </xf>
    <xf numFmtId="0" fontId="1" fillId="0" borderId="192" xfId="20549" applyFont="1" applyBorder="1" applyAlignment="1">
      <alignment horizontal="center"/>
    </xf>
    <xf numFmtId="0" fontId="45" fillId="0" borderId="73" xfId="20549" applyFont="1" applyBorder="1" applyAlignment="1">
      <alignment horizontal="center"/>
    </xf>
    <xf numFmtId="0" fontId="45" fillId="0" borderId="102" xfId="20549" applyFont="1" applyBorder="1" applyAlignment="1">
      <alignment horizontal="center"/>
    </xf>
    <xf numFmtId="0" fontId="45" fillId="0" borderId="101" xfId="20549" applyFont="1" applyBorder="1" applyAlignment="1">
      <alignment horizontal="center"/>
    </xf>
    <xf numFmtId="0" fontId="45" fillId="0" borderId="127" xfId="20549" applyFont="1" applyBorder="1" applyAlignment="1">
      <alignment horizontal="center"/>
    </xf>
    <xf numFmtId="0" fontId="1" fillId="0" borderId="0" xfId="20548" applyFont="1" applyAlignment="1">
      <alignment horizontal="left" wrapText="1"/>
    </xf>
    <xf numFmtId="37" fontId="192" fillId="0" borderId="101" xfId="6" applyNumberFormat="1" applyFont="1" applyBorder="1" applyAlignment="1">
      <alignment horizontal="center"/>
    </xf>
    <xf numFmtId="37" fontId="192" fillId="0" borderId="73" xfId="6" applyNumberFormat="1" applyFont="1" applyBorder="1" applyAlignment="1">
      <alignment horizontal="center"/>
    </xf>
    <xf numFmtId="37" fontId="192" fillId="0" borderId="102" xfId="6" applyNumberFormat="1" applyFont="1" applyBorder="1" applyAlignment="1">
      <alignment horizontal="center"/>
    </xf>
    <xf numFmtId="0" fontId="174" fillId="0" borderId="101" xfId="7" applyNumberFormat="1" applyFont="1" applyFill="1" applyBorder="1" applyAlignment="1">
      <alignment horizontal="center" vertical="center"/>
    </xf>
    <xf numFmtId="0" fontId="174" fillId="0" borderId="73" xfId="7" applyNumberFormat="1" applyFont="1" applyFill="1" applyBorder="1" applyAlignment="1">
      <alignment horizontal="center" vertical="center"/>
    </xf>
    <xf numFmtId="0" fontId="174" fillId="0" borderId="102" xfId="7" applyNumberFormat="1" applyFont="1" applyFill="1" applyBorder="1" applyAlignment="1">
      <alignment horizontal="center" vertical="center"/>
    </xf>
    <xf numFmtId="172" fontId="174" fillId="0" borderId="73" xfId="7" applyNumberFormat="1" applyFont="1" applyFill="1" applyBorder="1" applyAlignment="1">
      <alignment horizontal="center" vertical="center"/>
    </xf>
    <xf numFmtId="37" fontId="192" fillId="0" borderId="6" xfId="6" applyNumberFormat="1" applyFont="1" applyBorder="1" applyAlignment="1">
      <alignment horizontal="center"/>
    </xf>
    <xf numFmtId="0" fontId="45" fillId="0" borderId="184" xfId="20596" applyFont="1" applyBorder="1" applyAlignment="1">
      <alignment horizontal="center" vertical="center" wrapText="1"/>
    </xf>
    <xf numFmtId="0" fontId="174" fillId="0" borderId="0" xfId="20532" applyFont="1" applyAlignment="1">
      <alignment horizontal="left"/>
    </xf>
    <xf numFmtId="0" fontId="174" fillId="0" borderId="96" xfId="20532" applyFont="1" applyBorder="1" applyAlignment="1">
      <alignment horizontal="center" wrapText="1"/>
    </xf>
    <xf numFmtId="0" fontId="174" fillId="0" borderId="8" xfId="20532" applyFont="1" applyBorder="1" applyAlignment="1">
      <alignment horizontal="center" wrapText="1"/>
    </xf>
    <xf numFmtId="0" fontId="198" fillId="0" borderId="101" xfId="0" applyFont="1" applyBorder="1" applyAlignment="1"/>
    <xf numFmtId="0" fontId="198" fillId="0" borderId="73" xfId="0" applyFont="1" applyBorder="1" applyAlignment="1"/>
    <xf numFmtId="0" fontId="138" fillId="155" borderId="95" xfId="0" applyFont="1" applyFill="1" applyBorder="1" applyAlignment="1">
      <alignment horizontal="center" vertical="center"/>
    </xf>
    <xf numFmtId="0" fontId="138" fillId="155" borderId="8" xfId="0" applyFont="1" applyFill="1" applyBorder="1" applyAlignment="1">
      <alignment horizontal="center" vertical="center"/>
    </xf>
    <xf numFmtId="0" fontId="27" fillId="0" borderId="0" xfId="0" applyFont="1" applyAlignment="1">
      <alignment wrapText="1"/>
    </xf>
    <xf numFmtId="0" fontId="174" fillId="156" borderId="96" xfId="0" applyFont="1" applyFill="1" applyBorder="1" applyAlignment="1">
      <alignment horizontal="center" wrapText="1"/>
    </xf>
    <xf numFmtId="0" fontId="174" fillId="156" borderId="8" xfId="0" applyFont="1" applyFill="1" applyBorder="1" applyAlignment="1">
      <alignment horizontal="center" wrapText="1"/>
    </xf>
    <xf numFmtId="0" fontId="185" fillId="156" borderId="96" xfId="0" applyFont="1" applyFill="1" applyBorder="1" applyAlignment="1">
      <alignment wrapText="1"/>
    </xf>
    <xf numFmtId="0" fontId="185" fillId="156" borderId="8" xfId="0" applyFont="1" applyFill="1" applyBorder="1" applyAlignment="1">
      <alignment wrapText="1"/>
    </xf>
    <xf numFmtId="0" fontId="185" fillId="157" borderId="96" xfId="0" applyFont="1" applyFill="1" applyBorder="1" applyAlignment="1">
      <alignment horizontal="center" wrapText="1"/>
    </xf>
    <xf numFmtId="0" fontId="185" fillId="157" borderId="8" xfId="0" applyFont="1" applyFill="1" applyBorder="1" applyAlignment="1">
      <alignment horizontal="center" wrapText="1"/>
    </xf>
    <xf numFmtId="0" fontId="138" fillId="0" borderId="0" xfId="0" applyFont="1" applyAlignment="1">
      <alignment wrapText="1"/>
    </xf>
    <xf numFmtId="0" fontId="174" fillId="156" borderId="73" xfId="0" applyFont="1" applyFill="1" applyBorder="1" applyAlignment="1">
      <alignment horizontal="center" wrapText="1"/>
    </xf>
    <xf numFmtId="0" fontId="174" fillId="156" borderId="162" xfId="0" applyFont="1" applyFill="1" applyBorder="1" applyAlignment="1">
      <alignment horizontal="center" wrapText="1"/>
    </xf>
    <xf numFmtId="0" fontId="174" fillId="156" borderId="151" xfId="0" applyFont="1" applyFill="1" applyBorder="1" applyAlignment="1">
      <alignment horizontal="center" wrapText="1"/>
    </xf>
    <xf numFmtId="0" fontId="174" fillId="156" borderId="179" xfId="0" applyFont="1" applyFill="1" applyBorder="1" applyAlignment="1">
      <alignment horizontal="center" wrapText="1"/>
    </xf>
    <xf numFmtId="0" fontId="174" fillId="156" borderId="101" xfId="0" applyFont="1" applyFill="1" applyBorder="1" applyAlignment="1">
      <alignment horizontal="center" wrapText="1"/>
    </xf>
    <xf numFmtId="0" fontId="185" fillId="156" borderId="96" xfId="0" applyFont="1" applyFill="1" applyBorder="1" applyAlignment="1">
      <alignment horizontal="center" wrapText="1"/>
    </xf>
    <xf numFmtId="0" fontId="185" fillId="156" borderId="8" xfId="0" applyFont="1" applyFill="1" applyBorder="1" applyAlignment="1">
      <alignment horizontal="center" wrapText="1"/>
    </xf>
    <xf numFmtId="0" fontId="174" fillId="156" borderId="127" xfId="0" applyFont="1" applyFill="1" applyBorder="1" applyAlignment="1">
      <alignment horizontal="center" wrapText="1"/>
    </xf>
    <xf numFmtId="0" fontId="138" fillId="0" borderId="3" xfId="0" applyFont="1" applyBorder="1" applyAlignment="1">
      <alignment wrapText="1"/>
    </xf>
    <xf numFmtId="0" fontId="45" fillId="0" borderId="184" xfId="20575" applyFont="1" applyBorder="1" applyAlignment="1">
      <alignment horizontal="center" vertical="center"/>
    </xf>
    <xf numFmtId="0" fontId="184" fillId="0" borderId="0" xfId="20575" applyFont="1" applyAlignment="1">
      <alignment horizontal="center"/>
    </xf>
    <xf numFmtId="0" fontId="1" fillId="0" borderId="104" xfId="20575" applyFont="1" applyBorder="1" applyAlignment="1">
      <alignment horizontal="center" vertical="center"/>
    </xf>
    <xf numFmtId="0" fontId="1" fillId="0" borderId="147" xfId="20575" applyFont="1" applyBorder="1" applyAlignment="1">
      <alignment horizontal="center" vertical="center"/>
    </xf>
    <xf numFmtId="0" fontId="1" fillId="0" borderId="126" xfId="20575" applyFont="1" applyBorder="1" applyAlignment="1">
      <alignment horizontal="center" vertical="center"/>
    </xf>
    <xf numFmtId="0" fontId="1" fillId="0" borderId="193" xfId="20575" applyFont="1" applyBorder="1" applyAlignment="1">
      <alignment horizontal="center" vertical="center"/>
    </xf>
    <xf numFmtId="0" fontId="1" fillId="0" borderId="115" xfId="20575" applyFont="1" applyBorder="1" applyAlignment="1">
      <alignment horizontal="center" vertical="center"/>
    </xf>
    <xf numFmtId="0" fontId="1" fillId="0" borderId="119" xfId="20575" applyFont="1" applyBorder="1" applyAlignment="1">
      <alignment horizontal="center" vertical="center"/>
    </xf>
    <xf numFmtId="0" fontId="1" fillId="0" borderId="118" xfId="20575" applyFont="1" applyBorder="1" applyAlignment="1">
      <alignment horizontal="center" vertical="center"/>
    </xf>
    <xf numFmtId="0" fontId="1" fillId="145" borderId="113" xfId="20563" applyFont="1" applyFill="1" applyBorder="1" applyAlignment="1">
      <alignment wrapText="1"/>
    </xf>
    <xf numFmtId="0" fontId="1" fillId="145" borderId="122" xfId="20563" applyFont="1" applyFill="1" applyBorder="1" applyAlignment="1">
      <alignment wrapText="1"/>
    </xf>
    <xf numFmtId="0" fontId="1" fillId="145" borderId="112" xfId="20563" applyFont="1" applyFill="1" applyBorder="1" applyAlignment="1">
      <alignment wrapText="1"/>
    </xf>
    <xf numFmtId="0" fontId="1" fillId="145" borderId="113" xfId="20563" applyFont="1" applyFill="1" applyBorder="1" applyAlignment="1">
      <alignment horizontal="left" wrapText="1"/>
    </xf>
    <xf numFmtId="0" fontId="1" fillId="145" borderId="112" xfId="20563" applyFont="1" applyFill="1" applyBorder="1" applyAlignment="1">
      <alignment horizontal="left" wrapText="1"/>
    </xf>
    <xf numFmtId="0" fontId="45" fillId="0" borderId="148" xfId="20563" applyFont="1" applyBorder="1" applyAlignment="1">
      <alignment horizontal="center" vertical="top" wrapText="1"/>
    </xf>
    <xf numFmtId="0" fontId="45" fillId="0" borderId="149" xfId="20563" applyFont="1" applyBorder="1" applyAlignment="1">
      <alignment horizontal="center" vertical="top" wrapText="1"/>
    </xf>
    <xf numFmtId="0" fontId="45" fillId="0" borderId="150" xfId="20563" applyFont="1" applyBorder="1" applyAlignment="1">
      <alignment horizontal="center" vertical="top" wrapText="1"/>
    </xf>
    <xf numFmtId="0" fontId="27" fillId="0" borderId="0" xfId="20561" applyFont="1" applyAlignment="1">
      <alignment horizontal="left" wrapText="1"/>
    </xf>
    <xf numFmtId="0" fontId="174" fillId="3" borderId="101" xfId="20558" applyFont="1" applyFill="1" applyBorder="1" applyAlignment="1">
      <alignment horizontal="center" wrapText="1"/>
    </xf>
    <xf numFmtId="0" fontId="174" fillId="3" borderId="73" xfId="20558" applyFont="1" applyFill="1" applyBorder="1" applyAlignment="1">
      <alignment horizontal="center" wrapText="1"/>
    </xf>
    <xf numFmtId="0" fontId="174" fillId="3" borderId="102" xfId="20558" applyFont="1" applyFill="1" applyBorder="1" applyAlignment="1">
      <alignment horizontal="center" wrapText="1"/>
    </xf>
    <xf numFmtId="0" fontId="174" fillId="0" borderId="0" xfId="20558" applyFont="1" applyAlignment="1">
      <alignment horizontal="left" vertical="top" wrapText="1"/>
    </xf>
    <xf numFmtId="0" fontId="174" fillId="0" borderId="0" xfId="20557" applyFont="1" applyAlignment="1">
      <alignment horizontal="left" vertical="top" wrapText="1"/>
    </xf>
    <xf numFmtId="0" fontId="174" fillId="0" borderId="0" xfId="20557" applyFont="1" applyAlignment="1">
      <alignment wrapText="1"/>
    </xf>
    <xf numFmtId="0" fontId="174" fillId="0" borderId="0" xfId="20557" applyFont="1" applyAlignment="1">
      <alignment horizontal="left" wrapText="1"/>
    </xf>
    <xf numFmtId="0" fontId="27" fillId="0" borderId="156" xfId="20557" applyFont="1" applyBorder="1" applyAlignment="1">
      <alignment horizontal="left" wrapText="1"/>
    </xf>
    <xf numFmtId="0" fontId="27" fillId="0" borderId="157" xfId="20557" applyFont="1" applyBorder="1" applyAlignment="1">
      <alignment horizontal="left" wrapText="1"/>
    </xf>
    <xf numFmtId="0" fontId="27" fillId="0" borderId="0" xfId="20561" applyFont="1" applyAlignment="1">
      <alignment horizontal="left" vertical="top" wrapText="1"/>
    </xf>
    <xf numFmtId="0" fontId="138" fillId="142" borderId="94" xfId="20532" applyFont="1" applyFill="1" applyBorder="1" applyAlignment="1">
      <alignment vertical="center" wrapText="1"/>
    </xf>
    <xf numFmtId="0" fontId="138" fillId="142" borderId="8" xfId="20532" applyFont="1" applyFill="1" applyBorder="1" applyAlignment="1">
      <alignment vertical="center" wrapText="1"/>
    </xf>
    <xf numFmtId="0" fontId="138" fillId="142" borderId="94" xfId="20532" applyFont="1" applyFill="1" applyBorder="1" applyAlignment="1">
      <alignment vertical="center"/>
    </xf>
    <xf numFmtId="0" fontId="138" fillId="142" borderId="8" xfId="20532" applyFont="1" applyFill="1" applyBorder="1" applyAlignment="1">
      <alignment vertical="center"/>
    </xf>
    <xf numFmtId="0" fontId="138" fillId="142" borderId="96" xfId="20532" applyFont="1" applyFill="1" applyBorder="1" applyAlignment="1">
      <alignment vertical="center" wrapText="1"/>
    </xf>
    <xf numFmtId="0" fontId="138" fillId="142" borderId="95" xfId="20532" applyFont="1" applyFill="1" applyBorder="1" applyAlignment="1">
      <alignment vertical="center" wrapText="1"/>
    </xf>
    <xf numFmtId="0" fontId="138" fillId="142" borderId="133" xfId="20532" applyFont="1" applyFill="1" applyBorder="1" applyAlignment="1">
      <alignment vertical="center" wrapText="1"/>
    </xf>
    <xf numFmtId="0" fontId="138" fillId="142" borderId="96" xfId="20532" applyFont="1" applyFill="1" applyBorder="1" applyAlignment="1">
      <alignment horizontal="center" vertical="center"/>
    </xf>
    <xf numFmtId="0" fontId="138" fillId="142" borderId="133" xfId="20532" applyFont="1" applyFill="1" applyBorder="1" applyAlignment="1">
      <alignment horizontal="center" vertical="center"/>
    </xf>
    <xf numFmtId="0" fontId="1" fillId="0" borderId="184" xfId="20532" applyFont="1" applyBorder="1" applyAlignment="1">
      <alignment horizontal="center"/>
    </xf>
    <xf numFmtId="172" fontId="1" fillId="0" borderId="184" xfId="64" applyNumberFormat="1" applyFont="1" applyFill="1" applyBorder="1" applyAlignment="1">
      <alignment horizontal="center"/>
    </xf>
    <xf numFmtId="0" fontId="174" fillId="0" borderId="190" xfId="20571" applyFont="1" applyFill="1" applyBorder="1" applyAlignment="1">
      <alignment horizontal="center" vertical="center" wrapText="1"/>
    </xf>
    <xf numFmtId="0" fontId="174" fillId="0" borderId="191" xfId="20571" applyFont="1" applyFill="1" applyBorder="1" applyAlignment="1">
      <alignment horizontal="center" vertical="center" wrapText="1"/>
    </xf>
    <xf numFmtId="0" fontId="174" fillId="0" borderId="192" xfId="20571" applyFont="1" applyFill="1" applyBorder="1" applyAlignment="1">
      <alignment horizontal="center" vertical="center" wrapText="1"/>
    </xf>
    <xf numFmtId="0" fontId="183" fillId="0" borderId="3" xfId="0" applyFont="1" applyBorder="1" applyAlignment="1">
      <alignment horizontal="center" vertical="center"/>
    </xf>
    <xf numFmtId="0" fontId="183" fillId="0" borderId="3" xfId="0" applyFont="1" applyBorder="1" applyAlignment="1">
      <alignment horizontal="center"/>
    </xf>
    <xf numFmtId="0" fontId="1" fillId="151" borderId="184" xfId="0" applyFont="1" applyFill="1" applyBorder="1" applyAlignment="1">
      <alignment horizontal="center"/>
    </xf>
    <xf numFmtId="0" fontId="1" fillId="0" borderId="0" xfId="0" applyFont="1" applyAlignment="1">
      <alignment horizontal="center" wrapText="1"/>
    </xf>
  </cellXfs>
  <cellStyles count="20603">
    <cellStyle name="%" xfId="182" xr:uid="{00000000-0005-0000-0000-000000000000}"/>
    <cellStyle name="*MB Hardwired" xfId="179" xr:uid="{00000000-0005-0000-0000-000001000000}"/>
    <cellStyle name="*MB Input Table Calc" xfId="180" xr:uid="{00000000-0005-0000-0000-000002000000}"/>
    <cellStyle name="*MB Normal" xfId="202" xr:uid="{00000000-0005-0000-0000-000003000000}"/>
    <cellStyle name="*MB Normal 2" xfId="5552" xr:uid="{00000000-0005-0000-0000-000004000000}"/>
    <cellStyle name="*MB Placeholder" xfId="181" xr:uid="{00000000-0005-0000-0000-000004000000}"/>
    <cellStyle name="_x0013_,î3_x0001_N@4" xfId="111" xr:uid="{00000000-0005-0000-0000-000005000000}"/>
    <cellStyle name=":¨áy¡’?(" xfId="191" xr:uid="{00000000-0005-0000-0000-000006000000}"/>
    <cellStyle name="?? [0]_??" xfId="190" xr:uid="{00000000-0005-0000-0000-000007000000}"/>
    <cellStyle name="?????_VERA" xfId="193" xr:uid="{00000000-0005-0000-0000-000008000000}"/>
    <cellStyle name="??_?.????" xfId="198" xr:uid="{00000000-0005-0000-0000-000009000000}"/>
    <cellStyle name="_2530023 2Q05 Analysis" xfId="200" xr:uid="{00000000-0005-0000-0000-00000A000000}"/>
    <cellStyle name="_August Expense Reports" xfId="175" xr:uid="{00000000-0005-0000-0000-00000B000000}"/>
    <cellStyle name="_August Expense Reports_PwrGen" xfId="176" xr:uid="{00000000-0005-0000-0000-00000C000000}"/>
    <cellStyle name="_IDSM Contracts- 10 15 10 tlc" xfId="115" xr:uid="{00000000-0005-0000-0000-00000D000000}"/>
    <cellStyle name="_July YTD Staff Aug_all IDSM Manipulated" xfId="177" xr:uid="{00000000-0005-0000-0000-00000E000000}"/>
    <cellStyle name="_July YTD Staff Aug_Teri" xfId="117" xr:uid="{00000000-0005-0000-0000-00000F000000}"/>
    <cellStyle name="_Labor and OH from Pavel" xfId="167" xr:uid="{00000000-0005-0000-0000-000010000000}"/>
    <cellStyle name="_L-Other Non Current Liab" xfId="168" xr:uid="{00000000-0005-0000-0000-000011000000}"/>
    <cellStyle name="_Pavel_Staff Aug PCC charged 8.30" xfId="204" xr:uid="{00000000-0005-0000-0000-000012000000}"/>
    <cellStyle name="_Transfers - Adjustments" xfId="160" xr:uid="{00000000-0005-0000-0000-000013000000}"/>
    <cellStyle name="_Transfers - Adjustments_PwrGen" xfId="116" xr:uid="{00000000-0005-0000-0000-000014000000}"/>
    <cellStyle name="_x0010_“+ˆÉ•?pý¤" xfId="197" xr:uid="{00000000-0005-0000-0000-000015000000}"/>
    <cellStyle name="_x0010_“+ˆÉ•?pý¤ 2" xfId="5495" xr:uid="{00000000-0005-0000-0000-000017000000}"/>
    <cellStyle name="10 in (Normal)" xfId="183" xr:uid="{00000000-0005-0000-0000-000016000000}"/>
    <cellStyle name="20% - Accent1" xfId="82" builtinId="30" customBuiltin="1"/>
    <cellStyle name="20% - Accent1 10" xfId="5586" xr:uid="{00000000-0005-0000-0000-000019000000}"/>
    <cellStyle name="20% - Accent1 10 2" xfId="5272" xr:uid="{00000000-0005-0000-0000-00001A000000}"/>
    <cellStyle name="20% - Accent1 10 2 2" xfId="5589" xr:uid="{00000000-0005-0000-0000-00001B000000}"/>
    <cellStyle name="20% - Accent1 10 2 3" xfId="5592" xr:uid="{00000000-0005-0000-0000-00001C000000}"/>
    <cellStyle name="20% - Accent1 10 3" xfId="5595" xr:uid="{00000000-0005-0000-0000-00001D000000}"/>
    <cellStyle name="20% - Accent1 10 4" xfId="5598" xr:uid="{00000000-0005-0000-0000-00001E000000}"/>
    <cellStyle name="20% - Accent1 10 4 2" xfId="5601" xr:uid="{00000000-0005-0000-0000-00001F000000}"/>
    <cellStyle name="20% - Accent1 10 5" xfId="5604" xr:uid="{00000000-0005-0000-0000-000020000000}"/>
    <cellStyle name="20% - Accent1 11" xfId="5605" xr:uid="{00000000-0005-0000-0000-000021000000}"/>
    <cellStyle name="20% - Accent1 11 2" xfId="5271" xr:uid="{00000000-0005-0000-0000-000022000000}"/>
    <cellStyle name="20% - Accent1 11 3" xfId="5270" xr:uid="{00000000-0005-0000-0000-000023000000}"/>
    <cellStyle name="20% - Accent1 11 3 2" xfId="5585" xr:uid="{00000000-0005-0000-0000-000024000000}"/>
    <cellStyle name="20% - Accent1 12" xfId="5535" xr:uid="{00000000-0005-0000-0000-000025000000}"/>
    <cellStyle name="20% - Accent1 12 2" xfId="5269" xr:uid="{00000000-0005-0000-0000-000026000000}"/>
    <cellStyle name="20% - Accent1 12 3" xfId="5268" xr:uid="{00000000-0005-0000-0000-000027000000}"/>
    <cellStyle name="20% - Accent1 13" xfId="5267" xr:uid="{00000000-0005-0000-0000-000028000000}"/>
    <cellStyle name="20% - Accent1 13 2" xfId="5584" xr:uid="{00000000-0005-0000-0000-000029000000}"/>
    <cellStyle name="20% - Accent1 13 3" xfId="5534" xr:uid="{00000000-0005-0000-0000-00002A000000}"/>
    <cellStyle name="20% - Accent1 14" xfId="5266" xr:uid="{00000000-0005-0000-0000-00002B000000}"/>
    <cellStyle name="20% - Accent1 14 2" xfId="5265" xr:uid="{00000000-0005-0000-0000-00002C000000}"/>
    <cellStyle name="20% - Accent1 15" xfId="5264" xr:uid="{00000000-0005-0000-0000-00002D000000}"/>
    <cellStyle name="20% - Accent1 16" xfId="5612" xr:uid="{00000000-0005-0000-0000-00002E000000}"/>
    <cellStyle name="20% - Accent1 2" xfId="184" xr:uid="{00000000-0005-0000-0000-000017000000}"/>
    <cellStyle name="20% - Accent1 2 2" xfId="5617" xr:uid="{00000000-0005-0000-0000-000030000000}"/>
    <cellStyle name="20% - Accent1 2 3" xfId="5620" xr:uid="{00000000-0005-0000-0000-000031000000}"/>
    <cellStyle name="20% - Accent1 2 3 2" xfId="5623" xr:uid="{00000000-0005-0000-0000-000032000000}"/>
    <cellStyle name="20% - Accent1 2 3 2 2" xfId="5626" xr:uid="{00000000-0005-0000-0000-000033000000}"/>
    <cellStyle name="20% - Accent1 2 3 2 2 2" xfId="5627" xr:uid="{00000000-0005-0000-0000-000034000000}"/>
    <cellStyle name="20% - Accent1 2 3 2 2 2 2" xfId="5630" xr:uid="{00000000-0005-0000-0000-000035000000}"/>
    <cellStyle name="20% - Accent1 2 3 2 2 2 3" xfId="5558" xr:uid="{00000000-0005-0000-0000-000036000000}"/>
    <cellStyle name="20% - Accent1 2 3 2 2 3" xfId="5559" xr:uid="{00000000-0005-0000-0000-000037000000}"/>
    <cellStyle name="20% - Accent1 2 3 2 2 3 2" xfId="5263" xr:uid="{00000000-0005-0000-0000-000038000000}"/>
    <cellStyle name="20% - Accent1 2 3 2 2 4" xfId="5262" xr:uid="{00000000-0005-0000-0000-000039000000}"/>
    <cellStyle name="20% - Accent1 2 3 2 3" xfId="5261" xr:uid="{00000000-0005-0000-0000-00003A000000}"/>
    <cellStyle name="20% - Accent1 2 3 2 3 2" xfId="5260" xr:uid="{00000000-0005-0000-0000-00003B000000}"/>
    <cellStyle name="20% - Accent1 2 3 2 3 2 2" xfId="5259" xr:uid="{00000000-0005-0000-0000-00003C000000}"/>
    <cellStyle name="20% - Accent1 2 3 2 3 2 3" xfId="5258" xr:uid="{00000000-0005-0000-0000-00003D000000}"/>
    <cellStyle name="20% - Accent1 2 3 2 3 3" xfId="5257" xr:uid="{00000000-0005-0000-0000-00003E000000}"/>
    <cellStyle name="20% - Accent1 2 3 2 3 3 2" xfId="5256" xr:uid="{00000000-0005-0000-0000-00003F000000}"/>
    <cellStyle name="20% - Accent1 2 3 2 3 4" xfId="5255" xr:uid="{00000000-0005-0000-0000-000040000000}"/>
    <cellStyle name="20% - Accent1 2 3 2 4" xfId="5254" xr:uid="{00000000-0005-0000-0000-000041000000}"/>
    <cellStyle name="20% - Accent1 2 3 2 4 2" xfId="5253" xr:uid="{00000000-0005-0000-0000-000042000000}"/>
    <cellStyle name="20% - Accent1 2 3 2 4 3" xfId="5252" xr:uid="{00000000-0005-0000-0000-000043000000}"/>
    <cellStyle name="20% - Accent1 2 3 2 5" xfId="5251" xr:uid="{00000000-0005-0000-0000-000044000000}"/>
    <cellStyle name="20% - Accent1 2 3 2 6" xfId="5250" xr:uid="{00000000-0005-0000-0000-000045000000}"/>
    <cellStyle name="20% - Accent1 2 3 2 6 2" xfId="5249" xr:uid="{00000000-0005-0000-0000-000046000000}"/>
    <cellStyle name="20% - Accent1 2 3 2 7" xfId="5248" xr:uid="{00000000-0005-0000-0000-000047000000}"/>
    <cellStyle name="20% - Accent1 2 3 3" xfId="5247" xr:uid="{00000000-0005-0000-0000-000048000000}"/>
    <cellStyle name="20% - Accent1 2 3 3 2" xfId="5246" xr:uid="{00000000-0005-0000-0000-000049000000}"/>
    <cellStyle name="20% - Accent1 2 3 3 2 2" xfId="5245" xr:uid="{00000000-0005-0000-0000-00004A000000}"/>
    <cellStyle name="20% - Accent1 2 3 3 2 3" xfId="5244" xr:uid="{00000000-0005-0000-0000-00004B000000}"/>
    <cellStyle name="20% - Accent1 2 3 3 3" xfId="5243" xr:uid="{00000000-0005-0000-0000-00004C000000}"/>
    <cellStyle name="20% - Accent1 2 3 3 3 2" xfId="5242" xr:uid="{00000000-0005-0000-0000-00004D000000}"/>
    <cellStyle name="20% - Accent1 2 3 3 4" xfId="5241" xr:uid="{00000000-0005-0000-0000-00004E000000}"/>
    <cellStyle name="20% - Accent1 2 3 4" xfId="5240" xr:uid="{00000000-0005-0000-0000-00004F000000}"/>
    <cellStyle name="20% - Accent1 2 3 4 2" xfId="5239" xr:uid="{00000000-0005-0000-0000-000050000000}"/>
    <cellStyle name="20% - Accent1 2 3 4 2 2" xfId="5238" xr:uid="{00000000-0005-0000-0000-000051000000}"/>
    <cellStyle name="20% - Accent1 2 3 4 2 3" xfId="5237" xr:uid="{00000000-0005-0000-0000-000052000000}"/>
    <cellStyle name="20% - Accent1 2 3 4 3" xfId="5236" xr:uid="{00000000-0005-0000-0000-000053000000}"/>
    <cellStyle name="20% - Accent1 2 3 4 3 2" xfId="5235" xr:uid="{00000000-0005-0000-0000-000054000000}"/>
    <cellStyle name="20% - Accent1 2 3 4 4" xfId="5234" xr:uid="{00000000-0005-0000-0000-000055000000}"/>
    <cellStyle name="20% - Accent1 2 3 5" xfId="5233" xr:uid="{00000000-0005-0000-0000-000056000000}"/>
    <cellStyle name="20% - Accent1 2 3 5 2" xfId="5232" xr:uid="{00000000-0005-0000-0000-000057000000}"/>
    <cellStyle name="20% - Accent1 2 3 5 3" xfId="5231" xr:uid="{00000000-0005-0000-0000-000058000000}"/>
    <cellStyle name="20% - Accent1 2 3 6" xfId="5230" xr:uid="{00000000-0005-0000-0000-000059000000}"/>
    <cellStyle name="20% - Accent1 2 3 7" xfId="5229" xr:uid="{00000000-0005-0000-0000-00005A000000}"/>
    <cellStyle name="20% - Accent1 2 3 7 2" xfId="5228" xr:uid="{00000000-0005-0000-0000-00005B000000}"/>
    <cellStyle name="20% - Accent1 2 3 8" xfId="5227" xr:uid="{00000000-0005-0000-0000-00005C000000}"/>
    <cellStyle name="20% - Accent1 2 4" xfId="5226" xr:uid="{00000000-0005-0000-0000-00005D000000}"/>
    <cellStyle name="20% - Accent1 2 4 2" xfId="5225" xr:uid="{00000000-0005-0000-0000-00005E000000}"/>
    <cellStyle name="20% - Accent1 2 4 2 2" xfId="5224" xr:uid="{00000000-0005-0000-0000-00005F000000}"/>
    <cellStyle name="20% - Accent1 2 4 2 2 2" xfId="5223" xr:uid="{00000000-0005-0000-0000-000060000000}"/>
    <cellStyle name="20% - Accent1 2 4 2 2 2 2" xfId="5222" xr:uid="{00000000-0005-0000-0000-000061000000}"/>
    <cellStyle name="20% - Accent1 2 4 2 2 2 3" xfId="5221" xr:uid="{00000000-0005-0000-0000-000062000000}"/>
    <cellStyle name="20% - Accent1 2 4 2 2 3" xfId="5220" xr:uid="{00000000-0005-0000-0000-000063000000}"/>
    <cellStyle name="20% - Accent1 2 4 2 2 3 2" xfId="5219" xr:uid="{00000000-0005-0000-0000-000064000000}"/>
    <cellStyle name="20% - Accent1 2 4 2 2 4" xfId="5218" xr:uid="{00000000-0005-0000-0000-000065000000}"/>
    <cellStyle name="20% - Accent1 2 4 2 3" xfId="5217" xr:uid="{00000000-0005-0000-0000-000066000000}"/>
    <cellStyle name="20% - Accent1 2 4 2 3 2" xfId="5216" xr:uid="{00000000-0005-0000-0000-000067000000}"/>
    <cellStyle name="20% - Accent1 2 4 2 3 2 2" xfId="5215" xr:uid="{00000000-0005-0000-0000-000068000000}"/>
    <cellStyle name="20% - Accent1 2 4 2 3 2 3" xfId="5214" xr:uid="{00000000-0005-0000-0000-000069000000}"/>
    <cellStyle name="20% - Accent1 2 4 2 3 3" xfId="5213" xr:uid="{00000000-0005-0000-0000-00006A000000}"/>
    <cellStyle name="20% - Accent1 2 4 2 3 3 2" xfId="5212" xr:uid="{00000000-0005-0000-0000-00006B000000}"/>
    <cellStyle name="20% - Accent1 2 4 2 3 4" xfId="5211" xr:uid="{00000000-0005-0000-0000-00006C000000}"/>
    <cellStyle name="20% - Accent1 2 4 2 4" xfId="5210" xr:uid="{00000000-0005-0000-0000-00006D000000}"/>
    <cellStyle name="20% - Accent1 2 4 2 4 2" xfId="5209" xr:uid="{00000000-0005-0000-0000-00006E000000}"/>
    <cellStyle name="20% - Accent1 2 4 2 4 3" xfId="5208" xr:uid="{00000000-0005-0000-0000-00006F000000}"/>
    <cellStyle name="20% - Accent1 2 4 2 5" xfId="5207" xr:uid="{00000000-0005-0000-0000-000070000000}"/>
    <cellStyle name="20% - Accent1 2 4 2 6" xfId="5206" xr:uid="{00000000-0005-0000-0000-000071000000}"/>
    <cellStyle name="20% - Accent1 2 4 2 6 2" xfId="5205" xr:uid="{00000000-0005-0000-0000-000072000000}"/>
    <cellStyle name="20% - Accent1 2 4 2 7" xfId="5204" xr:uid="{00000000-0005-0000-0000-000073000000}"/>
    <cellStyle name="20% - Accent1 2 4 3" xfId="5203" xr:uid="{00000000-0005-0000-0000-000074000000}"/>
    <cellStyle name="20% - Accent1 2 4 3 2" xfId="5202" xr:uid="{00000000-0005-0000-0000-000075000000}"/>
    <cellStyle name="20% - Accent1 2 4 3 2 2" xfId="5201" xr:uid="{00000000-0005-0000-0000-000076000000}"/>
    <cellStyle name="20% - Accent1 2 4 3 2 3" xfId="5200" xr:uid="{00000000-0005-0000-0000-000077000000}"/>
    <cellStyle name="20% - Accent1 2 4 3 3" xfId="5199" xr:uid="{00000000-0005-0000-0000-000078000000}"/>
    <cellStyle name="20% - Accent1 2 4 3 3 2" xfId="5198" xr:uid="{00000000-0005-0000-0000-000079000000}"/>
    <cellStyle name="20% - Accent1 2 4 3 4" xfId="5197" xr:uid="{00000000-0005-0000-0000-00007A000000}"/>
    <cellStyle name="20% - Accent1 2 4 4" xfId="5196" xr:uid="{00000000-0005-0000-0000-00007B000000}"/>
    <cellStyle name="20% - Accent1 2 4 4 2" xfId="5195" xr:uid="{00000000-0005-0000-0000-00007C000000}"/>
    <cellStyle name="20% - Accent1 2 4 4 2 2" xfId="5194" xr:uid="{00000000-0005-0000-0000-00007D000000}"/>
    <cellStyle name="20% - Accent1 2 4 4 2 3" xfId="5193" xr:uid="{00000000-0005-0000-0000-00007E000000}"/>
    <cellStyle name="20% - Accent1 2 4 4 3" xfId="5192" xr:uid="{00000000-0005-0000-0000-00007F000000}"/>
    <cellStyle name="20% - Accent1 2 4 4 3 2" xfId="5191" xr:uid="{00000000-0005-0000-0000-000080000000}"/>
    <cellStyle name="20% - Accent1 2 4 4 4" xfId="5190" xr:uid="{00000000-0005-0000-0000-000081000000}"/>
    <cellStyle name="20% - Accent1 2 4 5" xfId="5189" xr:uid="{00000000-0005-0000-0000-000082000000}"/>
    <cellStyle name="20% - Accent1 2 4 5 2" xfId="5188" xr:uid="{00000000-0005-0000-0000-000083000000}"/>
    <cellStyle name="20% - Accent1 2 4 5 3" xfId="5187" xr:uid="{00000000-0005-0000-0000-000084000000}"/>
    <cellStyle name="20% - Accent1 2 4 6" xfId="5186" xr:uid="{00000000-0005-0000-0000-000085000000}"/>
    <cellStyle name="20% - Accent1 2 4 7" xfId="5185" xr:uid="{00000000-0005-0000-0000-000086000000}"/>
    <cellStyle name="20% - Accent1 2 4 7 2" xfId="5184" xr:uid="{00000000-0005-0000-0000-000087000000}"/>
    <cellStyle name="20% - Accent1 2 4 8" xfId="5183" xr:uid="{00000000-0005-0000-0000-000088000000}"/>
    <cellStyle name="20% - Accent1 2 5" xfId="5182" xr:uid="{00000000-0005-0000-0000-000089000000}"/>
    <cellStyle name="20% - Accent1 2 5 2" xfId="5181" xr:uid="{00000000-0005-0000-0000-00008A000000}"/>
    <cellStyle name="20% - Accent1 2 5 2 2" xfId="5180" xr:uid="{00000000-0005-0000-0000-00008B000000}"/>
    <cellStyle name="20% - Accent1 2 5 2 2 2" xfId="5179" xr:uid="{00000000-0005-0000-0000-00008C000000}"/>
    <cellStyle name="20% - Accent1 2 5 2 2 2 2" xfId="5178" xr:uid="{00000000-0005-0000-0000-00008D000000}"/>
    <cellStyle name="20% - Accent1 2 5 2 2 2 3" xfId="5177" xr:uid="{00000000-0005-0000-0000-00008E000000}"/>
    <cellStyle name="20% - Accent1 2 5 2 2 3" xfId="5176" xr:uid="{00000000-0005-0000-0000-00008F000000}"/>
    <cellStyle name="20% - Accent1 2 5 2 2 3 2" xfId="5175" xr:uid="{00000000-0005-0000-0000-000090000000}"/>
    <cellStyle name="20% - Accent1 2 5 2 2 4" xfId="5174" xr:uid="{00000000-0005-0000-0000-000091000000}"/>
    <cellStyle name="20% - Accent1 2 5 2 3" xfId="5173" xr:uid="{00000000-0005-0000-0000-000092000000}"/>
    <cellStyle name="20% - Accent1 2 5 2 3 2" xfId="5172" xr:uid="{00000000-0005-0000-0000-000093000000}"/>
    <cellStyle name="20% - Accent1 2 5 2 3 2 2" xfId="5171" xr:uid="{00000000-0005-0000-0000-000094000000}"/>
    <cellStyle name="20% - Accent1 2 5 2 3 2 3" xfId="5170" xr:uid="{00000000-0005-0000-0000-000095000000}"/>
    <cellStyle name="20% - Accent1 2 5 2 3 3" xfId="5169" xr:uid="{00000000-0005-0000-0000-000096000000}"/>
    <cellStyle name="20% - Accent1 2 5 2 3 3 2" xfId="5168" xr:uid="{00000000-0005-0000-0000-000097000000}"/>
    <cellStyle name="20% - Accent1 2 5 2 3 4" xfId="5167" xr:uid="{00000000-0005-0000-0000-000098000000}"/>
    <cellStyle name="20% - Accent1 2 5 2 4" xfId="5166" xr:uid="{00000000-0005-0000-0000-000099000000}"/>
    <cellStyle name="20% - Accent1 2 5 2 4 2" xfId="5165" xr:uid="{00000000-0005-0000-0000-00009A000000}"/>
    <cellStyle name="20% - Accent1 2 5 2 4 3" xfId="5164" xr:uid="{00000000-0005-0000-0000-00009B000000}"/>
    <cellStyle name="20% - Accent1 2 5 2 5" xfId="5163" xr:uid="{00000000-0005-0000-0000-00009C000000}"/>
    <cellStyle name="20% - Accent1 2 5 2 6" xfId="5162" xr:uid="{00000000-0005-0000-0000-00009D000000}"/>
    <cellStyle name="20% - Accent1 2 5 2 6 2" xfId="5161" xr:uid="{00000000-0005-0000-0000-00009E000000}"/>
    <cellStyle name="20% - Accent1 2 5 2 7" xfId="5160" xr:uid="{00000000-0005-0000-0000-00009F000000}"/>
    <cellStyle name="20% - Accent1 2 5 3" xfId="5159" xr:uid="{00000000-0005-0000-0000-0000A0000000}"/>
    <cellStyle name="20% - Accent1 2 5 3 2" xfId="5158" xr:uid="{00000000-0005-0000-0000-0000A1000000}"/>
    <cellStyle name="20% - Accent1 2 5 3 2 2" xfId="5157" xr:uid="{00000000-0005-0000-0000-0000A2000000}"/>
    <cellStyle name="20% - Accent1 2 5 3 2 3" xfId="5156" xr:uid="{00000000-0005-0000-0000-0000A3000000}"/>
    <cellStyle name="20% - Accent1 2 5 3 3" xfId="5155" xr:uid="{00000000-0005-0000-0000-0000A4000000}"/>
    <cellStyle name="20% - Accent1 2 5 3 3 2" xfId="5154" xr:uid="{00000000-0005-0000-0000-0000A5000000}"/>
    <cellStyle name="20% - Accent1 2 5 3 4" xfId="5153" xr:uid="{00000000-0005-0000-0000-0000A6000000}"/>
    <cellStyle name="20% - Accent1 2 5 4" xfId="5152" xr:uid="{00000000-0005-0000-0000-0000A7000000}"/>
    <cellStyle name="20% - Accent1 2 5 4 2" xfId="5151" xr:uid="{00000000-0005-0000-0000-0000A8000000}"/>
    <cellStyle name="20% - Accent1 2 5 4 2 2" xfId="5150" xr:uid="{00000000-0005-0000-0000-0000A9000000}"/>
    <cellStyle name="20% - Accent1 2 5 4 2 3" xfId="5149" xr:uid="{00000000-0005-0000-0000-0000AA000000}"/>
    <cellStyle name="20% - Accent1 2 5 4 3" xfId="5148" xr:uid="{00000000-0005-0000-0000-0000AB000000}"/>
    <cellStyle name="20% - Accent1 2 5 4 3 2" xfId="5147" xr:uid="{00000000-0005-0000-0000-0000AC000000}"/>
    <cellStyle name="20% - Accent1 2 5 4 4" xfId="5146" xr:uid="{00000000-0005-0000-0000-0000AD000000}"/>
    <cellStyle name="20% - Accent1 2 5 5" xfId="5145" xr:uid="{00000000-0005-0000-0000-0000AE000000}"/>
    <cellStyle name="20% - Accent1 2 5 5 2" xfId="5144" xr:uid="{00000000-0005-0000-0000-0000AF000000}"/>
    <cellStyle name="20% - Accent1 2 5 5 3" xfId="5143" xr:uid="{00000000-0005-0000-0000-0000B0000000}"/>
    <cellStyle name="20% - Accent1 2 5 6" xfId="5142" xr:uid="{00000000-0005-0000-0000-0000B1000000}"/>
    <cellStyle name="20% - Accent1 2 5 7" xfId="5141" xr:uid="{00000000-0005-0000-0000-0000B2000000}"/>
    <cellStyle name="20% - Accent1 2 5 7 2" xfId="5140" xr:uid="{00000000-0005-0000-0000-0000B3000000}"/>
    <cellStyle name="20% - Accent1 2 5 8" xfId="5139" xr:uid="{00000000-0005-0000-0000-0000B4000000}"/>
    <cellStyle name="20% - Accent1 2 6" xfId="5138" xr:uid="{00000000-0005-0000-0000-0000B5000000}"/>
    <cellStyle name="20% - Accent1 2 6 2" xfId="5137" xr:uid="{00000000-0005-0000-0000-0000B6000000}"/>
    <cellStyle name="20% - Accent1 2 6 2 2" xfId="5136" xr:uid="{00000000-0005-0000-0000-0000B7000000}"/>
    <cellStyle name="20% - Accent1 2 6 2 2 2" xfId="5135" xr:uid="{00000000-0005-0000-0000-0000B8000000}"/>
    <cellStyle name="20% - Accent1 2 6 2 2 2 2" xfId="5134" xr:uid="{00000000-0005-0000-0000-0000B9000000}"/>
    <cellStyle name="20% - Accent1 2 6 2 2 2 3" xfId="5133" xr:uid="{00000000-0005-0000-0000-0000BA000000}"/>
    <cellStyle name="20% - Accent1 2 6 2 2 3" xfId="5132" xr:uid="{00000000-0005-0000-0000-0000BB000000}"/>
    <cellStyle name="20% - Accent1 2 6 2 2 3 2" xfId="5131" xr:uid="{00000000-0005-0000-0000-0000BC000000}"/>
    <cellStyle name="20% - Accent1 2 6 2 2 4" xfId="5130" xr:uid="{00000000-0005-0000-0000-0000BD000000}"/>
    <cellStyle name="20% - Accent1 2 6 2 3" xfId="5129" xr:uid="{00000000-0005-0000-0000-0000BE000000}"/>
    <cellStyle name="20% - Accent1 2 6 2 3 2" xfId="5128" xr:uid="{00000000-0005-0000-0000-0000BF000000}"/>
    <cellStyle name="20% - Accent1 2 6 2 3 2 2" xfId="5127" xr:uid="{00000000-0005-0000-0000-0000C0000000}"/>
    <cellStyle name="20% - Accent1 2 6 2 3 2 3" xfId="5126" xr:uid="{00000000-0005-0000-0000-0000C1000000}"/>
    <cellStyle name="20% - Accent1 2 6 2 3 3" xfId="5125" xr:uid="{00000000-0005-0000-0000-0000C2000000}"/>
    <cellStyle name="20% - Accent1 2 6 2 3 3 2" xfId="5124" xr:uid="{00000000-0005-0000-0000-0000C3000000}"/>
    <cellStyle name="20% - Accent1 2 6 2 3 4" xfId="5123" xr:uid="{00000000-0005-0000-0000-0000C4000000}"/>
    <cellStyle name="20% - Accent1 2 6 2 4" xfId="5122" xr:uid="{00000000-0005-0000-0000-0000C5000000}"/>
    <cellStyle name="20% - Accent1 2 6 2 4 2" xfId="5121" xr:uid="{00000000-0005-0000-0000-0000C6000000}"/>
    <cellStyle name="20% - Accent1 2 6 2 4 3" xfId="5120" xr:uid="{00000000-0005-0000-0000-0000C7000000}"/>
    <cellStyle name="20% - Accent1 2 6 2 5" xfId="5119" xr:uid="{00000000-0005-0000-0000-0000C8000000}"/>
    <cellStyle name="20% - Accent1 2 6 2 6" xfId="5118" xr:uid="{00000000-0005-0000-0000-0000C9000000}"/>
    <cellStyle name="20% - Accent1 2 6 2 6 2" xfId="5117" xr:uid="{00000000-0005-0000-0000-0000CA000000}"/>
    <cellStyle name="20% - Accent1 2 6 2 7" xfId="5116" xr:uid="{00000000-0005-0000-0000-0000CB000000}"/>
    <cellStyle name="20% - Accent1 2 6 3" xfId="5115" xr:uid="{00000000-0005-0000-0000-0000CC000000}"/>
    <cellStyle name="20% - Accent1 2 6 3 2" xfId="5114" xr:uid="{00000000-0005-0000-0000-0000CD000000}"/>
    <cellStyle name="20% - Accent1 2 6 3 2 2" xfId="5113" xr:uid="{00000000-0005-0000-0000-0000CE000000}"/>
    <cellStyle name="20% - Accent1 2 6 3 2 3" xfId="5112" xr:uid="{00000000-0005-0000-0000-0000CF000000}"/>
    <cellStyle name="20% - Accent1 2 6 3 3" xfId="5111" xr:uid="{00000000-0005-0000-0000-0000D0000000}"/>
    <cellStyle name="20% - Accent1 2 6 3 3 2" xfId="5110" xr:uid="{00000000-0005-0000-0000-0000D1000000}"/>
    <cellStyle name="20% - Accent1 2 6 3 4" xfId="5109" xr:uid="{00000000-0005-0000-0000-0000D2000000}"/>
    <cellStyle name="20% - Accent1 2 6 4" xfId="5108" xr:uid="{00000000-0005-0000-0000-0000D3000000}"/>
    <cellStyle name="20% - Accent1 2 6 4 2" xfId="5107" xr:uid="{00000000-0005-0000-0000-0000D4000000}"/>
    <cellStyle name="20% - Accent1 2 6 4 2 2" xfId="5106" xr:uid="{00000000-0005-0000-0000-0000D5000000}"/>
    <cellStyle name="20% - Accent1 2 6 4 2 3" xfId="5105" xr:uid="{00000000-0005-0000-0000-0000D6000000}"/>
    <cellStyle name="20% - Accent1 2 6 4 3" xfId="5104" xr:uid="{00000000-0005-0000-0000-0000D7000000}"/>
    <cellStyle name="20% - Accent1 2 6 4 3 2" xfId="5103" xr:uid="{00000000-0005-0000-0000-0000D8000000}"/>
    <cellStyle name="20% - Accent1 2 6 4 4" xfId="5102" xr:uid="{00000000-0005-0000-0000-0000D9000000}"/>
    <cellStyle name="20% - Accent1 2 6 5" xfId="5101" xr:uid="{00000000-0005-0000-0000-0000DA000000}"/>
    <cellStyle name="20% - Accent1 2 6 5 2" xfId="5100" xr:uid="{00000000-0005-0000-0000-0000DB000000}"/>
    <cellStyle name="20% - Accent1 2 6 5 3" xfId="5099" xr:uid="{00000000-0005-0000-0000-0000DC000000}"/>
    <cellStyle name="20% - Accent1 2 6 6" xfId="5098" xr:uid="{00000000-0005-0000-0000-0000DD000000}"/>
    <cellStyle name="20% - Accent1 2 6 7" xfId="5097" xr:uid="{00000000-0005-0000-0000-0000DE000000}"/>
    <cellStyle name="20% - Accent1 2 6 7 2" xfId="5096" xr:uid="{00000000-0005-0000-0000-0000DF000000}"/>
    <cellStyle name="20% - Accent1 2 6 8" xfId="5095" xr:uid="{00000000-0005-0000-0000-0000E0000000}"/>
    <cellStyle name="20% - Accent1 2 7" xfId="5094" xr:uid="{00000000-0005-0000-0000-0000E1000000}"/>
    <cellStyle name="20% - Accent1 2 7 2" xfId="5093" xr:uid="{00000000-0005-0000-0000-0000E2000000}"/>
    <cellStyle name="20% - Accent1 2 7 2 2" xfId="5092" xr:uid="{00000000-0005-0000-0000-0000E3000000}"/>
    <cellStyle name="20% - Accent1 2 7 2 3" xfId="5091" xr:uid="{00000000-0005-0000-0000-0000E4000000}"/>
    <cellStyle name="20% - Accent1 2 7 3" xfId="5090" xr:uid="{00000000-0005-0000-0000-0000E5000000}"/>
    <cellStyle name="20% - Accent1 2 7 3 2" xfId="5089" xr:uid="{00000000-0005-0000-0000-0000E6000000}"/>
    <cellStyle name="20% - Accent1 2 7 4" xfId="5088" xr:uid="{00000000-0005-0000-0000-0000E7000000}"/>
    <cellStyle name="20% - Accent1 3" xfId="169" xr:uid="{00000000-0005-0000-0000-000018000000}"/>
    <cellStyle name="20% - Accent1 3 10" xfId="5087" xr:uid="{00000000-0005-0000-0000-0000E8000000}"/>
    <cellStyle name="20% - Accent1 3 2" xfId="5086" xr:uid="{00000000-0005-0000-0000-0000E9000000}"/>
    <cellStyle name="20% - Accent1 3 2 2" xfId="5085" xr:uid="{00000000-0005-0000-0000-0000EA000000}"/>
    <cellStyle name="20% - Accent1 3 2 2 2" xfId="5084" xr:uid="{00000000-0005-0000-0000-0000EB000000}"/>
    <cellStyle name="20% - Accent1 3 2 2 2 2" xfId="5083" xr:uid="{00000000-0005-0000-0000-0000EC000000}"/>
    <cellStyle name="20% - Accent1 3 2 2 2 2 2" xfId="5082" xr:uid="{00000000-0005-0000-0000-0000ED000000}"/>
    <cellStyle name="20% - Accent1 3 2 2 2 2 3" xfId="5081" xr:uid="{00000000-0005-0000-0000-0000EE000000}"/>
    <cellStyle name="20% - Accent1 3 2 2 2 3" xfId="5080" xr:uid="{00000000-0005-0000-0000-0000EF000000}"/>
    <cellStyle name="20% - Accent1 3 2 2 2 3 2" xfId="5079" xr:uid="{00000000-0005-0000-0000-0000F0000000}"/>
    <cellStyle name="20% - Accent1 3 2 2 2 4" xfId="5078" xr:uid="{00000000-0005-0000-0000-0000F1000000}"/>
    <cellStyle name="20% - Accent1 3 2 2 3" xfId="5077" xr:uid="{00000000-0005-0000-0000-0000F2000000}"/>
    <cellStyle name="20% - Accent1 3 2 2 3 2" xfId="5076" xr:uid="{00000000-0005-0000-0000-0000F3000000}"/>
    <cellStyle name="20% - Accent1 3 2 2 3 3" xfId="5075" xr:uid="{00000000-0005-0000-0000-0000F4000000}"/>
    <cellStyle name="20% - Accent1 3 2 2 4" xfId="5074" xr:uid="{00000000-0005-0000-0000-0000F5000000}"/>
    <cellStyle name="20% - Accent1 3 2 2 5" xfId="5073" xr:uid="{00000000-0005-0000-0000-0000F6000000}"/>
    <cellStyle name="20% - Accent1 3 2 2 5 2" xfId="5072" xr:uid="{00000000-0005-0000-0000-0000F7000000}"/>
    <cellStyle name="20% - Accent1 3 2 2 6" xfId="5071" xr:uid="{00000000-0005-0000-0000-0000F8000000}"/>
    <cellStyle name="20% - Accent1 3 2 3" xfId="5070" xr:uid="{00000000-0005-0000-0000-0000F9000000}"/>
    <cellStyle name="20% - Accent1 3 2 3 2" xfId="5069" xr:uid="{00000000-0005-0000-0000-0000FA000000}"/>
    <cellStyle name="20% - Accent1 3 2 3 2 2" xfId="5068" xr:uid="{00000000-0005-0000-0000-0000FB000000}"/>
    <cellStyle name="20% - Accent1 3 2 3 2 3" xfId="5067" xr:uid="{00000000-0005-0000-0000-0000FC000000}"/>
    <cellStyle name="20% - Accent1 3 2 3 3" xfId="5066" xr:uid="{00000000-0005-0000-0000-0000FD000000}"/>
    <cellStyle name="20% - Accent1 3 2 3 3 2" xfId="5065" xr:uid="{00000000-0005-0000-0000-0000FE000000}"/>
    <cellStyle name="20% - Accent1 3 2 3 4" xfId="5064" xr:uid="{00000000-0005-0000-0000-0000FF000000}"/>
    <cellStyle name="20% - Accent1 3 2 4" xfId="5063" xr:uid="{00000000-0005-0000-0000-000000010000}"/>
    <cellStyle name="20% - Accent1 3 2 5" xfId="5062" xr:uid="{00000000-0005-0000-0000-000001010000}"/>
    <cellStyle name="20% - Accent1 3 3" xfId="5061" xr:uid="{00000000-0005-0000-0000-000002010000}"/>
    <cellStyle name="20% - Accent1 3 3 2" xfId="5060" xr:uid="{00000000-0005-0000-0000-000003010000}"/>
    <cellStyle name="20% - Accent1 3 3 2 2" xfId="5059" xr:uid="{00000000-0005-0000-0000-000004010000}"/>
    <cellStyle name="20% - Accent1 3 3 2 3" xfId="5058" xr:uid="{00000000-0005-0000-0000-000005010000}"/>
    <cellStyle name="20% - Accent1 3 3 2 3 2" xfId="5057" xr:uid="{00000000-0005-0000-0000-000006010000}"/>
    <cellStyle name="20% - Accent1 3 3 3" xfId="5056" xr:uid="{00000000-0005-0000-0000-000007010000}"/>
    <cellStyle name="20% - Accent1 3 3 4" xfId="5055" xr:uid="{00000000-0005-0000-0000-000008010000}"/>
    <cellStyle name="20% - Accent1 3 3 4 2" xfId="5054" xr:uid="{00000000-0005-0000-0000-000009010000}"/>
    <cellStyle name="20% - Accent1 3 3 5" xfId="5053" xr:uid="{00000000-0005-0000-0000-00000A010000}"/>
    <cellStyle name="20% - Accent1 3 4" xfId="5052" xr:uid="{00000000-0005-0000-0000-00000B010000}"/>
    <cellStyle name="20% - Accent1 3 4 2" xfId="5051" xr:uid="{00000000-0005-0000-0000-00000C010000}"/>
    <cellStyle name="20% - Accent1 3 4 2 2" xfId="5050" xr:uid="{00000000-0005-0000-0000-00000D010000}"/>
    <cellStyle name="20% - Accent1 3 4 2 3" xfId="5049" xr:uid="{00000000-0005-0000-0000-00000E010000}"/>
    <cellStyle name="20% - Accent1 3 4 3" xfId="5048" xr:uid="{00000000-0005-0000-0000-00000F010000}"/>
    <cellStyle name="20% - Accent1 3 4 4" xfId="5047" xr:uid="{00000000-0005-0000-0000-000010010000}"/>
    <cellStyle name="20% - Accent1 3 4 4 2" xfId="5046" xr:uid="{00000000-0005-0000-0000-000011010000}"/>
    <cellStyle name="20% - Accent1 3 4 5" xfId="5045" xr:uid="{00000000-0005-0000-0000-000012010000}"/>
    <cellStyle name="20% - Accent1 3 5" xfId="5044" xr:uid="{00000000-0005-0000-0000-000013010000}"/>
    <cellStyle name="20% - Accent1 3 5 2" xfId="5043" xr:uid="{00000000-0005-0000-0000-000014010000}"/>
    <cellStyle name="20% - Accent1 3 5 2 2" xfId="5042" xr:uid="{00000000-0005-0000-0000-000015010000}"/>
    <cellStyle name="20% - Accent1 3 5 2 3" xfId="5041" xr:uid="{00000000-0005-0000-0000-000016010000}"/>
    <cellStyle name="20% - Accent1 3 5 3" xfId="5040" xr:uid="{00000000-0005-0000-0000-000017010000}"/>
    <cellStyle name="20% - Accent1 3 5 3 2" xfId="5039" xr:uid="{00000000-0005-0000-0000-000018010000}"/>
    <cellStyle name="20% - Accent1 3 5 4" xfId="5038" xr:uid="{00000000-0005-0000-0000-000019010000}"/>
    <cellStyle name="20% - Accent1 3 6" xfId="5037" xr:uid="{00000000-0005-0000-0000-00001A010000}"/>
    <cellStyle name="20% - Accent1 3 6 2" xfId="5036" xr:uid="{00000000-0005-0000-0000-00001B010000}"/>
    <cellStyle name="20% - Accent1 3 6 3" xfId="5035" xr:uid="{00000000-0005-0000-0000-00001C010000}"/>
    <cellStyle name="20% - Accent1 3 7" xfId="5034" xr:uid="{00000000-0005-0000-0000-00001D010000}"/>
    <cellStyle name="20% - Accent1 3 8" xfId="5033" xr:uid="{00000000-0005-0000-0000-00001E010000}"/>
    <cellStyle name="20% - Accent1 3 8 2" xfId="5032" xr:uid="{00000000-0005-0000-0000-00001F010000}"/>
    <cellStyle name="20% - Accent1 3 9" xfId="5031" xr:uid="{00000000-0005-0000-0000-000020010000}"/>
    <cellStyle name="20% - Accent1 4" xfId="194" xr:uid="{00000000-0005-0000-0000-000019000000}"/>
    <cellStyle name="20% - Accent1 4 10" xfId="5030" xr:uid="{00000000-0005-0000-0000-000021010000}"/>
    <cellStyle name="20% - Accent1 4 2" xfId="5029" xr:uid="{00000000-0005-0000-0000-000022010000}"/>
    <cellStyle name="20% - Accent1 4 2 2" xfId="5028" xr:uid="{00000000-0005-0000-0000-000023010000}"/>
    <cellStyle name="20% - Accent1 4 2 2 2" xfId="5027" xr:uid="{00000000-0005-0000-0000-000024010000}"/>
    <cellStyle name="20% - Accent1 4 2 2 2 2" xfId="5026" xr:uid="{00000000-0005-0000-0000-000025010000}"/>
    <cellStyle name="20% - Accent1 4 2 2 2 2 2" xfId="5025" xr:uid="{00000000-0005-0000-0000-000026010000}"/>
    <cellStyle name="20% - Accent1 4 2 2 2 2 3" xfId="5024" xr:uid="{00000000-0005-0000-0000-000027010000}"/>
    <cellStyle name="20% - Accent1 4 2 2 2 3" xfId="5023" xr:uid="{00000000-0005-0000-0000-000028010000}"/>
    <cellStyle name="20% - Accent1 4 2 2 2 3 2" xfId="5022" xr:uid="{00000000-0005-0000-0000-000029010000}"/>
    <cellStyle name="20% - Accent1 4 2 2 2 4" xfId="5021" xr:uid="{00000000-0005-0000-0000-00002A010000}"/>
    <cellStyle name="20% - Accent1 4 2 2 3" xfId="5020" xr:uid="{00000000-0005-0000-0000-00002B010000}"/>
    <cellStyle name="20% - Accent1 4 2 2 3 2" xfId="5019" xr:uid="{00000000-0005-0000-0000-00002C010000}"/>
    <cellStyle name="20% - Accent1 4 2 2 3 3" xfId="5018" xr:uid="{00000000-0005-0000-0000-00002D010000}"/>
    <cellStyle name="20% - Accent1 4 2 2 4" xfId="5017" xr:uid="{00000000-0005-0000-0000-00002E010000}"/>
    <cellStyle name="20% - Accent1 4 2 2 5" xfId="5016" xr:uid="{00000000-0005-0000-0000-00002F010000}"/>
    <cellStyle name="20% - Accent1 4 2 2 5 2" xfId="5015" xr:uid="{00000000-0005-0000-0000-000030010000}"/>
    <cellStyle name="20% - Accent1 4 2 2 6" xfId="5014" xr:uid="{00000000-0005-0000-0000-000031010000}"/>
    <cellStyle name="20% - Accent1 4 2 3" xfId="5013" xr:uid="{00000000-0005-0000-0000-000032010000}"/>
    <cellStyle name="20% - Accent1 4 2 3 2" xfId="5012" xr:uid="{00000000-0005-0000-0000-000033010000}"/>
    <cellStyle name="20% - Accent1 4 2 3 2 2" xfId="5011" xr:uid="{00000000-0005-0000-0000-000034010000}"/>
    <cellStyle name="20% - Accent1 4 2 3 2 3" xfId="5010" xr:uid="{00000000-0005-0000-0000-000035010000}"/>
    <cellStyle name="20% - Accent1 4 2 3 3" xfId="5009" xr:uid="{00000000-0005-0000-0000-000036010000}"/>
    <cellStyle name="20% - Accent1 4 2 3 3 2" xfId="5008" xr:uid="{00000000-0005-0000-0000-000037010000}"/>
    <cellStyle name="20% - Accent1 4 2 3 4" xfId="5007" xr:uid="{00000000-0005-0000-0000-000038010000}"/>
    <cellStyle name="20% - Accent1 4 2 4" xfId="5006" xr:uid="{00000000-0005-0000-0000-000039010000}"/>
    <cellStyle name="20% - Accent1 4 2 5" xfId="5005" xr:uid="{00000000-0005-0000-0000-00003A010000}"/>
    <cellStyle name="20% - Accent1 4 3" xfId="5004" xr:uid="{00000000-0005-0000-0000-00003B010000}"/>
    <cellStyle name="20% - Accent1 4 3 2" xfId="5003" xr:uid="{00000000-0005-0000-0000-00003C010000}"/>
    <cellStyle name="20% - Accent1 4 3 2 2" xfId="5002" xr:uid="{00000000-0005-0000-0000-00003D010000}"/>
    <cellStyle name="20% - Accent1 4 3 2 3" xfId="5001" xr:uid="{00000000-0005-0000-0000-00003E010000}"/>
    <cellStyle name="20% - Accent1 4 3 3" xfId="5000" xr:uid="{00000000-0005-0000-0000-00003F010000}"/>
    <cellStyle name="20% - Accent1 4 3 4" xfId="4999" xr:uid="{00000000-0005-0000-0000-000040010000}"/>
    <cellStyle name="20% - Accent1 4 3 4 2" xfId="4998" xr:uid="{00000000-0005-0000-0000-000041010000}"/>
    <cellStyle name="20% - Accent1 4 3 5" xfId="4997" xr:uid="{00000000-0005-0000-0000-000042010000}"/>
    <cellStyle name="20% - Accent1 4 4" xfId="4996" xr:uid="{00000000-0005-0000-0000-000043010000}"/>
    <cellStyle name="20% - Accent1 4 4 2" xfId="4995" xr:uid="{00000000-0005-0000-0000-000044010000}"/>
    <cellStyle name="20% - Accent1 4 4 2 2" xfId="4994" xr:uid="{00000000-0005-0000-0000-000045010000}"/>
    <cellStyle name="20% - Accent1 4 4 2 3" xfId="4993" xr:uid="{00000000-0005-0000-0000-000046010000}"/>
    <cellStyle name="20% - Accent1 4 4 3" xfId="5579" xr:uid="{00000000-0005-0000-0000-000047010000}"/>
    <cellStyle name="20% - Accent1 4 4 3 2" xfId="5533" xr:uid="{00000000-0005-0000-0000-000048010000}"/>
    <cellStyle name="20% - Accent1 4 4 4" xfId="4992" xr:uid="{00000000-0005-0000-0000-000049010000}"/>
    <cellStyle name="20% - Accent1 4 5" xfId="4991" xr:uid="{00000000-0005-0000-0000-00004A010000}"/>
    <cellStyle name="20% - Accent1 4 5 2" xfId="4990" xr:uid="{00000000-0005-0000-0000-00004B010000}"/>
    <cellStyle name="20% - Accent1 4 5 2 2" xfId="4989" xr:uid="{00000000-0005-0000-0000-00004C010000}"/>
    <cellStyle name="20% - Accent1 4 5 2 3" xfId="4988" xr:uid="{00000000-0005-0000-0000-00004D010000}"/>
    <cellStyle name="20% - Accent1 4 5 3" xfId="4987" xr:uid="{00000000-0005-0000-0000-00004E010000}"/>
    <cellStyle name="20% - Accent1 4 5 3 2" xfId="4986" xr:uid="{00000000-0005-0000-0000-00004F010000}"/>
    <cellStyle name="20% - Accent1 4 5 4" xfId="4985" xr:uid="{00000000-0005-0000-0000-000050010000}"/>
    <cellStyle name="20% - Accent1 4 6" xfId="4984" xr:uid="{00000000-0005-0000-0000-000051010000}"/>
    <cellStyle name="20% - Accent1 4 6 2" xfId="4983" xr:uid="{00000000-0005-0000-0000-000052010000}"/>
    <cellStyle name="20% - Accent1 4 6 3" xfId="4982" xr:uid="{00000000-0005-0000-0000-000053010000}"/>
    <cellStyle name="20% - Accent1 4 7" xfId="4981" xr:uid="{00000000-0005-0000-0000-000054010000}"/>
    <cellStyle name="20% - Accent1 4 8" xfId="4980" xr:uid="{00000000-0005-0000-0000-000055010000}"/>
    <cellStyle name="20% - Accent1 4 8 2" xfId="4979" xr:uid="{00000000-0005-0000-0000-000056010000}"/>
    <cellStyle name="20% - Accent1 4 9" xfId="4978" xr:uid="{00000000-0005-0000-0000-000057010000}"/>
    <cellStyle name="20% - Accent1 5" xfId="199" xr:uid="{00000000-0005-0000-0000-00001A000000}"/>
    <cellStyle name="20% - Accent1 5 2" xfId="4976" xr:uid="{00000000-0005-0000-0000-000059010000}"/>
    <cellStyle name="20% - Accent1 5 2 2" xfId="4975" xr:uid="{00000000-0005-0000-0000-00005A010000}"/>
    <cellStyle name="20% - Accent1 5 2 2 2" xfId="4974" xr:uid="{00000000-0005-0000-0000-00005B010000}"/>
    <cellStyle name="20% - Accent1 5 2 2 2 2" xfId="4973" xr:uid="{00000000-0005-0000-0000-00005C010000}"/>
    <cellStyle name="20% - Accent1 5 2 2 2 2 2" xfId="4972" xr:uid="{00000000-0005-0000-0000-00005D010000}"/>
    <cellStyle name="20% - Accent1 5 2 2 2 2 3" xfId="4971" xr:uid="{00000000-0005-0000-0000-00005E010000}"/>
    <cellStyle name="20% - Accent1 5 2 2 2 3" xfId="4970" xr:uid="{00000000-0005-0000-0000-00005F010000}"/>
    <cellStyle name="20% - Accent1 5 2 2 2 3 2" xfId="4969" xr:uid="{00000000-0005-0000-0000-000060010000}"/>
    <cellStyle name="20% - Accent1 5 2 2 2 4" xfId="4968" xr:uid="{00000000-0005-0000-0000-000061010000}"/>
    <cellStyle name="20% - Accent1 5 2 2 3" xfId="4967" xr:uid="{00000000-0005-0000-0000-000062010000}"/>
    <cellStyle name="20% - Accent1 5 2 2 3 2" xfId="4966" xr:uid="{00000000-0005-0000-0000-000063010000}"/>
    <cellStyle name="20% - Accent1 5 2 2 3 3" xfId="4965" xr:uid="{00000000-0005-0000-0000-000064010000}"/>
    <cellStyle name="20% - Accent1 5 2 2 4" xfId="4964" xr:uid="{00000000-0005-0000-0000-000065010000}"/>
    <cellStyle name="20% - Accent1 5 2 2 5" xfId="4963" xr:uid="{00000000-0005-0000-0000-000066010000}"/>
    <cellStyle name="20% - Accent1 5 2 2 5 2" xfId="4962" xr:uid="{00000000-0005-0000-0000-000067010000}"/>
    <cellStyle name="20% - Accent1 5 2 2 6" xfId="4961" xr:uid="{00000000-0005-0000-0000-000068010000}"/>
    <cellStyle name="20% - Accent1 5 2 3" xfId="4960" xr:uid="{00000000-0005-0000-0000-000069010000}"/>
    <cellStyle name="20% - Accent1 5 2 3 2" xfId="4959" xr:uid="{00000000-0005-0000-0000-00006A010000}"/>
    <cellStyle name="20% - Accent1 5 2 3 2 2" xfId="4958" xr:uid="{00000000-0005-0000-0000-00006B010000}"/>
    <cellStyle name="20% - Accent1 5 2 3 2 3" xfId="4957" xr:uid="{00000000-0005-0000-0000-00006C010000}"/>
    <cellStyle name="20% - Accent1 5 2 3 3" xfId="4956" xr:uid="{00000000-0005-0000-0000-00006D010000}"/>
    <cellStyle name="20% - Accent1 5 2 3 3 2" xfId="4955" xr:uid="{00000000-0005-0000-0000-00006E010000}"/>
    <cellStyle name="20% - Accent1 5 2 3 4" xfId="4954" xr:uid="{00000000-0005-0000-0000-00006F010000}"/>
    <cellStyle name="20% - Accent1 5 2 4" xfId="4953" xr:uid="{00000000-0005-0000-0000-000070010000}"/>
    <cellStyle name="20% - Accent1 5 2 5" xfId="4952" xr:uid="{00000000-0005-0000-0000-000071010000}"/>
    <cellStyle name="20% - Accent1 5 3" xfId="4951" xr:uid="{00000000-0005-0000-0000-000072010000}"/>
    <cellStyle name="20% - Accent1 5 3 2" xfId="4950" xr:uid="{00000000-0005-0000-0000-000073010000}"/>
    <cellStyle name="20% - Accent1 5 3 2 2" xfId="4949" xr:uid="{00000000-0005-0000-0000-000074010000}"/>
    <cellStyle name="20% - Accent1 5 3 2 3" xfId="4948" xr:uid="{00000000-0005-0000-0000-000075010000}"/>
    <cellStyle name="20% - Accent1 5 3 3" xfId="4947" xr:uid="{00000000-0005-0000-0000-000076010000}"/>
    <cellStyle name="20% - Accent1 5 3 4" xfId="4946" xr:uid="{00000000-0005-0000-0000-000077010000}"/>
    <cellStyle name="20% - Accent1 5 3 4 2" xfId="4945" xr:uid="{00000000-0005-0000-0000-000078010000}"/>
    <cellStyle name="20% - Accent1 5 3 5" xfId="4944" xr:uid="{00000000-0005-0000-0000-000079010000}"/>
    <cellStyle name="20% - Accent1 5 4" xfId="4943" xr:uid="{00000000-0005-0000-0000-00007A010000}"/>
    <cellStyle name="20% - Accent1 5 4 2" xfId="4942" xr:uid="{00000000-0005-0000-0000-00007B010000}"/>
    <cellStyle name="20% - Accent1 5 4 2 2" xfId="4941" xr:uid="{00000000-0005-0000-0000-00007C010000}"/>
    <cellStyle name="20% - Accent1 5 4 2 3" xfId="4940" xr:uid="{00000000-0005-0000-0000-00007D010000}"/>
    <cellStyle name="20% - Accent1 5 4 3" xfId="4939" xr:uid="{00000000-0005-0000-0000-00007E010000}"/>
    <cellStyle name="20% - Accent1 5 4 3 2" xfId="4938" xr:uid="{00000000-0005-0000-0000-00007F010000}"/>
    <cellStyle name="20% - Accent1 5 4 4" xfId="4937" xr:uid="{00000000-0005-0000-0000-000080010000}"/>
    <cellStyle name="20% - Accent1 5 5" xfId="4936" xr:uid="{00000000-0005-0000-0000-000081010000}"/>
    <cellStyle name="20% - Accent1 5 5 2" xfId="4935" xr:uid="{00000000-0005-0000-0000-000082010000}"/>
    <cellStyle name="20% - Accent1 5 5 3" xfId="4934" xr:uid="{00000000-0005-0000-0000-000083010000}"/>
    <cellStyle name="20% - Accent1 5 6" xfId="4933" xr:uid="{00000000-0005-0000-0000-000084010000}"/>
    <cellStyle name="20% - Accent1 5 7" xfId="4932" xr:uid="{00000000-0005-0000-0000-000085010000}"/>
    <cellStyle name="20% - Accent1 5 7 2" xfId="4931" xr:uid="{00000000-0005-0000-0000-000086010000}"/>
    <cellStyle name="20% - Accent1 5 8" xfId="4930" xr:uid="{00000000-0005-0000-0000-000087010000}"/>
    <cellStyle name="20% - Accent1 5 9" xfId="4977" xr:uid="{00000000-0005-0000-0000-000058010000}"/>
    <cellStyle name="20% - Accent1 6" xfId="201" xr:uid="{00000000-0005-0000-0000-00001B000000}"/>
    <cellStyle name="20% - Accent1 6 2" xfId="4929" xr:uid="{00000000-0005-0000-0000-000089010000}"/>
    <cellStyle name="20% - Accent1 6 2 2" xfId="4928" xr:uid="{00000000-0005-0000-0000-00008A010000}"/>
    <cellStyle name="20% - Accent1 6 2 2 2" xfId="4927" xr:uid="{00000000-0005-0000-0000-00008B010000}"/>
    <cellStyle name="20% - Accent1 6 2 2 2 2" xfId="4926" xr:uid="{00000000-0005-0000-0000-00008C010000}"/>
    <cellStyle name="20% - Accent1 6 2 2 2 3" xfId="4925" xr:uid="{00000000-0005-0000-0000-00008D010000}"/>
    <cellStyle name="20% - Accent1 6 2 2 3" xfId="4924" xr:uid="{00000000-0005-0000-0000-00008E010000}"/>
    <cellStyle name="20% - Accent1 6 2 2 3 2" xfId="4923" xr:uid="{00000000-0005-0000-0000-00008F010000}"/>
    <cellStyle name="20% - Accent1 6 2 2 4" xfId="4922" xr:uid="{00000000-0005-0000-0000-000090010000}"/>
    <cellStyle name="20% - Accent1 6 2 3" xfId="4921" xr:uid="{00000000-0005-0000-0000-000091010000}"/>
    <cellStyle name="20% - Accent1 6 2 3 2" xfId="4920" xr:uid="{00000000-0005-0000-0000-000092010000}"/>
    <cellStyle name="20% - Accent1 6 2 3 3" xfId="4919" xr:uid="{00000000-0005-0000-0000-000093010000}"/>
    <cellStyle name="20% - Accent1 6 2 4" xfId="4918" xr:uid="{00000000-0005-0000-0000-000094010000}"/>
    <cellStyle name="20% - Accent1 6 2 5" xfId="4917" xr:uid="{00000000-0005-0000-0000-000095010000}"/>
    <cellStyle name="20% - Accent1 6 2 5 2" xfId="4916" xr:uid="{00000000-0005-0000-0000-000096010000}"/>
    <cellStyle name="20% - Accent1 6 2 6" xfId="4915" xr:uid="{00000000-0005-0000-0000-000097010000}"/>
    <cellStyle name="20% - Accent1 6 3" xfId="4914" xr:uid="{00000000-0005-0000-0000-000098010000}"/>
    <cellStyle name="20% - Accent1 6 3 2" xfId="4913" xr:uid="{00000000-0005-0000-0000-000099010000}"/>
    <cellStyle name="20% - Accent1 6 3 2 2" xfId="4912" xr:uid="{00000000-0005-0000-0000-00009A010000}"/>
    <cellStyle name="20% - Accent1 6 3 2 3" xfId="4911" xr:uid="{00000000-0005-0000-0000-00009B010000}"/>
    <cellStyle name="20% - Accent1 6 3 3" xfId="4910" xr:uid="{00000000-0005-0000-0000-00009C010000}"/>
    <cellStyle name="20% - Accent1 6 3 3 2" xfId="4909" xr:uid="{00000000-0005-0000-0000-00009D010000}"/>
    <cellStyle name="20% - Accent1 6 3 4" xfId="4908" xr:uid="{00000000-0005-0000-0000-00009E010000}"/>
    <cellStyle name="20% - Accent1 6 4" xfId="4907" xr:uid="{00000000-0005-0000-0000-00009F010000}"/>
    <cellStyle name="20% - Accent1 6 5" xfId="4906" xr:uid="{00000000-0005-0000-0000-0000A0010000}"/>
    <cellStyle name="20% - Accent1 7" xfId="110" xr:uid="{00000000-0005-0000-0000-00001C000000}"/>
    <cellStyle name="20% - Accent1 7 2" xfId="4905" xr:uid="{00000000-0005-0000-0000-0000A2010000}"/>
    <cellStyle name="20% - Accent1 7 3" xfId="4904" xr:uid="{00000000-0005-0000-0000-0000A3010000}"/>
    <cellStyle name="20% - Accent1 7 4" xfId="4903" xr:uid="{00000000-0005-0000-0000-0000A4010000}"/>
    <cellStyle name="20% - Accent1 8" xfId="4902" xr:uid="{00000000-0005-0000-0000-0000A5010000}"/>
    <cellStyle name="20% - Accent1 8 2" xfId="4901" xr:uid="{00000000-0005-0000-0000-0000A6010000}"/>
    <cellStyle name="20% - Accent1 8 2 2" xfId="4900" xr:uid="{00000000-0005-0000-0000-0000A7010000}"/>
    <cellStyle name="20% - Accent1 8 2 3" xfId="4899" xr:uid="{00000000-0005-0000-0000-0000A8010000}"/>
    <cellStyle name="20% - Accent1 8 2 3 2" xfId="4898" xr:uid="{00000000-0005-0000-0000-0000A9010000}"/>
    <cellStyle name="20% - Accent1 8 3" xfId="4897" xr:uid="{00000000-0005-0000-0000-0000AA010000}"/>
    <cellStyle name="20% - Accent1 8 4" xfId="4896" xr:uid="{00000000-0005-0000-0000-0000AB010000}"/>
    <cellStyle name="20% - Accent1 8 4 2" xfId="4895" xr:uid="{00000000-0005-0000-0000-0000AC010000}"/>
    <cellStyle name="20% - Accent1 8 5" xfId="4894" xr:uid="{00000000-0005-0000-0000-0000AD010000}"/>
    <cellStyle name="20% - Accent1 9" xfId="4893" xr:uid="{00000000-0005-0000-0000-0000AE010000}"/>
    <cellStyle name="20% - Accent1 9 2" xfId="4892" xr:uid="{00000000-0005-0000-0000-0000AF010000}"/>
    <cellStyle name="20% - Accent1 9 2 2" xfId="4891" xr:uid="{00000000-0005-0000-0000-0000B0010000}"/>
    <cellStyle name="20% - Accent1 9 2 3" xfId="4890" xr:uid="{00000000-0005-0000-0000-0000B1010000}"/>
    <cellStyle name="20% - Accent1 9 3" xfId="4889" xr:uid="{00000000-0005-0000-0000-0000B2010000}"/>
    <cellStyle name="20% - Accent1 9 4" xfId="4888" xr:uid="{00000000-0005-0000-0000-0000B3010000}"/>
    <cellStyle name="20% - Accent1 9 4 2" xfId="4887" xr:uid="{00000000-0005-0000-0000-0000B4010000}"/>
    <cellStyle name="20% - Accent1 9 5" xfId="4886" xr:uid="{00000000-0005-0000-0000-0000B5010000}"/>
    <cellStyle name="20% - Accent2" xfId="86" builtinId="34" customBuiltin="1"/>
    <cellStyle name="20% - Accent2 10" xfId="4885" xr:uid="{00000000-0005-0000-0000-0000B6010000}"/>
    <cellStyle name="20% - Accent2 10 2" xfId="4884" xr:uid="{00000000-0005-0000-0000-0000B7010000}"/>
    <cellStyle name="20% - Accent2 10 2 2" xfId="4883" xr:uid="{00000000-0005-0000-0000-0000B8010000}"/>
    <cellStyle name="20% - Accent2 10 2 3" xfId="4882" xr:uid="{00000000-0005-0000-0000-0000B9010000}"/>
    <cellStyle name="20% - Accent2 10 3" xfId="4881" xr:uid="{00000000-0005-0000-0000-0000BA010000}"/>
    <cellStyle name="20% - Accent2 10 4" xfId="4880" xr:uid="{00000000-0005-0000-0000-0000BB010000}"/>
    <cellStyle name="20% - Accent2 10 4 2" xfId="4879" xr:uid="{00000000-0005-0000-0000-0000BC010000}"/>
    <cellStyle name="20% - Accent2 10 5" xfId="4878" xr:uid="{00000000-0005-0000-0000-0000BD010000}"/>
    <cellStyle name="20% - Accent2 11" xfId="4877" xr:uid="{00000000-0005-0000-0000-0000BE010000}"/>
    <cellStyle name="20% - Accent2 11 2" xfId="4876" xr:uid="{00000000-0005-0000-0000-0000BF010000}"/>
    <cellStyle name="20% - Accent2 11 3" xfId="4875" xr:uid="{00000000-0005-0000-0000-0000C0010000}"/>
    <cellStyle name="20% - Accent2 11 3 2" xfId="4874" xr:uid="{00000000-0005-0000-0000-0000C1010000}"/>
    <cellStyle name="20% - Accent2 12" xfId="4873" xr:uid="{00000000-0005-0000-0000-0000C2010000}"/>
    <cellStyle name="20% - Accent2 12 2" xfId="4872" xr:uid="{00000000-0005-0000-0000-0000C3010000}"/>
    <cellStyle name="20% - Accent2 12 3" xfId="4871" xr:uid="{00000000-0005-0000-0000-0000C4010000}"/>
    <cellStyle name="20% - Accent2 13" xfId="4870" xr:uid="{00000000-0005-0000-0000-0000C5010000}"/>
    <cellStyle name="20% - Accent2 13 2" xfId="4869" xr:uid="{00000000-0005-0000-0000-0000C6010000}"/>
    <cellStyle name="20% - Accent2 13 3" xfId="4868" xr:uid="{00000000-0005-0000-0000-0000C7010000}"/>
    <cellStyle name="20% - Accent2 14" xfId="4867" xr:uid="{00000000-0005-0000-0000-0000C8010000}"/>
    <cellStyle name="20% - Accent2 14 2" xfId="4866" xr:uid="{00000000-0005-0000-0000-0000C9010000}"/>
    <cellStyle name="20% - Accent2 15" xfId="4865" xr:uid="{00000000-0005-0000-0000-0000CA010000}"/>
    <cellStyle name="20% - Accent2 16" xfId="4864" xr:uid="{00000000-0005-0000-0000-0000CB010000}"/>
    <cellStyle name="20% - Accent2 2" xfId="196" xr:uid="{00000000-0005-0000-0000-00001D000000}"/>
    <cellStyle name="20% - Accent2 2 2" xfId="4863" xr:uid="{00000000-0005-0000-0000-0000CD010000}"/>
    <cellStyle name="20% - Accent2 2 3" xfId="4862" xr:uid="{00000000-0005-0000-0000-0000CE010000}"/>
    <cellStyle name="20% - Accent2 2 3 2" xfId="4861" xr:uid="{00000000-0005-0000-0000-0000CF010000}"/>
    <cellStyle name="20% - Accent2 2 3 2 2" xfId="4860" xr:uid="{00000000-0005-0000-0000-0000D0010000}"/>
    <cellStyle name="20% - Accent2 2 3 2 2 2" xfId="4859" xr:uid="{00000000-0005-0000-0000-0000D1010000}"/>
    <cellStyle name="20% - Accent2 2 3 2 2 2 2" xfId="4858" xr:uid="{00000000-0005-0000-0000-0000D2010000}"/>
    <cellStyle name="20% - Accent2 2 3 2 2 2 3" xfId="4857" xr:uid="{00000000-0005-0000-0000-0000D3010000}"/>
    <cellStyle name="20% - Accent2 2 3 2 2 3" xfId="4856" xr:uid="{00000000-0005-0000-0000-0000D4010000}"/>
    <cellStyle name="20% - Accent2 2 3 2 2 3 2" xfId="4855" xr:uid="{00000000-0005-0000-0000-0000D5010000}"/>
    <cellStyle name="20% - Accent2 2 3 2 2 4" xfId="4854" xr:uid="{00000000-0005-0000-0000-0000D6010000}"/>
    <cellStyle name="20% - Accent2 2 3 2 3" xfId="4853" xr:uid="{00000000-0005-0000-0000-0000D7010000}"/>
    <cellStyle name="20% - Accent2 2 3 2 3 2" xfId="4852" xr:uid="{00000000-0005-0000-0000-0000D8010000}"/>
    <cellStyle name="20% - Accent2 2 3 2 3 2 2" xfId="4851" xr:uid="{00000000-0005-0000-0000-0000D9010000}"/>
    <cellStyle name="20% - Accent2 2 3 2 3 2 3" xfId="4850" xr:uid="{00000000-0005-0000-0000-0000DA010000}"/>
    <cellStyle name="20% - Accent2 2 3 2 3 3" xfId="4849" xr:uid="{00000000-0005-0000-0000-0000DB010000}"/>
    <cellStyle name="20% - Accent2 2 3 2 3 3 2" xfId="4848" xr:uid="{00000000-0005-0000-0000-0000DC010000}"/>
    <cellStyle name="20% - Accent2 2 3 2 3 4" xfId="4847" xr:uid="{00000000-0005-0000-0000-0000DD010000}"/>
    <cellStyle name="20% - Accent2 2 3 2 4" xfId="4846" xr:uid="{00000000-0005-0000-0000-0000DE010000}"/>
    <cellStyle name="20% - Accent2 2 3 2 4 2" xfId="4845" xr:uid="{00000000-0005-0000-0000-0000DF010000}"/>
    <cellStyle name="20% - Accent2 2 3 2 4 3" xfId="4844" xr:uid="{00000000-0005-0000-0000-0000E0010000}"/>
    <cellStyle name="20% - Accent2 2 3 2 5" xfId="4843" xr:uid="{00000000-0005-0000-0000-0000E1010000}"/>
    <cellStyle name="20% - Accent2 2 3 2 6" xfId="4842" xr:uid="{00000000-0005-0000-0000-0000E2010000}"/>
    <cellStyle name="20% - Accent2 2 3 2 6 2" xfId="4841" xr:uid="{00000000-0005-0000-0000-0000E3010000}"/>
    <cellStyle name="20% - Accent2 2 3 2 7" xfId="4840" xr:uid="{00000000-0005-0000-0000-0000E4010000}"/>
    <cellStyle name="20% - Accent2 2 3 3" xfId="4839" xr:uid="{00000000-0005-0000-0000-0000E5010000}"/>
    <cellStyle name="20% - Accent2 2 3 3 2" xfId="4838" xr:uid="{00000000-0005-0000-0000-0000E6010000}"/>
    <cellStyle name="20% - Accent2 2 3 3 2 2" xfId="4837" xr:uid="{00000000-0005-0000-0000-0000E7010000}"/>
    <cellStyle name="20% - Accent2 2 3 3 2 3" xfId="4836" xr:uid="{00000000-0005-0000-0000-0000E8010000}"/>
    <cellStyle name="20% - Accent2 2 3 3 3" xfId="4835" xr:uid="{00000000-0005-0000-0000-0000E9010000}"/>
    <cellStyle name="20% - Accent2 2 3 3 3 2" xfId="4834" xr:uid="{00000000-0005-0000-0000-0000EA010000}"/>
    <cellStyle name="20% - Accent2 2 3 3 4" xfId="4833" xr:uid="{00000000-0005-0000-0000-0000EB010000}"/>
    <cellStyle name="20% - Accent2 2 3 4" xfId="4832" xr:uid="{00000000-0005-0000-0000-0000EC010000}"/>
    <cellStyle name="20% - Accent2 2 3 4 2" xfId="4831" xr:uid="{00000000-0005-0000-0000-0000ED010000}"/>
    <cellStyle name="20% - Accent2 2 3 4 2 2" xfId="4830" xr:uid="{00000000-0005-0000-0000-0000EE010000}"/>
    <cellStyle name="20% - Accent2 2 3 4 2 3" xfId="4829" xr:uid="{00000000-0005-0000-0000-0000EF010000}"/>
    <cellStyle name="20% - Accent2 2 3 4 3" xfId="4828" xr:uid="{00000000-0005-0000-0000-0000F0010000}"/>
    <cellStyle name="20% - Accent2 2 3 4 3 2" xfId="4827" xr:uid="{00000000-0005-0000-0000-0000F1010000}"/>
    <cellStyle name="20% - Accent2 2 3 4 4" xfId="4826" xr:uid="{00000000-0005-0000-0000-0000F2010000}"/>
    <cellStyle name="20% - Accent2 2 3 5" xfId="4825" xr:uid="{00000000-0005-0000-0000-0000F3010000}"/>
    <cellStyle name="20% - Accent2 2 3 5 2" xfId="4824" xr:uid="{00000000-0005-0000-0000-0000F4010000}"/>
    <cellStyle name="20% - Accent2 2 3 5 3" xfId="4823" xr:uid="{00000000-0005-0000-0000-0000F5010000}"/>
    <cellStyle name="20% - Accent2 2 3 6" xfId="4822" xr:uid="{00000000-0005-0000-0000-0000F6010000}"/>
    <cellStyle name="20% - Accent2 2 3 7" xfId="4821" xr:uid="{00000000-0005-0000-0000-0000F7010000}"/>
    <cellStyle name="20% - Accent2 2 3 7 2" xfId="4820" xr:uid="{00000000-0005-0000-0000-0000F8010000}"/>
    <cellStyle name="20% - Accent2 2 3 8" xfId="4819" xr:uid="{00000000-0005-0000-0000-0000F9010000}"/>
    <cellStyle name="20% - Accent2 2 4" xfId="4818" xr:uid="{00000000-0005-0000-0000-0000FA010000}"/>
    <cellStyle name="20% - Accent2 2 4 2" xfId="4817" xr:uid="{00000000-0005-0000-0000-0000FB010000}"/>
    <cellStyle name="20% - Accent2 2 4 2 2" xfId="4816" xr:uid="{00000000-0005-0000-0000-0000FC010000}"/>
    <cellStyle name="20% - Accent2 2 4 2 2 2" xfId="4815" xr:uid="{00000000-0005-0000-0000-0000FD010000}"/>
    <cellStyle name="20% - Accent2 2 4 2 2 2 2" xfId="4814" xr:uid="{00000000-0005-0000-0000-0000FE010000}"/>
    <cellStyle name="20% - Accent2 2 4 2 2 2 3" xfId="4813" xr:uid="{00000000-0005-0000-0000-0000FF010000}"/>
    <cellStyle name="20% - Accent2 2 4 2 2 3" xfId="4812" xr:uid="{00000000-0005-0000-0000-000000020000}"/>
    <cellStyle name="20% - Accent2 2 4 2 2 3 2" xfId="4811" xr:uid="{00000000-0005-0000-0000-000001020000}"/>
    <cellStyle name="20% - Accent2 2 4 2 2 4" xfId="4810" xr:uid="{00000000-0005-0000-0000-000002020000}"/>
    <cellStyle name="20% - Accent2 2 4 2 3" xfId="4809" xr:uid="{00000000-0005-0000-0000-000003020000}"/>
    <cellStyle name="20% - Accent2 2 4 2 3 2" xfId="4808" xr:uid="{00000000-0005-0000-0000-000004020000}"/>
    <cellStyle name="20% - Accent2 2 4 2 3 2 2" xfId="4807" xr:uid="{00000000-0005-0000-0000-000005020000}"/>
    <cellStyle name="20% - Accent2 2 4 2 3 2 3" xfId="4806" xr:uid="{00000000-0005-0000-0000-000006020000}"/>
    <cellStyle name="20% - Accent2 2 4 2 3 3" xfId="4805" xr:uid="{00000000-0005-0000-0000-000007020000}"/>
    <cellStyle name="20% - Accent2 2 4 2 3 3 2" xfId="4804" xr:uid="{00000000-0005-0000-0000-000008020000}"/>
    <cellStyle name="20% - Accent2 2 4 2 3 4" xfId="4803" xr:uid="{00000000-0005-0000-0000-000009020000}"/>
    <cellStyle name="20% - Accent2 2 4 2 4" xfId="4802" xr:uid="{00000000-0005-0000-0000-00000A020000}"/>
    <cellStyle name="20% - Accent2 2 4 2 4 2" xfId="4801" xr:uid="{00000000-0005-0000-0000-00000B020000}"/>
    <cellStyle name="20% - Accent2 2 4 2 4 3" xfId="4800" xr:uid="{00000000-0005-0000-0000-00000C020000}"/>
    <cellStyle name="20% - Accent2 2 4 2 5" xfId="4799" xr:uid="{00000000-0005-0000-0000-00000D020000}"/>
    <cellStyle name="20% - Accent2 2 4 2 6" xfId="4798" xr:uid="{00000000-0005-0000-0000-00000E020000}"/>
    <cellStyle name="20% - Accent2 2 4 2 6 2" xfId="4797" xr:uid="{00000000-0005-0000-0000-00000F020000}"/>
    <cellStyle name="20% - Accent2 2 4 2 7" xfId="4796" xr:uid="{00000000-0005-0000-0000-000010020000}"/>
    <cellStyle name="20% - Accent2 2 4 3" xfId="4795" xr:uid="{00000000-0005-0000-0000-000011020000}"/>
    <cellStyle name="20% - Accent2 2 4 3 2" xfId="4794" xr:uid="{00000000-0005-0000-0000-000012020000}"/>
    <cellStyle name="20% - Accent2 2 4 3 2 2" xfId="4793" xr:uid="{00000000-0005-0000-0000-000013020000}"/>
    <cellStyle name="20% - Accent2 2 4 3 2 3" xfId="4792" xr:uid="{00000000-0005-0000-0000-000014020000}"/>
    <cellStyle name="20% - Accent2 2 4 3 3" xfId="4791" xr:uid="{00000000-0005-0000-0000-000015020000}"/>
    <cellStyle name="20% - Accent2 2 4 3 3 2" xfId="4790" xr:uid="{00000000-0005-0000-0000-000016020000}"/>
    <cellStyle name="20% - Accent2 2 4 3 4" xfId="4789" xr:uid="{00000000-0005-0000-0000-000017020000}"/>
    <cellStyle name="20% - Accent2 2 4 4" xfId="4788" xr:uid="{00000000-0005-0000-0000-000018020000}"/>
    <cellStyle name="20% - Accent2 2 4 4 2" xfId="4787" xr:uid="{00000000-0005-0000-0000-000019020000}"/>
    <cellStyle name="20% - Accent2 2 4 4 2 2" xfId="4786" xr:uid="{00000000-0005-0000-0000-00001A020000}"/>
    <cellStyle name="20% - Accent2 2 4 4 2 3" xfId="4785" xr:uid="{00000000-0005-0000-0000-00001B020000}"/>
    <cellStyle name="20% - Accent2 2 4 4 3" xfId="4784" xr:uid="{00000000-0005-0000-0000-00001C020000}"/>
    <cellStyle name="20% - Accent2 2 4 4 3 2" xfId="4783" xr:uid="{00000000-0005-0000-0000-00001D020000}"/>
    <cellStyle name="20% - Accent2 2 4 4 4" xfId="4782" xr:uid="{00000000-0005-0000-0000-00001E020000}"/>
    <cellStyle name="20% - Accent2 2 4 5" xfId="4781" xr:uid="{00000000-0005-0000-0000-00001F020000}"/>
    <cellStyle name="20% - Accent2 2 4 5 2" xfId="4780" xr:uid="{00000000-0005-0000-0000-000020020000}"/>
    <cellStyle name="20% - Accent2 2 4 5 3" xfId="4779" xr:uid="{00000000-0005-0000-0000-000021020000}"/>
    <cellStyle name="20% - Accent2 2 4 6" xfId="4778" xr:uid="{00000000-0005-0000-0000-000022020000}"/>
    <cellStyle name="20% - Accent2 2 4 7" xfId="4777" xr:uid="{00000000-0005-0000-0000-000023020000}"/>
    <cellStyle name="20% - Accent2 2 4 7 2" xfId="4776" xr:uid="{00000000-0005-0000-0000-000024020000}"/>
    <cellStyle name="20% - Accent2 2 4 8" xfId="4775" xr:uid="{00000000-0005-0000-0000-000025020000}"/>
    <cellStyle name="20% - Accent2 2 5" xfId="4774" xr:uid="{00000000-0005-0000-0000-000026020000}"/>
    <cellStyle name="20% - Accent2 2 5 2" xfId="4773" xr:uid="{00000000-0005-0000-0000-000027020000}"/>
    <cellStyle name="20% - Accent2 2 5 2 2" xfId="4772" xr:uid="{00000000-0005-0000-0000-000028020000}"/>
    <cellStyle name="20% - Accent2 2 5 2 2 2" xfId="4771" xr:uid="{00000000-0005-0000-0000-000029020000}"/>
    <cellStyle name="20% - Accent2 2 5 2 2 2 2" xfId="4770" xr:uid="{00000000-0005-0000-0000-00002A020000}"/>
    <cellStyle name="20% - Accent2 2 5 2 2 2 3" xfId="4769" xr:uid="{00000000-0005-0000-0000-00002B020000}"/>
    <cellStyle name="20% - Accent2 2 5 2 2 3" xfId="4768" xr:uid="{00000000-0005-0000-0000-00002C020000}"/>
    <cellStyle name="20% - Accent2 2 5 2 2 3 2" xfId="4767" xr:uid="{00000000-0005-0000-0000-00002D020000}"/>
    <cellStyle name="20% - Accent2 2 5 2 2 4" xfId="4766" xr:uid="{00000000-0005-0000-0000-00002E020000}"/>
    <cellStyle name="20% - Accent2 2 5 2 3" xfId="4765" xr:uid="{00000000-0005-0000-0000-00002F020000}"/>
    <cellStyle name="20% - Accent2 2 5 2 3 2" xfId="4764" xr:uid="{00000000-0005-0000-0000-000030020000}"/>
    <cellStyle name="20% - Accent2 2 5 2 3 2 2" xfId="4763" xr:uid="{00000000-0005-0000-0000-000031020000}"/>
    <cellStyle name="20% - Accent2 2 5 2 3 2 3" xfId="4762" xr:uid="{00000000-0005-0000-0000-000032020000}"/>
    <cellStyle name="20% - Accent2 2 5 2 3 3" xfId="4761" xr:uid="{00000000-0005-0000-0000-000033020000}"/>
    <cellStyle name="20% - Accent2 2 5 2 3 3 2" xfId="4760" xr:uid="{00000000-0005-0000-0000-000034020000}"/>
    <cellStyle name="20% - Accent2 2 5 2 3 4" xfId="4759" xr:uid="{00000000-0005-0000-0000-000035020000}"/>
    <cellStyle name="20% - Accent2 2 5 2 4" xfId="4758" xr:uid="{00000000-0005-0000-0000-000036020000}"/>
    <cellStyle name="20% - Accent2 2 5 2 4 2" xfId="4757" xr:uid="{00000000-0005-0000-0000-000037020000}"/>
    <cellStyle name="20% - Accent2 2 5 2 4 3" xfId="4756" xr:uid="{00000000-0005-0000-0000-000038020000}"/>
    <cellStyle name="20% - Accent2 2 5 2 5" xfId="4755" xr:uid="{00000000-0005-0000-0000-000039020000}"/>
    <cellStyle name="20% - Accent2 2 5 2 6" xfId="4754" xr:uid="{00000000-0005-0000-0000-00003A020000}"/>
    <cellStyle name="20% - Accent2 2 5 2 6 2" xfId="4753" xr:uid="{00000000-0005-0000-0000-00003B020000}"/>
    <cellStyle name="20% - Accent2 2 5 2 7" xfId="4752" xr:uid="{00000000-0005-0000-0000-00003C020000}"/>
    <cellStyle name="20% - Accent2 2 5 3" xfId="4751" xr:uid="{00000000-0005-0000-0000-00003D020000}"/>
    <cellStyle name="20% - Accent2 2 5 3 2" xfId="4750" xr:uid="{00000000-0005-0000-0000-00003E020000}"/>
    <cellStyle name="20% - Accent2 2 5 3 2 2" xfId="4749" xr:uid="{00000000-0005-0000-0000-00003F020000}"/>
    <cellStyle name="20% - Accent2 2 5 3 2 3" xfId="4748" xr:uid="{00000000-0005-0000-0000-000040020000}"/>
    <cellStyle name="20% - Accent2 2 5 3 3" xfId="4747" xr:uid="{00000000-0005-0000-0000-000041020000}"/>
    <cellStyle name="20% - Accent2 2 5 3 3 2" xfId="4746" xr:uid="{00000000-0005-0000-0000-000042020000}"/>
    <cellStyle name="20% - Accent2 2 5 3 4" xfId="4745" xr:uid="{00000000-0005-0000-0000-000043020000}"/>
    <cellStyle name="20% - Accent2 2 5 4" xfId="4744" xr:uid="{00000000-0005-0000-0000-000044020000}"/>
    <cellStyle name="20% - Accent2 2 5 4 2" xfId="4743" xr:uid="{00000000-0005-0000-0000-000045020000}"/>
    <cellStyle name="20% - Accent2 2 5 4 2 2" xfId="4742" xr:uid="{00000000-0005-0000-0000-000046020000}"/>
    <cellStyle name="20% - Accent2 2 5 4 2 3" xfId="4741" xr:uid="{00000000-0005-0000-0000-000047020000}"/>
    <cellStyle name="20% - Accent2 2 5 4 3" xfId="4740" xr:uid="{00000000-0005-0000-0000-000048020000}"/>
    <cellStyle name="20% - Accent2 2 5 4 3 2" xfId="4739" xr:uid="{00000000-0005-0000-0000-000049020000}"/>
    <cellStyle name="20% - Accent2 2 5 4 4" xfId="4738" xr:uid="{00000000-0005-0000-0000-00004A020000}"/>
    <cellStyle name="20% - Accent2 2 5 5" xfId="4737" xr:uid="{00000000-0005-0000-0000-00004B020000}"/>
    <cellStyle name="20% - Accent2 2 5 5 2" xfId="4736" xr:uid="{00000000-0005-0000-0000-00004C020000}"/>
    <cellStyle name="20% - Accent2 2 5 5 3" xfId="4735" xr:uid="{00000000-0005-0000-0000-00004D020000}"/>
    <cellStyle name="20% - Accent2 2 5 6" xfId="4734" xr:uid="{00000000-0005-0000-0000-00004E020000}"/>
    <cellStyle name="20% - Accent2 2 5 7" xfId="4733" xr:uid="{00000000-0005-0000-0000-00004F020000}"/>
    <cellStyle name="20% - Accent2 2 5 7 2" xfId="4732" xr:uid="{00000000-0005-0000-0000-000050020000}"/>
    <cellStyle name="20% - Accent2 2 5 8" xfId="4731" xr:uid="{00000000-0005-0000-0000-000051020000}"/>
    <cellStyle name="20% - Accent2 2 6" xfId="4730" xr:uid="{00000000-0005-0000-0000-000052020000}"/>
    <cellStyle name="20% - Accent2 2 6 2" xfId="4729" xr:uid="{00000000-0005-0000-0000-000053020000}"/>
    <cellStyle name="20% - Accent2 2 6 2 2" xfId="4728" xr:uid="{00000000-0005-0000-0000-000054020000}"/>
    <cellStyle name="20% - Accent2 2 6 2 2 2" xfId="4727" xr:uid="{00000000-0005-0000-0000-000055020000}"/>
    <cellStyle name="20% - Accent2 2 6 2 2 2 2" xfId="4726" xr:uid="{00000000-0005-0000-0000-000056020000}"/>
    <cellStyle name="20% - Accent2 2 6 2 2 2 3" xfId="4725" xr:uid="{00000000-0005-0000-0000-000057020000}"/>
    <cellStyle name="20% - Accent2 2 6 2 2 3" xfId="4724" xr:uid="{00000000-0005-0000-0000-000058020000}"/>
    <cellStyle name="20% - Accent2 2 6 2 2 3 2" xfId="4723" xr:uid="{00000000-0005-0000-0000-000059020000}"/>
    <cellStyle name="20% - Accent2 2 6 2 2 4" xfId="4722" xr:uid="{00000000-0005-0000-0000-00005A020000}"/>
    <cellStyle name="20% - Accent2 2 6 2 3" xfId="4721" xr:uid="{00000000-0005-0000-0000-00005B020000}"/>
    <cellStyle name="20% - Accent2 2 6 2 3 2" xfId="4720" xr:uid="{00000000-0005-0000-0000-00005C020000}"/>
    <cellStyle name="20% - Accent2 2 6 2 3 2 2" xfId="4719" xr:uid="{00000000-0005-0000-0000-00005D020000}"/>
    <cellStyle name="20% - Accent2 2 6 2 3 2 3" xfId="4718" xr:uid="{00000000-0005-0000-0000-00005E020000}"/>
    <cellStyle name="20% - Accent2 2 6 2 3 3" xfId="4717" xr:uid="{00000000-0005-0000-0000-00005F020000}"/>
    <cellStyle name="20% - Accent2 2 6 2 3 3 2" xfId="4716" xr:uid="{00000000-0005-0000-0000-000060020000}"/>
    <cellStyle name="20% - Accent2 2 6 2 3 4" xfId="4715" xr:uid="{00000000-0005-0000-0000-000061020000}"/>
    <cellStyle name="20% - Accent2 2 6 2 4" xfId="4714" xr:uid="{00000000-0005-0000-0000-000062020000}"/>
    <cellStyle name="20% - Accent2 2 6 2 4 2" xfId="4713" xr:uid="{00000000-0005-0000-0000-000063020000}"/>
    <cellStyle name="20% - Accent2 2 6 2 4 3" xfId="4712" xr:uid="{00000000-0005-0000-0000-000064020000}"/>
    <cellStyle name="20% - Accent2 2 6 2 5" xfId="4711" xr:uid="{00000000-0005-0000-0000-000065020000}"/>
    <cellStyle name="20% - Accent2 2 6 2 6" xfId="4710" xr:uid="{00000000-0005-0000-0000-000066020000}"/>
    <cellStyle name="20% - Accent2 2 6 2 6 2" xfId="4709" xr:uid="{00000000-0005-0000-0000-000067020000}"/>
    <cellStyle name="20% - Accent2 2 6 2 7" xfId="4708" xr:uid="{00000000-0005-0000-0000-000068020000}"/>
    <cellStyle name="20% - Accent2 2 6 3" xfId="4707" xr:uid="{00000000-0005-0000-0000-000069020000}"/>
    <cellStyle name="20% - Accent2 2 6 3 2" xfId="4706" xr:uid="{00000000-0005-0000-0000-00006A020000}"/>
    <cellStyle name="20% - Accent2 2 6 3 2 2" xfId="4705" xr:uid="{00000000-0005-0000-0000-00006B020000}"/>
    <cellStyle name="20% - Accent2 2 6 3 2 3" xfId="4704" xr:uid="{00000000-0005-0000-0000-00006C020000}"/>
    <cellStyle name="20% - Accent2 2 6 3 3" xfId="4703" xr:uid="{00000000-0005-0000-0000-00006D020000}"/>
    <cellStyle name="20% - Accent2 2 6 3 3 2" xfId="4702" xr:uid="{00000000-0005-0000-0000-00006E020000}"/>
    <cellStyle name="20% - Accent2 2 6 3 4" xfId="4701" xr:uid="{00000000-0005-0000-0000-00006F020000}"/>
    <cellStyle name="20% - Accent2 2 6 4" xfId="4700" xr:uid="{00000000-0005-0000-0000-000070020000}"/>
    <cellStyle name="20% - Accent2 2 6 4 2" xfId="4699" xr:uid="{00000000-0005-0000-0000-000071020000}"/>
    <cellStyle name="20% - Accent2 2 6 4 2 2" xfId="4698" xr:uid="{00000000-0005-0000-0000-000072020000}"/>
    <cellStyle name="20% - Accent2 2 6 4 2 3" xfId="4697" xr:uid="{00000000-0005-0000-0000-000073020000}"/>
    <cellStyle name="20% - Accent2 2 6 4 3" xfId="4696" xr:uid="{00000000-0005-0000-0000-000074020000}"/>
    <cellStyle name="20% - Accent2 2 6 4 3 2" xfId="4695" xr:uid="{00000000-0005-0000-0000-000075020000}"/>
    <cellStyle name="20% - Accent2 2 6 4 4" xfId="4694" xr:uid="{00000000-0005-0000-0000-000076020000}"/>
    <cellStyle name="20% - Accent2 2 6 5" xfId="4693" xr:uid="{00000000-0005-0000-0000-000077020000}"/>
    <cellStyle name="20% - Accent2 2 6 5 2" xfId="4692" xr:uid="{00000000-0005-0000-0000-000078020000}"/>
    <cellStyle name="20% - Accent2 2 6 5 3" xfId="4691" xr:uid="{00000000-0005-0000-0000-000079020000}"/>
    <cellStyle name="20% - Accent2 2 6 6" xfId="4690" xr:uid="{00000000-0005-0000-0000-00007A020000}"/>
    <cellStyle name="20% - Accent2 2 6 7" xfId="4689" xr:uid="{00000000-0005-0000-0000-00007B020000}"/>
    <cellStyle name="20% - Accent2 2 6 7 2" xfId="4688" xr:uid="{00000000-0005-0000-0000-00007C020000}"/>
    <cellStyle name="20% - Accent2 2 6 8" xfId="4687" xr:uid="{00000000-0005-0000-0000-00007D020000}"/>
    <cellStyle name="20% - Accent2 2 7" xfId="4686" xr:uid="{00000000-0005-0000-0000-00007E020000}"/>
    <cellStyle name="20% - Accent2 2 7 2" xfId="4685" xr:uid="{00000000-0005-0000-0000-00007F020000}"/>
    <cellStyle name="20% - Accent2 2 7 2 2" xfId="4684" xr:uid="{00000000-0005-0000-0000-000080020000}"/>
    <cellStyle name="20% - Accent2 2 7 2 3" xfId="4683" xr:uid="{00000000-0005-0000-0000-000081020000}"/>
    <cellStyle name="20% - Accent2 2 7 3" xfId="4682" xr:uid="{00000000-0005-0000-0000-000082020000}"/>
    <cellStyle name="20% - Accent2 2 7 3 2" xfId="4681" xr:uid="{00000000-0005-0000-0000-000083020000}"/>
    <cellStyle name="20% - Accent2 2 7 4" xfId="4680" xr:uid="{00000000-0005-0000-0000-000084020000}"/>
    <cellStyle name="20% - Accent2 3" xfId="185" xr:uid="{00000000-0005-0000-0000-00001E000000}"/>
    <cellStyle name="20% - Accent2 3 10" xfId="4679" xr:uid="{00000000-0005-0000-0000-000085020000}"/>
    <cellStyle name="20% - Accent2 3 2" xfId="4678" xr:uid="{00000000-0005-0000-0000-000086020000}"/>
    <cellStyle name="20% - Accent2 3 2 2" xfId="4677" xr:uid="{00000000-0005-0000-0000-000087020000}"/>
    <cellStyle name="20% - Accent2 3 2 2 2" xfId="4676" xr:uid="{00000000-0005-0000-0000-000088020000}"/>
    <cellStyle name="20% - Accent2 3 2 2 2 2" xfId="4675" xr:uid="{00000000-0005-0000-0000-000089020000}"/>
    <cellStyle name="20% - Accent2 3 2 2 2 2 2" xfId="4674" xr:uid="{00000000-0005-0000-0000-00008A020000}"/>
    <cellStyle name="20% - Accent2 3 2 2 2 2 3" xfId="4673" xr:uid="{00000000-0005-0000-0000-00008B020000}"/>
    <cellStyle name="20% - Accent2 3 2 2 2 3" xfId="4672" xr:uid="{00000000-0005-0000-0000-00008C020000}"/>
    <cellStyle name="20% - Accent2 3 2 2 2 3 2" xfId="4671" xr:uid="{00000000-0005-0000-0000-00008D020000}"/>
    <cellStyle name="20% - Accent2 3 2 2 2 4" xfId="4670" xr:uid="{00000000-0005-0000-0000-00008E020000}"/>
    <cellStyle name="20% - Accent2 3 2 2 3" xfId="4669" xr:uid="{00000000-0005-0000-0000-00008F020000}"/>
    <cellStyle name="20% - Accent2 3 2 2 3 2" xfId="4668" xr:uid="{00000000-0005-0000-0000-000090020000}"/>
    <cellStyle name="20% - Accent2 3 2 2 3 3" xfId="4667" xr:uid="{00000000-0005-0000-0000-000091020000}"/>
    <cellStyle name="20% - Accent2 3 2 2 4" xfId="4666" xr:uid="{00000000-0005-0000-0000-000092020000}"/>
    <cellStyle name="20% - Accent2 3 2 2 5" xfId="4665" xr:uid="{00000000-0005-0000-0000-000093020000}"/>
    <cellStyle name="20% - Accent2 3 2 2 5 2" xfId="4664" xr:uid="{00000000-0005-0000-0000-000094020000}"/>
    <cellStyle name="20% - Accent2 3 2 2 6" xfId="4663" xr:uid="{00000000-0005-0000-0000-000095020000}"/>
    <cellStyle name="20% - Accent2 3 2 3" xfId="4662" xr:uid="{00000000-0005-0000-0000-000096020000}"/>
    <cellStyle name="20% - Accent2 3 2 3 2" xfId="4661" xr:uid="{00000000-0005-0000-0000-000097020000}"/>
    <cellStyle name="20% - Accent2 3 2 3 2 2" xfId="4660" xr:uid="{00000000-0005-0000-0000-000098020000}"/>
    <cellStyle name="20% - Accent2 3 2 3 2 3" xfId="4659" xr:uid="{00000000-0005-0000-0000-000099020000}"/>
    <cellStyle name="20% - Accent2 3 2 3 3" xfId="4658" xr:uid="{00000000-0005-0000-0000-00009A020000}"/>
    <cellStyle name="20% - Accent2 3 2 3 3 2" xfId="4657" xr:uid="{00000000-0005-0000-0000-00009B020000}"/>
    <cellStyle name="20% - Accent2 3 2 3 4" xfId="4656" xr:uid="{00000000-0005-0000-0000-00009C020000}"/>
    <cellStyle name="20% - Accent2 3 2 4" xfId="4655" xr:uid="{00000000-0005-0000-0000-00009D020000}"/>
    <cellStyle name="20% - Accent2 3 2 5" xfId="4654" xr:uid="{00000000-0005-0000-0000-00009E020000}"/>
    <cellStyle name="20% - Accent2 3 3" xfId="4653" xr:uid="{00000000-0005-0000-0000-00009F020000}"/>
    <cellStyle name="20% - Accent2 3 3 2" xfId="4652" xr:uid="{00000000-0005-0000-0000-0000A0020000}"/>
    <cellStyle name="20% - Accent2 3 3 2 2" xfId="4651" xr:uid="{00000000-0005-0000-0000-0000A1020000}"/>
    <cellStyle name="20% - Accent2 3 3 2 3" xfId="4650" xr:uid="{00000000-0005-0000-0000-0000A2020000}"/>
    <cellStyle name="20% - Accent2 3 3 2 3 2" xfId="4649" xr:uid="{00000000-0005-0000-0000-0000A3020000}"/>
    <cellStyle name="20% - Accent2 3 3 3" xfId="4648" xr:uid="{00000000-0005-0000-0000-0000A4020000}"/>
    <cellStyle name="20% - Accent2 3 3 4" xfId="4647" xr:uid="{00000000-0005-0000-0000-0000A5020000}"/>
    <cellStyle name="20% - Accent2 3 3 4 2" xfId="4646" xr:uid="{00000000-0005-0000-0000-0000A6020000}"/>
    <cellStyle name="20% - Accent2 3 3 5" xfId="4645" xr:uid="{00000000-0005-0000-0000-0000A7020000}"/>
    <cellStyle name="20% - Accent2 3 4" xfId="4644" xr:uid="{00000000-0005-0000-0000-0000A8020000}"/>
    <cellStyle name="20% - Accent2 3 4 2" xfId="4643" xr:uid="{00000000-0005-0000-0000-0000A9020000}"/>
    <cellStyle name="20% - Accent2 3 4 2 2" xfId="4642" xr:uid="{00000000-0005-0000-0000-0000AA020000}"/>
    <cellStyle name="20% - Accent2 3 4 2 3" xfId="4641" xr:uid="{00000000-0005-0000-0000-0000AB020000}"/>
    <cellStyle name="20% - Accent2 3 4 3" xfId="4640" xr:uid="{00000000-0005-0000-0000-0000AC020000}"/>
    <cellStyle name="20% - Accent2 3 4 4" xfId="4639" xr:uid="{00000000-0005-0000-0000-0000AD020000}"/>
    <cellStyle name="20% - Accent2 3 4 4 2" xfId="4638" xr:uid="{00000000-0005-0000-0000-0000AE020000}"/>
    <cellStyle name="20% - Accent2 3 4 5" xfId="4637" xr:uid="{00000000-0005-0000-0000-0000AF020000}"/>
    <cellStyle name="20% - Accent2 3 5" xfId="4636" xr:uid="{00000000-0005-0000-0000-0000B0020000}"/>
    <cellStyle name="20% - Accent2 3 5 2" xfId="4635" xr:uid="{00000000-0005-0000-0000-0000B1020000}"/>
    <cellStyle name="20% - Accent2 3 5 2 2" xfId="4634" xr:uid="{00000000-0005-0000-0000-0000B2020000}"/>
    <cellStyle name="20% - Accent2 3 5 2 3" xfId="4633" xr:uid="{00000000-0005-0000-0000-0000B3020000}"/>
    <cellStyle name="20% - Accent2 3 5 3" xfId="4632" xr:uid="{00000000-0005-0000-0000-0000B4020000}"/>
    <cellStyle name="20% - Accent2 3 5 3 2" xfId="4631" xr:uid="{00000000-0005-0000-0000-0000B5020000}"/>
    <cellStyle name="20% - Accent2 3 5 4" xfId="4630" xr:uid="{00000000-0005-0000-0000-0000B6020000}"/>
    <cellStyle name="20% - Accent2 3 6" xfId="4629" xr:uid="{00000000-0005-0000-0000-0000B7020000}"/>
    <cellStyle name="20% - Accent2 3 6 2" xfId="4628" xr:uid="{00000000-0005-0000-0000-0000B8020000}"/>
    <cellStyle name="20% - Accent2 3 6 3" xfId="4627" xr:uid="{00000000-0005-0000-0000-0000B9020000}"/>
    <cellStyle name="20% - Accent2 3 7" xfId="4626" xr:uid="{00000000-0005-0000-0000-0000BA020000}"/>
    <cellStyle name="20% - Accent2 3 8" xfId="4625" xr:uid="{00000000-0005-0000-0000-0000BB020000}"/>
    <cellStyle name="20% - Accent2 3 8 2" xfId="4624" xr:uid="{00000000-0005-0000-0000-0000BC020000}"/>
    <cellStyle name="20% - Accent2 3 9" xfId="4623" xr:uid="{00000000-0005-0000-0000-0000BD020000}"/>
    <cellStyle name="20% - Accent2 4" xfId="186" xr:uid="{00000000-0005-0000-0000-00001F000000}"/>
    <cellStyle name="20% - Accent2 4 10" xfId="4622" xr:uid="{00000000-0005-0000-0000-0000BE020000}"/>
    <cellStyle name="20% - Accent2 4 2" xfId="4621" xr:uid="{00000000-0005-0000-0000-0000BF020000}"/>
    <cellStyle name="20% - Accent2 4 2 2" xfId="4620" xr:uid="{00000000-0005-0000-0000-0000C0020000}"/>
    <cellStyle name="20% - Accent2 4 2 2 2" xfId="4619" xr:uid="{00000000-0005-0000-0000-0000C1020000}"/>
    <cellStyle name="20% - Accent2 4 2 2 2 2" xfId="4618" xr:uid="{00000000-0005-0000-0000-0000C2020000}"/>
    <cellStyle name="20% - Accent2 4 2 2 2 2 2" xfId="4617" xr:uid="{00000000-0005-0000-0000-0000C3020000}"/>
    <cellStyle name="20% - Accent2 4 2 2 2 2 3" xfId="4616" xr:uid="{00000000-0005-0000-0000-0000C4020000}"/>
    <cellStyle name="20% - Accent2 4 2 2 2 3" xfId="4615" xr:uid="{00000000-0005-0000-0000-0000C5020000}"/>
    <cellStyle name="20% - Accent2 4 2 2 2 3 2" xfId="4614" xr:uid="{00000000-0005-0000-0000-0000C6020000}"/>
    <cellStyle name="20% - Accent2 4 2 2 2 4" xfId="4613" xr:uid="{00000000-0005-0000-0000-0000C7020000}"/>
    <cellStyle name="20% - Accent2 4 2 2 3" xfId="4612" xr:uid="{00000000-0005-0000-0000-0000C8020000}"/>
    <cellStyle name="20% - Accent2 4 2 2 3 2" xfId="4611" xr:uid="{00000000-0005-0000-0000-0000C9020000}"/>
    <cellStyle name="20% - Accent2 4 2 2 3 3" xfId="4610" xr:uid="{00000000-0005-0000-0000-0000CA020000}"/>
    <cellStyle name="20% - Accent2 4 2 2 4" xfId="4609" xr:uid="{00000000-0005-0000-0000-0000CB020000}"/>
    <cellStyle name="20% - Accent2 4 2 2 5" xfId="4608" xr:uid="{00000000-0005-0000-0000-0000CC020000}"/>
    <cellStyle name="20% - Accent2 4 2 2 5 2" xfId="4607" xr:uid="{00000000-0005-0000-0000-0000CD020000}"/>
    <cellStyle name="20% - Accent2 4 2 2 6" xfId="4606" xr:uid="{00000000-0005-0000-0000-0000CE020000}"/>
    <cellStyle name="20% - Accent2 4 2 3" xfId="4605" xr:uid="{00000000-0005-0000-0000-0000CF020000}"/>
    <cellStyle name="20% - Accent2 4 2 3 2" xfId="4604" xr:uid="{00000000-0005-0000-0000-0000D0020000}"/>
    <cellStyle name="20% - Accent2 4 2 3 2 2" xfId="4603" xr:uid="{00000000-0005-0000-0000-0000D1020000}"/>
    <cellStyle name="20% - Accent2 4 2 3 2 3" xfId="4602" xr:uid="{00000000-0005-0000-0000-0000D2020000}"/>
    <cellStyle name="20% - Accent2 4 2 3 3" xfId="4601" xr:uid="{00000000-0005-0000-0000-0000D3020000}"/>
    <cellStyle name="20% - Accent2 4 2 3 3 2" xfId="4600" xr:uid="{00000000-0005-0000-0000-0000D4020000}"/>
    <cellStyle name="20% - Accent2 4 2 3 4" xfId="4599" xr:uid="{00000000-0005-0000-0000-0000D5020000}"/>
    <cellStyle name="20% - Accent2 4 2 4" xfId="4598" xr:uid="{00000000-0005-0000-0000-0000D6020000}"/>
    <cellStyle name="20% - Accent2 4 2 5" xfId="4597" xr:uid="{00000000-0005-0000-0000-0000D7020000}"/>
    <cellStyle name="20% - Accent2 4 3" xfId="4596" xr:uid="{00000000-0005-0000-0000-0000D8020000}"/>
    <cellStyle name="20% - Accent2 4 3 2" xfId="4595" xr:uid="{00000000-0005-0000-0000-0000D9020000}"/>
    <cellStyle name="20% - Accent2 4 3 2 2" xfId="4594" xr:uid="{00000000-0005-0000-0000-0000DA020000}"/>
    <cellStyle name="20% - Accent2 4 3 2 3" xfId="4593" xr:uid="{00000000-0005-0000-0000-0000DB020000}"/>
    <cellStyle name="20% - Accent2 4 3 3" xfId="4592" xr:uid="{00000000-0005-0000-0000-0000DC020000}"/>
    <cellStyle name="20% - Accent2 4 3 4" xfId="4591" xr:uid="{00000000-0005-0000-0000-0000DD020000}"/>
    <cellStyle name="20% - Accent2 4 3 4 2" xfId="4590" xr:uid="{00000000-0005-0000-0000-0000DE020000}"/>
    <cellStyle name="20% - Accent2 4 3 5" xfId="4589" xr:uid="{00000000-0005-0000-0000-0000DF020000}"/>
    <cellStyle name="20% - Accent2 4 4" xfId="4588" xr:uid="{00000000-0005-0000-0000-0000E0020000}"/>
    <cellStyle name="20% - Accent2 4 4 2" xfId="4587" xr:uid="{00000000-0005-0000-0000-0000E1020000}"/>
    <cellStyle name="20% - Accent2 4 4 2 2" xfId="4586" xr:uid="{00000000-0005-0000-0000-0000E2020000}"/>
    <cellStyle name="20% - Accent2 4 4 2 3" xfId="4585" xr:uid="{00000000-0005-0000-0000-0000E3020000}"/>
    <cellStyle name="20% - Accent2 4 4 3" xfId="4584" xr:uid="{00000000-0005-0000-0000-0000E4020000}"/>
    <cellStyle name="20% - Accent2 4 4 3 2" xfId="4583" xr:uid="{00000000-0005-0000-0000-0000E5020000}"/>
    <cellStyle name="20% - Accent2 4 4 4" xfId="4582" xr:uid="{00000000-0005-0000-0000-0000E6020000}"/>
    <cellStyle name="20% - Accent2 4 5" xfId="4581" xr:uid="{00000000-0005-0000-0000-0000E7020000}"/>
    <cellStyle name="20% - Accent2 4 5 2" xfId="4580" xr:uid="{00000000-0005-0000-0000-0000E8020000}"/>
    <cellStyle name="20% - Accent2 4 5 2 2" xfId="4579" xr:uid="{00000000-0005-0000-0000-0000E9020000}"/>
    <cellStyle name="20% - Accent2 4 5 2 3" xfId="4578" xr:uid="{00000000-0005-0000-0000-0000EA020000}"/>
    <cellStyle name="20% - Accent2 4 5 3" xfId="4577" xr:uid="{00000000-0005-0000-0000-0000EB020000}"/>
    <cellStyle name="20% - Accent2 4 5 3 2" xfId="4576" xr:uid="{00000000-0005-0000-0000-0000EC020000}"/>
    <cellStyle name="20% - Accent2 4 5 4" xfId="4575" xr:uid="{00000000-0005-0000-0000-0000ED020000}"/>
    <cellStyle name="20% - Accent2 4 6" xfId="4574" xr:uid="{00000000-0005-0000-0000-0000EE020000}"/>
    <cellStyle name="20% - Accent2 4 6 2" xfId="4573" xr:uid="{00000000-0005-0000-0000-0000EF020000}"/>
    <cellStyle name="20% - Accent2 4 6 3" xfId="4572" xr:uid="{00000000-0005-0000-0000-0000F0020000}"/>
    <cellStyle name="20% - Accent2 4 7" xfId="4571" xr:uid="{00000000-0005-0000-0000-0000F1020000}"/>
    <cellStyle name="20% - Accent2 4 8" xfId="4570" xr:uid="{00000000-0005-0000-0000-0000F2020000}"/>
    <cellStyle name="20% - Accent2 4 8 2" xfId="4569" xr:uid="{00000000-0005-0000-0000-0000F3020000}"/>
    <cellStyle name="20% - Accent2 4 9" xfId="4568" xr:uid="{00000000-0005-0000-0000-0000F4020000}"/>
    <cellStyle name="20% - Accent2 5" xfId="105" xr:uid="{00000000-0005-0000-0000-000020000000}"/>
    <cellStyle name="20% - Accent2 5 2" xfId="4566" xr:uid="{00000000-0005-0000-0000-0000F6020000}"/>
    <cellStyle name="20% - Accent2 5 2 2" xfId="4565" xr:uid="{00000000-0005-0000-0000-0000F7020000}"/>
    <cellStyle name="20% - Accent2 5 2 2 2" xfId="4564" xr:uid="{00000000-0005-0000-0000-0000F8020000}"/>
    <cellStyle name="20% - Accent2 5 2 2 2 2" xfId="4563" xr:uid="{00000000-0005-0000-0000-0000F9020000}"/>
    <cellStyle name="20% - Accent2 5 2 2 2 2 2" xfId="4562" xr:uid="{00000000-0005-0000-0000-0000FA020000}"/>
    <cellStyle name="20% - Accent2 5 2 2 2 2 3" xfId="4561" xr:uid="{00000000-0005-0000-0000-0000FB020000}"/>
    <cellStyle name="20% - Accent2 5 2 2 2 3" xfId="4560" xr:uid="{00000000-0005-0000-0000-0000FC020000}"/>
    <cellStyle name="20% - Accent2 5 2 2 2 3 2" xfId="4559" xr:uid="{00000000-0005-0000-0000-0000FD020000}"/>
    <cellStyle name="20% - Accent2 5 2 2 2 4" xfId="4558" xr:uid="{00000000-0005-0000-0000-0000FE020000}"/>
    <cellStyle name="20% - Accent2 5 2 2 3" xfId="4557" xr:uid="{00000000-0005-0000-0000-0000FF020000}"/>
    <cellStyle name="20% - Accent2 5 2 2 3 2" xfId="4556" xr:uid="{00000000-0005-0000-0000-000000030000}"/>
    <cellStyle name="20% - Accent2 5 2 2 3 3" xfId="4555" xr:uid="{00000000-0005-0000-0000-000001030000}"/>
    <cellStyle name="20% - Accent2 5 2 2 4" xfId="4554" xr:uid="{00000000-0005-0000-0000-000002030000}"/>
    <cellStyle name="20% - Accent2 5 2 2 5" xfId="4553" xr:uid="{00000000-0005-0000-0000-000003030000}"/>
    <cellStyle name="20% - Accent2 5 2 2 5 2" xfId="4552" xr:uid="{00000000-0005-0000-0000-000004030000}"/>
    <cellStyle name="20% - Accent2 5 2 2 6" xfId="4551" xr:uid="{00000000-0005-0000-0000-000005030000}"/>
    <cellStyle name="20% - Accent2 5 2 3" xfId="4550" xr:uid="{00000000-0005-0000-0000-000006030000}"/>
    <cellStyle name="20% - Accent2 5 2 3 2" xfId="4549" xr:uid="{00000000-0005-0000-0000-000007030000}"/>
    <cellStyle name="20% - Accent2 5 2 3 2 2" xfId="4548" xr:uid="{00000000-0005-0000-0000-000008030000}"/>
    <cellStyle name="20% - Accent2 5 2 3 2 3" xfId="4547" xr:uid="{00000000-0005-0000-0000-000009030000}"/>
    <cellStyle name="20% - Accent2 5 2 3 3" xfId="4546" xr:uid="{00000000-0005-0000-0000-00000A030000}"/>
    <cellStyle name="20% - Accent2 5 2 3 3 2" xfId="4545" xr:uid="{00000000-0005-0000-0000-00000B030000}"/>
    <cellStyle name="20% - Accent2 5 2 3 4" xfId="4544" xr:uid="{00000000-0005-0000-0000-00000C030000}"/>
    <cellStyle name="20% - Accent2 5 2 4" xfId="4543" xr:uid="{00000000-0005-0000-0000-00000D030000}"/>
    <cellStyle name="20% - Accent2 5 2 5" xfId="4542" xr:uid="{00000000-0005-0000-0000-00000E030000}"/>
    <cellStyle name="20% - Accent2 5 3" xfId="4541" xr:uid="{00000000-0005-0000-0000-00000F030000}"/>
    <cellStyle name="20% - Accent2 5 3 2" xfId="4540" xr:uid="{00000000-0005-0000-0000-000010030000}"/>
    <cellStyle name="20% - Accent2 5 3 2 2" xfId="4539" xr:uid="{00000000-0005-0000-0000-000011030000}"/>
    <cellStyle name="20% - Accent2 5 3 2 3" xfId="4538" xr:uid="{00000000-0005-0000-0000-000012030000}"/>
    <cellStyle name="20% - Accent2 5 3 3" xfId="4537" xr:uid="{00000000-0005-0000-0000-000013030000}"/>
    <cellStyle name="20% - Accent2 5 3 4" xfId="4536" xr:uid="{00000000-0005-0000-0000-000014030000}"/>
    <cellStyle name="20% - Accent2 5 3 4 2" xfId="4535" xr:uid="{00000000-0005-0000-0000-000015030000}"/>
    <cellStyle name="20% - Accent2 5 3 5" xfId="4534" xr:uid="{00000000-0005-0000-0000-000016030000}"/>
    <cellStyle name="20% - Accent2 5 4" xfId="4533" xr:uid="{00000000-0005-0000-0000-000017030000}"/>
    <cellStyle name="20% - Accent2 5 4 2" xfId="4532" xr:uid="{00000000-0005-0000-0000-000018030000}"/>
    <cellStyle name="20% - Accent2 5 4 2 2" xfId="4531" xr:uid="{00000000-0005-0000-0000-000019030000}"/>
    <cellStyle name="20% - Accent2 5 4 2 3" xfId="4530" xr:uid="{00000000-0005-0000-0000-00001A030000}"/>
    <cellStyle name="20% - Accent2 5 4 3" xfId="4529" xr:uid="{00000000-0005-0000-0000-00001B030000}"/>
    <cellStyle name="20% - Accent2 5 4 3 2" xfId="4528" xr:uid="{00000000-0005-0000-0000-00001C030000}"/>
    <cellStyle name="20% - Accent2 5 4 4" xfId="4527" xr:uid="{00000000-0005-0000-0000-00001D030000}"/>
    <cellStyle name="20% - Accent2 5 5" xfId="4526" xr:uid="{00000000-0005-0000-0000-00001E030000}"/>
    <cellStyle name="20% - Accent2 5 5 2" xfId="4525" xr:uid="{00000000-0005-0000-0000-00001F030000}"/>
    <cellStyle name="20% - Accent2 5 5 3" xfId="4524" xr:uid="{00000000-0005-0000-0000-000020030000}"/>
    <cellStyle name="20% - Accent2 5 6" xfId="4523" xr:uid="{00000000-0005-0000-0000-000021030000}"/>
    <cellStyle name="20% - Accent2 5 7" xfId="4522" xr:uid="{00000000-0005-0000-0000-000022030000}"/>
    <cellStyle name="20% - Accent2 5 7 2" xfId="4521" xr:uid="{00000000-0005-0000-0000-000023030000}"/>
    <cellStyle name="20% - Accent2 5 8" xfId="4520" xr:uid="{00000000-0005-0000-0000-000024030000}"/>
    <cellStyle name="20% - Accent2 5 9" xfId="4567" xr:uid="{00000000-0005-0000-0000-0000F5020000}"/>
    <cellStyle name="20% - Accent2 6" xfId="203" xr:uid="{00000000-0005-0000-0000-000021000000}"/>
    <cellStyle name="20% - Accent2 6 2" xfId="4519" xr:uid="{00000000-0005-0000-0000-000026030000}"/>
    <cellStyle name="20% - Accent2 6 2 2" xfId="4518" xr:uid="{00000000-0005-0000-0000-000027030000}"/>
    <cellStyle name="20% - Accent2 6 2 2 2" xfId="4517" xr:uid="{00000000-0005-0000-0000-000028030000}"/>
    <cellStyle name="20% - Accent2 6 2 2 2 2" xfId="4516" xr:uid="{00000000-0005-0000-0000-000029030000}"/>
    <cellStyle name="20% - Accent2 6 2 2 2 3" xfId="4515" xr:uid="{00000000-0005-0000-0000-00002A030000}"/>
    <cellStyle name="20% - Accent2 6 2 2 3" xfId="4514" xr:uid="{00000000-0005-0000-0000-00002B030000}"/>
    <cellStyle name="20% - Accent2 6 2 2 3 2" xfId="4513" xr:uid="{00000000-0005-0000-0000-00002C030000}"/>
    <cellStyle name="20% - Accent2 6 2 2 4" xfId="4512" xr:uid="{00000000-0005-0000-0000-00002D030000}"/>
    <cellStyle name="20% - Accent2 6 2 3" xfId="4511" xr:uid="{00000000-0005-0000-0000-00002E030000}"/>
    <cellStyle name="20% - Accent2 6 2 3 2" xfId="4510" xr:uid="{00000000-0005-0000-0000-00002F030000}"/>
    <cellStyle name="20% - Accent2 6 2 3 3" xfId="4509" xr:uid="{00000000-0005-0000-0000-000030030000}"/>
    <cellStyle name="20% - Accent2 6 2 4" xfId="4508" xr:uid="{00000000-0005-0000-0000-000031030000}"/>
    <cellStyle name="20% - Accent2 6 2 5" xfId="4507" xr:uid="{00000000-0005-0000-0000-000032030000}"/>
    <cellStyle name="20% - Accent2 6 2 5 2" xfId="4506" xr:uid="{00000000-0005-0000-0000-000033030000}"/>
    <cellStyle name="20% - Accent2 6 2 6" xfId="4505" xr:uid="{00000000-0005-0000-0000-000034030000}"/>
    <cellStyle name="20% - Accent2 6 3" xfId="4504" xr:uid="{00000000-0005-0000-0000-000035030000}"/>
    <cellStyle name="20% - Accent2 6 3 2" xfId="4503" xr:uid="{00000000-0005-0000-0000-000036030000}"/>
    <cellStyle name="20% - Accent2 6 3 2 2" xfId="4502" xr:uid="{00000000-0005-0000-0000-000037030000}"/>
    <cellStyle name="20% - Accent2 6 3 2 3" xfId="4501" xr:uid="{00000000-0005-0000-0000-000038030000}"/>
    <cellStyle name="20% - Accent2 6 3 3" xfId="4500" xr:uid="{00000000-0005-0000-0000-000039030000}"/>
    <cellStyle name="20% - Accent2 6 3 3 2" xfId="4499" xr:uid="{00000000-0005-0000-0000-00003A030000}"/>
    <cellStyle name="20% - Accent2 6 3 4" xfId="4498" xr:uid="{00000000-0005-0000-0000-00003B030000}"/>
    <cellStyle name="20% - Accent2 6 4" xfId="4497" xr:uid="{00000000-0005-0000-0000-00003C030000}"/>
    <cellStyle name="20% - Accent2 6 5" xfId="4496" xr:uid="{00000000-0005-0000-0000-00003D030000}"/>
    <cellStyle name="20% - Accent2 7" xfId="192" xr:uid="{00000000-0005-0000-0000-000022000000}"/>
    <cellStyle name="20% - Accent2 7 2" xfId="4495" xr:uid="{00000000-0005-0000-0000-00003F030000}"/>
    <cellStyle name="20% - Accent2 7 3" xfId="4494" xr:uid="{00000000-0005-0000-0000-000040030000}"/>
    <cellStyle name="20% - Accent2 7 4" xfId="4493" xr:uid="{00000000-0005-0000-0000-000041030000}"/>
    <cellStyle name="20% - Accent2 8" xfId="4492" xr:uid="{00000000-0005-0000-0000-000042030000}"/>
    <cellStyle name="20% - Accent2 8 2" xfId="4491" xr:uid="{00000000-0005-0000-0000-000043030000}"/>
    <cellStyle name="20% - Accent2 8 2 2" xfId="4490" xr:uid="{00000000-0005-0000-0000-000044030000}"/>
    <cellStyle name="20% - Accent2 8 2 3" xfId="4489" xr:uid="{00000000-0005-0000-0000-000045030000}"/>
    <cellStyle name="20% - Accent2 8 2 3 2" xfId="4488" xr:uid="{00000000-0005-0000-0000-000046030000}"/>
    <cellStyle name="20% - Accent2 8 3" xfId="4487" xr:uid="{00000000-0005-0000-0000-000047030000}"/>
    <cellStyle name="20% - Accent2 8 4" xfId="4486" xr:uid="{00000000-0005-0000-0000-000048030000}"/>
    <cellStyle name="20% - Accent2 8 4 2" xfId="4485" xr:uid="{00000000-0005-0000-0000-000049030000}"/>
    <cellStyle name="20% - Accent2 8 5" xfId="4484" xr:uid="{00000000-0005-0000-0000-00004A030000}"/>
    <cellStyle name="20% - Accent2 9" xfId="4483" xr:uid="{00000000-0005-0000-0000-00004B030000}"/>
    <cellStyle name="20% - Accent2 9 2" xfId="4482" xr:uid="{00000000-0005-0000-0000-00004C030000}"/>
    <cellStyle name="20% - Accent2 9 2 2" xfId="4481" xr:uid="{00000000-0005-0000-0000-00004D030000}"/>
    <cellStyle name="20% - Accent2 9 2 3" xfId="4480" xr:uid="{00000000-0005-0000-0000-00004E030000}"/>
    <cellStyle name="20% - Accent2 9 3" xfId="4479" xr:uid="{00000000-0005-0000-0000-00004F030000}"/>
    <cellStyle name="20% - Accent2 9 4" xfId="4478" xr:uid="{00000000-0005-0000-0000-000050030000}"/>
    <cellStyle name="20% - Accent2 9 4 2" xfId="4477" xr:uid="{00000000-0005-0000-0000-000051030000}"/>
    <cellStyle name="20% - Accent2 9 5" xfId="4476" xr:uid="{00000000-0005-0000-0000-000052030000}"/>
    <cellStyle name="20% - Accent3" xfId="90" builtinId="38" customBuiltin="1"/>
    <cellStyle name="20% - Accent3 10" xfId="4475" xr:uid="{00000000-0005-0000-0000-000053030000}"/>
    <cellStyle name="20% - Accent3 10 2" xfId="4474" xr:uid="{00000000-0005-0000-0000-000054030000}"/>
    <cellStyle name="20% - Accent3 10 2 2" xfId="4473" xr:uid="{00000000-0005-0000-0000-000055030000}"/>
    <cellStyle name="20% - Accent3 10 2 3" xfId="4472" xr:uid="{00000000-0005-0000-0000-000056030000}"/>
    <cellStyle name="20% - Accent3 10 3" xfId="4471" xr:uid="{00000000-0005-0000-0000-000057030000}"/>
    <cellStyle name="20% - Accent3 10 4" xfId="4470" xr:uid="{00000000-0005-0000-0000-000058030000}"/>
    <cellStyle name="20% - Accent3 10 4 2" xfId="4469" xr:uid="{00000000-0005-0000-0000-000059030000}"/>
    <cellStyle name="20% - Accent3 10 5" xfId="4468" xr:uid="{00000000-0005-0000-0000-00005A030000}"/>
    <cellStyle name="20% - Accent3 11" xfId="4467" xr:uid="{00000000-0005-0000-0000-00005B030000}"/>
    <cellStyle name="20% - Accent3 11 2" xfId="4466" xr:uid="{00000000-0005-0000-0000-00005C030000}"/>
    <cellStyle name="20% - Accent3 11 3" xfId="4465" xr:uid="{00000000-0005-0000-0000-00005D030000}"/>
    <cellStyle name="20% - Accent3 11 3 2" xfId="4464" xr:uid="{00000000-0005-0000-0000-00005E030000}"/>
    <cellStyle name="20% - Accent3 12" xfId="4463" xr:uid="{00000000-0005-0000-0000-00005F030000}"/>
    <cellStyle name="20% - Accent3 12 2" xfId="4462" xr:uid="{00000000-0005-0000-0000-000060030000}"/>
    <cellStyle name="20% - Accent3 12 3" xfId="4461" xr:uid="{00000000-0005-0000-0000-000061030000}"/>
    <cellStyle name="20% - Accent3 13" xfId="4460" xr:uid="{00000000-0005-0000-0000-000062030000}"/>
    <cellStyle name="20% - Accent3 13 2" xfId="4459" xr:uid="{00000000-0005-0000-0000-000063030000}"/>
    <cellStyle name="20% - Accent3 13 3" xfId="4458" xr:uid="{00000000-0005-0000-0000-000064030000}"/>
    <cellStyle name="20% - Accent3 14" xfId="4457" xr:uid="{00000000-0005-0000-0000-000065030000}"/>
    <cellStyle name="20% - Accent3 14 2" xfId="4456" xr:uid="{00000000-0005-0000-0000-000066030000}"/>
    <cellStyle name="20% - Accent3 15" xfId="4455" xr:uid="{00000000-0005-0000-0000-000067030000}"/>
    <cellStyle name="20% - Accent3 16" xfId="4454" xr:uid="{00000000-0005-0000-0000-000068030000}"/>
    <cellStyle name="20% - Accent3 2" xfId="195" xr:uid="{00000000-0005-0000-0000-000023000000}"/>
    <cellStyle name="20% - Accent3 2 2" xfId="4453" xr:uid="{00000000-0005-0000-0000-00006A030000}"/>
    <cellStyle name="20% - Accent3 2 3" xfId="4452" xr:uid="{00000000-0005-0000-0000-00006B030000}"/>
    <cellStyle name="20% - Accent3 2 3 2" xfId="4451" xr:uid="{00000000-0005-0000-0000-00006C030000}"/>
    <cellStyle name="20% - Accent3 2 3 2 2" xfId="4450" xr:uid="{00000000-0005-0000-0000-00006D030000}"/>
    <cellStyle name="20% - Accent3 2 3 2 2 2" xfId="4449" xr:uid="{00000000-0005-0000-0000-00006E030000}"/>
    <cellStyle name="20% - Accent3 2 3 2 2 2 2" xfId="4448" xr:uid="{00000000-0005-0000-0000-00006F030000}"/>
    <cellStyle name="20% - Accent3 2 3 2 2 2 3" xfId="4447" xr:uid="{00000000-0005-0000-0000-000070030000}"/>
    <cellStyle name="20% - Accent3 2 3 2 2 3" xfId="4446" xr:uid="{00000000-0005-0000-0000-000071030000}"/>
    <cellStyle name="20% - Accent3 2 3 2 2 3 2" xfId="4445" xr:uid="{00000000-0005-0000-0000-000072030000}"/>
    <cellStyle name="20% - Accent3 2 3 2 2 4" xfId="4444" xr:uid="{00000000-0005-0000-0000-000073030000}"/>
    <cellStyle name="20% - Accent3 2 3 2 3" xfId="4443" xr:uid="{00000000-0005-0000-0000-000074030000}"/>
    <cellStyle name="20% - Accent3 2 3 2 3 2" xfId="4442" xr:uid="{00000000-0005-0000-0000-000075030000}"/>
    <cellStyle name="20% - Accent3 2 3 2 3 2 2" xfId="4441" xr:uid="{00000000-0005-0000-0000-000076030000}"/>
    <cellStyle name="20% - Accent3 2 3 2 3 2 3" xfId="4440" xr:uid="{00000000-0005-0000-0000-000077030000}"/>
    <cellStyle name="20% - Accent3 2 3 2 3 3" xfId="4439" xr:uid="{00000000-0005-0000-0000-000078030000}"/>
    <cellStyle name="20% - Accent3 2 3 2 3 3 2" xfId="4438" xr:uid="{00000000-0005-0000-0000-000079030000}"/>
    <cellStyle name="20% - Accent3 2 3 2 3 4" xfId="4437" xr:uid="{00000000-0005-0000-0000-00007A030000}"/>
    <cellStyle name="20% - Accent3 2 3 2 4" xfId="4436" xr:uid="{00000000-0005-0000-0000-00007B030000}"/>
    <cellStyle name="20% - Accent3 2 3 2 4 2" xfId="4435" xr:uid="{00000000-0005-0000-0000-00007C030000}"/>
    <cellStyle name="20% - Accent3 2 3 2 4 3" xfId="4434" xr:uid="{00000000-0005-0000-0000-00007D030000}"/>
    <cellStyle name="20% - Accent3 2 3 2 5" xfId="5563" xr:uid="{00000000-0005-0000-0000-00007E030000}"/>
    <cellStyle name="20% - Accent3 2 3 2 6" xfId="5578" xr:uid="{00000000-0005-0000-0000-00007F030000}"/>
    <cellStyle name="20% - Accent3 2 3 2 6 2" xfId="5532" xr:uid="{00000000-0005-0000-0000-000080030000}"/>
    <cellStyle name="20% - Accent3 2 3 2 7" xfId="4433" xr:uid="{00000000-0005-0000-0000-000081030000}"/>
    <cellStyle name="20% - Accent3 2 3 3" xfId="4432" xr:uid="{00000000-0005-0000-0000-000082030000}"/>
    <cellStyle name="20% - Accent3 2 3 3 2" xfId="5577" xr:uid="{00000000-0005-0000-0000-000083030000}"/>
    <cellStyle name="20% - Accent3 2 3 3 2 2" xfId="5531" xr:uid="{00000000-0005-0000-0000-000084030000}"/>
    <cellStyle name="20% - Accent3 2 3 3 2 3" xfId="4431" xr:uid="{00000000-0005-0000-0000-000085030000}"/>
    <cellStyle name="20% - Accent3 2 3 3 3" xfId="5576" xr:uid="{00000000-0005-0000-0000-000086030000}"/>
    <cellStyle name="20% - Accent3 2 3 3 3 2" xfId="5530" xr:uid="{00000000-0005-0000-0000-000087030000}"/>
    <cellStyle name="20% - Accent3 2 3 3 4" xfId="4430" xr:uid="{00000000-0005-0000-0000-000088030000}"/>
    <cellStyle name="20% - Accent3 2 3 4" xfId="5575" xr:uid="{00000000-0005-0000-0000-000089030000}"/>
    <cellStyle name="20% - Accent3 2 3 4 2" xfId="5529" xr:uid="{00000000-0005-0000-0000-00008A030000}"/>
    <cellStyle name="20% - Accent3 2 3 4 2 2" xfId="4429" xr:uid="{00000000-0005-0000-0000-00008B030000}"/>
    <cellStyle name="20% - Accent3 2 3 4 2 3" xfId="4428" xr:uid="{00000000-0005-0000-0000-00008C030000}"/>
    <cellStyle name="20% - Accent3 2 3 4 3" xfId="4427" xr:uid="{00000000-0005-0000-0000-00008D030000}"/>
    <cellStyle name="20% - Accent3 2 3 4 3 2" xfId="5574" xr:uid="{00000000-0005-0000-0000-00008E030000}"/>
    <cellStyle name="20% - Accent3 2 3 4 4" xfId="5528" xr:uid="{00000000-0005-0000-0000-00008F030000}"/>
    <cellStyle name="20% - Accent3 2 3 5" xfId="4426" xr:uid="{00000000-0005-0000-0000-000090030000}"/>
    <cellStyle name="20% - Accent3 2 3 5 2" xfId="4425" xr:uid="{00000000-0005-0000-0000-000091030000}"/>
    <cellStyle name="20% - Accent3 2 3 5 3" xfId="4424" xr:uid="{00000000-0005-0000-0000-000092030000}"/>
    <cellStyle name="20% - Accent3 2 3 6" xfId="5573" xr:uid="{00000000-0005-0000-0000-000093030000}"/>
    <cellStyle name="20% - Accent3 2 3 7" xfId="5527" xr:uid="{00000000-0005-0000-0000-000094030000}"/>
    <cellStyle name="20% - Accent3 2 3 7 2" xfId="4423" xr:uid="{00000000-0005-0000-0000-000095030000}"/>
    <cellStyle name="20% - Accent3 2 3 8" xfId="4422" xr:uid="{00000000-0005-0000-0000-000096030000}"/>
    <cellStyle name="20% - Accent3 2 4" xfId="4421" xr:uid="{00000000-0005-0000-0000-000097030000}"/>
    <cellStyle name="20% - Accent3 2 4 2" xfId="4420" xr:uid="{00000000-0005-0000-0000-000098030000}"/>
    <cellStyle name="20% - Accent3 2 4 2 2" xfId="5572" xr:uid="{00000000-0005-0000-0000-000099030000}"/>
    <cellStyle name="20% - Accent3 2 4 2 2 2" xfId="5526" xr:uid="{00000000-0005-0000-0000-00009A030000}"/>
    <cellStyle name="20% - Accent3 2 4 2 2 2 2" xfId="4419" xr:uid="{00000000-0005-0000-0000-00009B030000}"/>
    <cellStyle name="20% - Accent3 2 4 2 2 2 3" xfId="4418" xr:uid="{00000000-0005-0000-0000-00009C030000}"/>
    <cellStyle name="20% - Accent3 2 4 2 2 3" xfId="4417" xr:uid="{00000000-0005-0000-0000-00009D030000}"/>
    <cellStyle name="20% - Accent3 2 4 2 2 3 2" xfId="5567" xr:uid="{00000000-0005-0000-0000-00009E030000}"/>
    <cellStyle name="20% - Accent3 2 4 2 2 4" xfId="5517" xr:uid="{00000000-0005-0000-0000-00009F030000}"/>
    <cellStyle name="20% - Accent3 2 4 2 3" xfId="5571" xr:uid="{00000000-0005-0000-0000-0000A0030000}"/>
    <cellStyle name="20% - Accent3 2 4 2 3 2" xfId="5525" xr:uid="{00000000-0005-0000-0000-0000A1030000}"/>
    <cellStyle name="20% - Accent3 2 4 2 3 2 2" xfId="4416" xr:uid="{00000000-0005-0000-0000-0000A2030000}"/>
    <cellStyle name="20% - Accent3 2 4 2 3 2 3" xfId="5570" xr:uid="{00000000-0005-0000-0000-0000A3030000}"/>
    <cellStyle name="20% - Accent3 2 4 2 3 3" xfId="5524" xr:uid="{00000000-0005-0000-0000-0000A4030000}"/>
    <cellStyle name="20% - Accent3 2 4 2 3 3 2" xfId="4415" xr:uid="{00000000-0005-0000-0000-0000A5030000}"/>
    <cellStyle name="20% - Accent3 2 4 2 3 4" xfId="4414" xr:uid="{00000000-0005-0000-0000-0000A6030000}"/>
    <cellStyle name="20% - Accent3 2 4 2 4" xfId="4413" xr:uid="{00000000-0005-0000-0000-0000A7030000}"/>
    <cellStyle name="20% - Accent3 2 4 2 4 2" xfId="4412" xr:uid="{00000000-0005-0000-0000-0000A8030000}"/>
    <cellStyle name="20% - Accent3 2 4 2 4 3" xfId="4411" xr:uid="{00000000-0005-0000-0000-0000A9030000}"/>
    <cellStyle name="20% - Accent3 2 4 2 5" xfId="4410" xr:uid="{00000000-0005-0000-0000-0000AA030000}"/>
    <cellStyle name="20% - Accent3 2 4 2 6" xfId="4409" xr:uid="{00000000-0005-0000-0000-0000AB030000}"/>
    <cellStyle name="20% - Accent3 2 4 2 6 2" xfId="4408" xr:uid="{00000000-0005-0000-0000-0000AC030000}"/>
    <cellStyle name="20% - Accent3 2 4 2 7" xfId="4407" xr:uid="{00000000-0005-0000-0000-0000AD030000}"/>
    <cellStyle name="20% - Accent3 2 4 3" xfId="4406" xr:uid="{00000000-0005-0000-0000-0000AE030000}"/>
    <cellStyle name="20% - Accent3 2 4 3 2" xfId="4405" xr:uid="{00000000-0005-0000-0000-0000AF030000}"/>
    <cellStyle name="20% - Accent3 2 4 3 2 2" xfId="4404" xr:uid="{00000000-0005-0000-0000-0000B0030000}"/>
    <cellStyle name="20% - Accent3 2 4 3 2 3" xfId="4403" xr:uid="{00000000-0005-0000-0000-0000B1030000}"/>
    <cellStyle name="20% - Accent3 2 4 3 3" xfId="4402" xr:uid="{00000000-0005-0000-0000-0000B2030000}"/>
    <cellStyle name="20% - Accent3 2 4 3 3 2" xfId="4401" xr:uid="{00000000-0005-0000-0000-0000B3030000}"/>
    <cellStyle name="20% - Accent3 2 4 3 4" xfId="4400" xr:uid="{00000000-0005-0000-0000-0000B4030000}"/>
    <cellStyle name="20% - Accent3 2 4 4" xfId="4399" xr:uid="{00000000-0005-0000-0000-0000B5030000}"/>
    <cellStyle name="20% - Accent3 2 4 4 2" xfId="4398" xr:uid="{00000000-0005-0000-0000-0000B6030000}"/>
    <cellStyle name="20% - Accent3 2 4 4 2 2" xfId="4397" xr:uid="{00000000-0005-0000-0000-0000B7030000}"/>
    <cellStyle name="20% - Accent3 2 4 4 2 3" xfId="4396" xr:uid="{00000000-0005-0000-0000-0000B8030000}"/>
    <cellStyle name="20% - Accent3 2 4 4 3" xfId="4395" xr:uid="{00000000-0005-0000-0000-0000B9030000}"/>
    <cellStyle name="20% - Accent3 2 4 4 3 2" xfId="4394" xr:uid="{00000000-0005-0000-0000-0000BA030000}"/>
    <cellStyle name="20% - Accent3 2 4 4 4" xfId="4393" xr:uid="{00000000-0005-0000-0000-0000BB030000}"/>
    <cellStyle name="20% - Accent3 2 4 5" xfId="4392" xr:uid="{00000000-0005-0000-0000-0000BC030000}"/>
    <cellStyle name="20% - Accent3 2 4 5 2" xfId="4391" xr:uid="{00000000-0005-0000-0000-0000BD030000}"/>
    <cellStyle name="20% - Accent3 2 4 5 3" xfId="4390" xr:uid="{00000000-0005-0000-0000-0000BE030000}"/>
    <cellStyle name="20% - Accent3 2 4 6" xfId="4389" xr:uid="{00000000-0005-0000-0000-0000BF030000}"/>
    <cellStyle name="20% - Accent3 2 4 7" xfId="4388" xr:uid="{00000000-0005-0000-0000-0000C0030000}"/>
    <cellStyle name="20% - Accent3 2 4 7 2" xfId="4387" xr:uid="{00000000-0005-0000-0000-0000C1030000}"/>
    <cellStyle name="20% - Accent3 2 4 8" xfId="4386" xr:uid="{00000000-0005-0000-0000-0000C2030000}"/>
    <cellStyle name="20% - Accent3 2 5" xfId="4385" xr:uid="{00000000-0005-0000-0000-0000C3030000}"/>
    <cellStyle name="20% - Accent3 2 5 2" xfId="4384" xr:uid="{00000000-0005-0000-0000-0000C4030000}"/>
    <cellStyle name="20% - Accent3 2 5 2 2" xfId="4383" xr:uid="{00000000-0005-0000-0000-0000C5030000}"/>
    <cellStyle name="20% - Accent3 2 5 2 2 2" xfId="4382" xr:uid="{00000000-0005-0000-0000-0000C6030000}"/>
    <cellStyle name="20% - Accent3 2 5 2 2 2 2" xfId="4381" xr:uid="{00000000-0005-0000-0000-0000C7030000}"/>
    <cellStyle name="20% - Accent3 2 5 2 2 2 3" xfId="4380" xr:uid="{00000000-0005-0000-0000-0000C8030000}"/>
    <cellStyle name="20% - Accent3 2 5 2 2 3" xfId="4379" xr:uid="{00000000-0005-0000-0000-0000C9030000}"/>
    <cellStyle name="20% - Accent3 2 5 2 2 3 2" xfId="4378" xr:uid="{00000000-0005-0000-0000-0000CA030000}"/>
    <cellStyle name="20% - Accent3 2 5 2 2 4" xfId="4377" xr:uid="{00000000-0005-0000-0000-0000CB030000}"/>
    <cellStyle name="20% - Accent3 2 5 2 3" xfId="4376" xr:uid="{00000000-0005-0000-0000-0000CC030000}"/>
    <cellStyle name="20% - Accent3 2 5 2 3 2" xfId="4375" xr:uid="{00000000-0005-0000-0000-0000CD030000}"/>
    <cellStyle name="20% - Accent3 2 5 2 3 2 2" xfId="4374" xr:uid="{00000000-0005-0000-0000-0000CE030000}"/>
    <cellStyle name="20% - Accent3 2 5 2 3 2 3" xfId="4373" xr:uid="{00000000-0005-0000-0000-0000CF030000}"/>
    <cellStyle name="20% - Accent3 2 5 2 3 3" xfId="4372" xr:uid="{00000000-0005-0000-0000-0000D0030000}"/>
    <cellStyle name="20% - Accent3 2 5 2 3 3 2" xfId="4371" xr:uid="{00000000-0005-0000-0000-0000D1030000}"/>
    <cellStyle name="20% - Accent3 2 5 2 3 4" xfId="4370" xr:uid="{00000000-0005-0000-0000-0000D2030000}"/>
    <cellStyle name="20% - Accent3 2 5 2 4" xfId="4369" xr:uid="{00000000-0005-0000-0000-0000D3030000}"/>
    <cellStyle name="20% - Accent3 2 5 2 4 2" xfId="4368" xr:uid="{00000000-0005-0000-0000-0000D4030000}"/>
    <cellStyle name="20% - Accent3 2 5 2 4 3" xfId="4367" xr:uid="{00000000-0005-0000-0000-0000D5030000}"/>
    <cellStyle name="20% - Accent3 2 5 2 5" xfId="4366" xr:uid="{00000000-0005-0000-0000-0000D6030000}"/>
    <cellStyle name="20% - Accent3 2 5 2 6" xfId="4365" xr:uid="{00000000-0005-0000-0000-0000D7030000}"/>
    <cellStyle name="20% - Accent3 2 5 2 6 2" xfId="4364" xr:uid="{00000000-0005-0000-0000-0000D8030000}"/>
    <cellStyle name="20% - Accent3 2 5 2 7" xfId="4363" xr:uid="{00000000-0005-0000-0000-0000D9030000}"/>
    <cellStyle name="20% - Accent3 2 5 3" xfId="4362" xr:uid="{00000000-0005-0000-0000-0000DA030000}"/>
    <cellStyle name="20% - Accent3 2 5 3 2" xfId="4361" xr:uid="{00000000-0005-0000-0000-0000DB030000}"/>
    <cellStyle name="20% - Accent3 2 5 3 2 2" xfId="4360" xr:uid="{00000000-0005-0000-0000-0000DC030000}"/>
    <cellStyle name="20% - Accent3 2 5 3 2 3" xfId="4359" xr:uid="{00000000-0005-0000-0000-0000DD030000}"/>
    <cellStyle name="20% - Accent3 2 5 3 3" xfId="4358" xr:uid="{00000000-0005-0000-0000-0000DE030000}"/>
    <cellStyle name="20% - Accent3 2 5 3 3 2" xfId="4357" xr:uid="{00000000-0005-0000-0000-0000DF030000}"/>
    <cellStyle name="20% - Accent3 2 5 3 4" xfId="4356" xr:uid="{00000000-0005-0000-0000-0000E0030000}"/>
    <cellStyle name="20% - Accent3 2 5 4" xfId="4355" xr:uid="{00000000-0005-0000-0000-0000E1030000}"/>
    <cellStyle name="20% - Accent3 2 5 4 2" xfId="4354" xr:uid="{00000000-0005-0000-0000-0000E2030000}"/>
    <cellStyle name="20% - Accent3 2 5 4 2 2" xfId="4353" xr:uid="{00000000-0005-0000-0000-0000E3030000}"/>
    <cellStyle name="20% - Accent3 2 5 4 2 3" xfId="4352" xr:uid="{00000000-0005-0000-0000-0000E4030000}"/>
    <cellStyle name="20% - Accent3 2 5 4 3" xfId="4351" xr:uid="{00000000-0005-0000-0000-0000E5030000}"/>
    <cellStyle name="20% - Accent3 2 5 4 3 2" xfId="4350" xr:uid="{00000000-0005-0000-0000-0000E6030000}"/>
    <cellStyle name="20% - Accent3 2 5 4 4" xfId="4349" xr:uid="{00000000-0005-0000-0000-0000E7030000}"/>
    <cellStyle name="20% - Accent3 2 5 5" xfId="4348" xr:uid="{00000000-0005-0000-0000-0000E8030000}"/>
    <cellStyle name="20% - Accent3 2 5 5 2" xfId="4347" xr:uid="{00000000-0005-0000-0000-0000E9030000}"/>
    <cellStyle name="20% - Accent3 2 5 5 3" xfId="4346" xr:uid="{00000000-0005-0000-0000-0000EA030000}"/>
    <cellStyle name="20% - Accent3 2 5 6" xfId="4345" xr:uid="{00000000-0005-0000-0000-0000EB030000}"/>
    <cellStyle name="20% - Accent3 2 5 7" xfId="4344" xr:uid="{00000000-0005-0000-0000-0000EC030000}"/>
    <cellStyle name="20% - Accent3 2 5 7 2" xfId="4343" xr:uid="{00000000-0005-0000-0000-0000ED030000}"/>
    <cellStyle name="20% - Accent3 2 5 8" xfId="4342" xr:uid="{00000000-0005-0000-0000-0000EE030000}"/>
    <cellStyle name="20% - Accent3 2 6" xfId="4341" xr:uid="{00000000-0005-0000-0000-0000EF030000}"/>
    <cellStyle name="20% - Accent3 2 6 2" xfId="4340" xr:uid="{00000000-0005-0000-0000-0000F0030000}"/>
    <cellStyle name="20% - Accent3 2 6 2 2" xfId="4339" xr:uid="{00000000-0005-0000-0000-0000F1030000}"/>
    <cellStyle name="20% - Accent3 2 6 2 2 2" xfId="4338" xr:uid="{00000000-0005-0000-0000-0000F2030000}"/>
    <cellStyle name="20% - Accent3 2 6 2 2 2 2" xfId="4337" xr:uid="{00000000-0005-0000-0000-0000F3030000}"/>
    <cellStyle name="20% - Accent3 2 6 2 2 2 3" xfId="4336" xr:uid="{00000000-0005-0000-0000-0000F4030000}"/>
    <cellStyle name="20% - Accent3 2 6 2 2 3" xfId="4335" xr:uid="{00000000-0005-0000-0000-0000F5030000}"/>
    <cellStyle name="20% - Accent3 2 6 2 2 3 2" xfId="4334" xr:uid="{00000000-0005-0000-0000-0000F6030000}"/>
    <cellStyle name="20% - Accent3 2 6 2 2 4" xfId="4333" xr:uid="{00000000-0005-0000-0000-0000F7030000}"/>
    <cellStyle name="20% - Accent3 2 6 2 3" xfId="4332" xr:uid="{00000000-0005-0000-0000-0000F8030000}"/>
    <cellStyle name="20% - Accent3 2 6 2 3 2" xfId="4331" xr:uid="{00000000-0005-0000-0000-0000F9030000}"/>
    <cellStyle name="20% - Accent3 2 6 2 3 2 2" xfId="4330" xr:uid="{00000000-0005-0000-0000-0000FA030000}"/>
    <cellStyle name="20% - Accent3 2 6 2 3 2 3" xfId="4329" xr:uid="{00000000-0005-0000-0000-0000FB030000}"/>
    <cellStyle name="20% - Accent3 2 6 2 3 3" xfId="4328" xr:uid="{00000000-0005-0000-0000-0000FC030000}"/>
    <cellStyle name="20% - Accent3 2 6 2 3 3 2" xfId="4327" xr:uid="{00000000-0005-0000-0000-0000FD030000}"/>
    <cellStyle name="20% - Accent3 2 6 2 3 4" xfId="4326" xr:uid="{00000000-0005-0000-0000-0000FE030000}"/>
    <cellStyle name="20% - Accent3 2 6 2 4" xfId="4325" xr:uid="{00000000-0005-0000-0000-0000FF030000}"/>
    <cellStyle name="20% - Accent3 2 6 2 4 2" xfId="4324" xr:uid="{00000000-0005-0000-0000-000000040000}"/>
    <cellStyle name="20% - Accent3 2 6 2 4 3" xfId="4323" xr:uid="{00000000-0005-0000-0000-000001040000}"/>
    <cellStyle name="20% - Accent3 2 6 2 5" xfId="4322" xr:uid="{00000000-0005-0000-0000-000002040000}"/>
    <cellStyle name="20% - Accent3 2 6 2 6" xfId="4321" xr:uid="{00000000-0005-0000-0000-000003040000}"/>
    <cellStyle name="20% - Accent3 2 6 2 6 2" xfId="4320" xr:uid="{00000000-0005-0000-0000-000004040000}"/>
    <cellStyle name="20% - Accent3 2 6 2 7" xfId="4319" xr:uid="{00000000-0005-0000-0000-000005040000}"/>
    <cellStyle name="20% - Accent3 2 6 3" xfId="4318" xr:uid="{00000000-0005-0000-0000-000006040000}"/>
    <cellStyle name="20% - Accent3 2 6 3 2" xfId="4317" xr:uid="{00000000-0005-0000-0000-000007040000}"/>
    <cellStyle name="20% - Accent3 2 6 3 2 2" xfId="4316" xr:uid="{00000000-0005-0000-0000-000008040000}"/>
    <cellStyle name="20% - Accent3 2 6 3 2 3" xfId="4315" xr:uid="{00000000-0005-0000-0000-000009040000}"/>
    <cellStyle name="20% - Accent3 2 6 3 3" xfId="4314" xr:uid="{00000000-0005-0000-0000-00000A040000}"/>
    <cellStyle name="20% - Accent3 2 6 3 3 2" xfId="4313" xr:uid="{00000000-0005-0000-0000-00000B040000}"/>
    <cellStyle name="20% - Accent3 2 6 3 4" xfId="4312" xr:uid="{00000000-0005-0000-0000-00000C040000}"/>
    <cellStyle name="20% - Accent3 2 6 4" xfId="4311" xr:uid="{00000000-0005-0000-0000-00000D040000}"/>
    <cellStyle name="20% - Accent3 2 6 4 2" xfId="4310" xr:uid="{00000000-0005-0000-0000-00000E040000}"/>
    <cellStyle name="20% - Accent3 2 6 4 2 2" xfId="4309" xr:uid="{00000000-0005-0000-0000-00000F040000}"/>
    <cellStyle name="20% - Accent3 2 6 4 2 3" xfId="4308" xr:uid="{00000000-0005-0000-0000-000010040000}"/>
    <cellStyle name="20% - Accent3 2 6 4 3" xfId="4307" xr:uid="{00000000-0005-0000-0000-000011040000}"/>
    <cellStyle name="20% - Accent3 2 6 4 3 2" xfId="4306" xr:uid="{00000000-0005-0000-0000-000012040000}"/>
    <cellStyle name="20% - Accent3 2 6 4 4" xfId="4305" xr:uid="{00000000-0005-0000-0000-000013040000}"/>
    <cellStyle name="20% - Accent3 2 6 5" xfId="4304" xr:uid="{00000000-0005-0000-0000-000014040000}"/>
    <cellStyle name="20% - Accent3 2 6 5 2" xfId="4303" xr:uid="{00000000-0005-0000-0000-000015040000}"/>
    <cellStyle name="20% - Accent3 2 6 5 3" xfId="4302" xr:uid="{00000000-0005-0000-0000-000016040000}"/>
    <cellStyle name="20% - Accent3 2 6 6" xfId="4301" xr:uid="{00000000-0005-0000-0000-000017040000}"/>
    <cellStyle name="20% - Accent3 2 6 7" xfId="4300" xr:uid="{00000000-0005-0000-0000-000018040000}"/>
    <cellStyle name="20% - Accent3 2 6 7 2" xfId="4299" xr:uid="{00000000-0005-0000-0000-000019040000}"/>
    <cellStyle name="20% - Accent3 2 6 8" xfId="4298" xr:uid="{00000000-0005-0000-0000-00001A040000}"/>
    <cellStyle name="20% - Accent3 2 7" xfId="4297" xr:uid="{00000000-0005-0000-0000-00001B040000}"/>
    <cellStyle name="20% - Accent3 2 7 2" xfId="4296" xr:uid="{00000000-0005-0000-0000-00001C040000}"/>
    <cellStyle name="20% - Accent3 2 7 2 2" xfId="4295" xr:uid="{00000000-0005-0000-0000-00001D040000}"/>
    <cellStyle name="20% - Accent3 2 7 2 3" xfId="4294" xr:uid="{00000000-0005-0000-0000-00001E040000}"/>
    <cellStyle name="20% - Accent3 2 7 3" xfId="4293" xr:uid="{00000000-0005-0000-0000-00001F040000}"/>
    <cellStyle name="20% - Accent3 2 7 3 2" xfId="4292" xr:uid="{00000000-0005-0000-0000-000020040000}"/>
    <cellStyle name="20% - Accent3 2 7 4" xfId="4291" xr:uid="{00000000-0005-0000-0000-000021040000}"/>
    <cellStyle name="20% - Accent3 3" xfId="187" xr:uid="{00000000-0005-0000-0000-000024000000}"/>
    <cellStyle name="20% - Accent3 3 10" xfId="4290" xr:uid="{00000000-0005-0000-0000-000022040000}"/>
    <cellStyle name="20% - Accent3 3 2" xfId="4289" xr:uid="{00000000-0005-0000-0000-000023040000}"/>
    <cellStyle name="20% - Accent3 3 2 2" xfId="4288" xr:uid="{00000000-0005-0000-0000-000024040000}"/>
    <cellStyle name="20% - Accent3 3 2 2 2" xfId="4287" xr:uid="{00000000-0005-0000-0000-000025040000}"/>
    <cellStyle name="20% - Accent3 3 2 2 2 2" xfId="4286" xr:uid="{00000000-0005-0000-0000-000026040000}"/>
    <cellStyle name="20% - Accent3 3 2 2 2 2 2" xfId="4285" xr:uid="{00000000-0005-0000-0000-000027040000}"/>
    <cellStyle name="20% - Accent3 3 2 2 2 2 3" xfId="4284" xr:uid="{00000000-0005-0000-0000-000028040000}"/>
    <cellStyle name="20% - Accent3 3 2 2 2 3" xfId="4283" xr:uid="{00000000-0005-0000-0000-000029040000}"/>
    <cellStyle name="20% - Accent3 3 2 2 2 3 2" xfId="4282" xr:uid="{00000000-0005-0000-0000-00002A040000}"/>
    <cellStyle name="20% - Accent3 3 2 2 2 4" xfId="4281" xr:uid="{00000000-0005-0000-0000-00002B040000}"/>
    <cellStyle name="20% - Accent3 3 2 2 3" xfId="4280" xr:uid="{00000000-0005-0000-0000-00002C040000}"/>
    <cellStyle name="20% - Accent3 3 2 2 3 2" xfId="4279" xr:uid="{00000000-0005-0000-0000-00002D040000}"/>
    <cellStyle name="20% - Accent3 3 2 2 3 3" xfId="4278" xr:uid="{00000000-0005-0000-0000-00002E040000}"/>
    <cellStyle name="20% - Accent3 3 2 2 4" xfId="4277" xr:uid="{00000000-0005-0000-0000-00002F040000}"/>
    <cellStyle name="20% - Accent3 3 2 2 5" xfId="4276" xr:uid="{00000000-0005-0000-0000-000030040000}"/>
    <cellStyle name="20% - Accent3 3 2 2 5 2" xfId="4275" xr:uid="{00000000-0005-0000-0000-000031040000}"/>
    <cellStyle name="20% - Accent3 3 2 2 6" xfId="4274" xr:uid="{00000000-0005-0000-0000-000032040000}"/>
    <cellStyle name="20% - Accent3 3 2 3" xfId="4273" xr:uid="{00000000-0005-0000-0000-000033040000}"/>
    <cellStyle name="20% - Accent3 3 2 3 2" xfId="4272" xr:uid="{00000000-0005-0000-0000-000034040000}"/>
    <cellStyle name="20% - Accent3 3 2 3 2 2" xfId="4271" xr:uid="{00000000-0005-0000-0000-000035040000}"/>
    <cellStyle name="20% - Accent3 3 2 3 2 3" xfId="4270" xr:uid="{00000000-0005-0000-0000-000036040000}"/>
    <cellStyle name="20% - Accent3 3 2 3 3" xfId="4269" xr:uid="{00000000-0005-0000-0000-000037040000}"/>
    <cellStyle name="20% - Accent3 3 2 3 3 2" xfId="4268" xr:uid="{00000000-0005-0000-0000-000038040000}"/>
    <cellStyle name="20% - Accent3 3 2 3 4" xfId="4267" xr:uid="{00000000-0005-0000-0000-000039040000}"/>
    <cellStyle name="20% - Accent3 3 2 4" xfId="4266" xr:uid="{00000000-0005-0000-0000-00003A040000}"/>
    <cellStyle name="20% - Accent3 3 2 5" xfId="4265" xr:uid="{00000000-0005-0000-0000-00003B040000}"/>
    <cellStyle name="20% - Accent3 3 3" xfId="4264" xr:uid="{00000000-0005-0000-0000-00003C040000}"/>
    <cellStyle name="20% - Accent3 3 3 2" xfId="4263" xr:uid="{00000000-0005-0000-0000-00003D040000}"/>
    <cellStyle name="20% - Accent3 3 3 2 2" xfId="4262" xr:uid="{00000000-0005-0000-0000-00003E040000}"/>
    <cellStyle name="20% - Accent3 3 3 2 3" xfId="4261" xr:uid="{00000000-0005-0000-0000-00003F040000}"/>
    <cellStyle name="20% - Accent3 3 3 2 3 2" xfId="4260" xr:uid="{00000000-0005-0000-0000-000040040000}"/>
    <cellStyle name="20% - Accent3 3 3 3" xfId="4259" xr:uid="{00000000-0005-0000-0000-000041040000}"/>
    <cellStyle name="20% - Accent3 3 3 4" xfId="4258" xr:uid="{00000000-0005-0000-0000-000042040000}"/>
    <cellStyle name="20% - Accent3 3 3 4 2" xfId="4257" xr:uid="{00000000-0005-0000-0000-000043040000}"/>
    <cellStyle name="20% - Accent3 3 3 5" xfId="4256" xr:uid="{00000000-0005-0000-0000-000044040000}"/>
    <cellStyle name="20% - Accent3 3 4" xfId="4255" xr:uid="{00000000-0005-0000-0000-000045040000}"/>
    <cellStyle name="20% - Accent3 3 4 2" xfId="4254" xr:uid="{00000000-0005-0000-0000-000046040000}"/>
    <cellStyle name="20% - Accent3 3 4 2 2" xfId="4253" xr:uid="{00000000-0005-0000-0000-000047040000}"/>
    <cellStyle name="20% - Accent3 3 4 2 3" xfId="4252" xr:uid="{00000000-0005-0000-0000-000048040000}"/>
    <cellStyle name="20% - Accent3 3 4 3" xfId="4251" xr:uid="{00000000-0005-0000-0000-000049040000}"/>
    <cellStyle name="20% - Accent3 3 4 4" xfId="4250" xr:uid="{00000000-0005-0000-0000-00004A040000}"/>
    <cellStyle name="20% - Accent3 3 4 4 2" xfId="4249" xr:uid="{00000000-0005-0000-0000-00004B040000}"/>
    <cellStyle name="20% - Accent3 3 4 5" xfId="4248" xr:uid="{00000000-0005-0000-0000-00004C040000}"/>
    <cellStyle name="20% - Accent3 3 5" xfId="4247" xr:uid="{00000000-0005-0000-0000-00004D040000}"/>
    <cellStyle name="20% - Accent3 3 5 2" xfId="4246" xr:uid="{00000000-0005-0000-0000-00004E040000}"/>
    <cellStyle name="20% - Accent3 3 5 2 2" xfId="4245" xr:uid="{00000000-0005-0000-0000-00004F040000}"/>
    <cellStyle name="20% - Accent3 3 5 2 3" xfId="4244" xr:uid="{00000000-0005-0000-0000-000050040000}"/>
    <cellStyle name="20% - Accent3 3 5 3" xfId="4243" xr:uid="{00000000-0005-0000-0000-000051040000}"/>
    <cellStyle name="20% - Accent3 3 5 3 2" xfId="4242" xr:uid="{00000000-0005-0000-0000-000052040000}"/>
    <cellStyle name="20% - Accent3 3 5 4" xfId="4241" xr:uid="{00000000-0005-0000-0000-000053040000}"/>
    <cellStyle name="20% - Accent3 3 6" xfId="4240" xr:uid="{00000000-0005-0000-0000-000054040000}"/>
    <cellStyle name="20% - Accent3 3 6 2" xfId="4239" xr:uid="{00000000-0005-0000-0000-000055040000}"/>
    <cellStyle name="20% - Accent3 3 6 3" xfId="4238" xr:uid="{00000000-0005-0000-0000-000056040000}"/>
    <cellStyle name="20% - Accent3 3 7" xfId="4237" xr:uid="{00000000-0005-0000-0000-000057040000}"/>
    <cellStyle name="20% - Accent3 3 8" xfId="4236" xr:uid="{00000000-0005-0000-0000-000058040000}"/>
    <cellStyle name="20% - Accent3 3 8 2" xfId="4235" xr:uid="{00000000-0005-0000-0000-000059040000}"/>
    <cellStyle name="20% - Accent3 3 9" xfId="4234" xr:uid="{00000000-0005-0000-0000-00005A040000}"/>
    <cellStyle name="20% - Accent3 4" xfId="170" xr:uid="{00000000-0005-0000-0000-000025000000}"/>
    <cellStyle name="20% - Accent3 4 10" xfId="4233" xr:uid="{00000000-0005-0000-0000-00005B040000}"/>
    <cellStyle name="20% - Accent3 4 2" xfId="4232" xr:uid="{00000000-0005-0000-0000-00005C040000}"/>
    <cellStyle name="20% - Accent3 4 2 2" xfId="4231" xr:uid="{00000000-0005-0000-0000-00005D040000}"/>
    <cellStyle name="20% - Accent3 4 2 2 2" xfId="4230" xr:uid="{00000000-0005-0000-0000-00005E040000}"/>
    <cellStyle name="20% - Accent3 4 2 2 2 2" xfId="4229" xr:uid="{00000000-0005-0000-0000-00005F040000}"/>
    <cellStyle name="20% - Accent3 4 2 2 2 2 2" xfId="4228" xr:uid="{00000000-0005-0000-0000-000060040000}"/>
    <cellStyle name="20% - Accent3 4 2 2 2 2 3" xfId="4227" xr:uid="{00000000-0005-0000-0000-000061040000}"/>
    <cellStyle name="20% - Accent3 4 2 2 2 3" xfId="4226" xr:uid="{00000000-0005-0000-0000-000062040000}"/>
    <cellStyle name="20% - Accent3 4 2 2 2 3 2" xfId="4225" xr:uid="{00000000-0005-0000-0000-000063040000}"/>
    <cellStyle name="20% - Accent3 4 2 2 2 4" xfId="4224" xr:uid="{00000000-0005-0000-0000-000064040000}"/>
    <cellStyle name="20% - Accent3 4 2 2 3" xfId="4223" xr:uid="{00000000-0005-0000-0000-000065040000}"/>
    <cellStyle name="20% - Accent3 4 2 2 3 2" xfId="4222" xr:uid="{00000000-0005-0000-0000-000066040000}"/>
    <cellStyle name="20% - Accent3 4 2 2 3 3" xfId="4221" xr:uid="{00000000-0005-0000-0000-000067040000}"/>
    <cellStyle name="20% - Accent3 4 2 2 4" xfId="4220" xr:uid="{00000000-0005-0000-0000-000068040000}"/>
    <cellStyle name="20% - Accent3 4 2 2 5" xfId="4219" xr:uid="{00000000-0005-0000-0000-000069040000}"/>
    <cellStyle name="20% - Accent3 4 2 2 5 2" xfId="4218" xr:uid="{00000000-0005-0000-0000-00006A040000}"/>
    <cellStyle name="20% - Accent3 4 2 2 6" xfId="4217" xr:uid="{00000000-0005-0000-0000-00006B040000}"/>
    <cellStyle name="20% - Accent3 4 2 3" xfId="4216" xr:uid="{00000000-0005-0000-0000-00006C040000}"/>
    <cellStyle name="20% - Accent3 4 2 3 2" xfId="4215" xr:uid="{00000000-0005-0000-0000-00006D040000}"/>
    <cellStyle name="20% - Accent3 4 2 3 2 2" xfId="4214" xr:uid="{00000000-0005-0000-0000-00006E040000}"/>
    <cellStyle name="20% - Accent3 4 2 3 2 3" xfId="4213" xr:uid="{00000000-0005-0000-0000-00006F040000}"/>
    <cellStyle name="20% - Accent3 4 2 3 3" xfId="4212" xr:uid="{00000000-0005-0000-0000-000070040000}"/>
    <cellStyle name="20% - Accent3 4 2 3 3 2" xfId="4211" xr:uid="{00000000-0005-0000-0000-000071040000}"/>
    <cellStyle name="20% - Accent3 4 2 3 4" xfId="4210" xr:uid="{00000000-0005-0000-0000-000072040000}"/>
    <cellStyle name="20% - Accent3 4 2 4" xfId="4209" xr:uid="{00000000-0005-0000-0000-000073040000}"/>
    <cellStyle name="20% - Accent3 4 2 5" xfId="4208" xr:uid="{00000000-0005-0000-0000-000074040000}"/>
    <cellStyle name="20% - Accent3 4 3" xfId="4207" xr:uid="{00000000-0005-0000-0000-000075040000}"/>
    <cellStyle name="20% - Accent3 4 3 2" xfId="4206" xr:uid="{00000000-0005-0000-0000-000076040000}"/>
    <cellStyle name="20% - Accent3 4 3 2 2" xfId="4205" xr:uid="{00000000-0005-0000-0000-000077040000}"/>
    <cellStyle name="20% - Accent3 4 3 2 3" xfId="4204" xr:uid="{00000000-0005-0000-0000-000078040000}"/>
    <cellStyle name="20% - Accent3 4 3 3" xfId="4203" xr:uid="{00000000-0005-0000-0000-000079040000}"/>
    <cellStyle name="20% - Accent3 4 3 4" xfId="4202" xr:uid="{00000000-0005-0000-0000-00007A040000}"/>
    <cellStyle name="20% - Accent3 4 3 4 2" xfId="4201" xr:uid="{00000000-0005-0000-0000-00007B040000}"/>
    <cellStyle name="20% - Accent3 4 3 5" xfId="4200" xr:uid="{00000000-0005-0000-0000-00007C040000}"/>
    <cellStyle name="20% - Accent3 4 4" xfId="4199" xr:uid="{00000000-0005-0000-0000-00007D040000}"/>
    <cellStyle name="20% - Accent3 4 4 2" xfId="4198" xr:uid="{00000000-0005-0000-0000-00007E040000}"/>
    <cellStyle name="20% - Accent3 4 4 2 2" xfId="4197" xr:uid="{00000000-0005-0000-0000-00007F040000}"/>
    <cellStyle name="20% - Accent3 4 4 2 3" xfId="4196" xr:uid="{00000000-0005-0000-0000-000080040000}"/>
    <cellStyle name="20% - Accent3 4 4 3" xfId="4195" xr:uid="{00000000-0005-0000-0000-000081040000}"/>
    <cellStyle name="20% - Accent3 4 4 3 2" xfId="4194" xr:uid="{00000000-0005-0000-0000-000082040000}"/>
    <cellStyle name="20% - Accent3 4 4 4" xfId="4193" xr:uid="{00000000-0005-0000-0000-000083040000}"/>
    <cellStyle name="20% - Accent3 4 5" xfId="4192" xr:uid="{00000000-0005-0000-0000-000084040000}"/>
    <cellStyle name="20% - Accent3 4 5 2" xfId="4191" xr:uid="{00000000-0005-0000-0000-000085040000}"/>
    <cellStyle name="20% - Accent3 4 5 2 2" xfId="4190" xr:uid="{00000000-0005-0000-0000-000086040000}"/>
    <cellStyle name="20% - Accent3 4 5 2 3" xfId="4189" xr:uid="{00000000-0005-0000-0000-000087040000}"/>
    <cellStyle name="20% - Accent3 4 5 3" xfId="4188" xr:uid="{00000000-0005-0000-0000-000088040000}"/>
    <cellStyle name="20% - Accent3 4 5 3 2" xfId="4187" xr:uid="{00000000-0005-0000-0000-000089040000}"/>
    <cellStyle name="20% - Accent3 4 5 4" xfId="4186" xr:uid="{00000000-0005-0000-0000-00008A040000}"/>
    <cellStyle name="20% - Accent3 4 6" xfId="4185" xr:uid="{00000000-0005-0000-0000-00008B040000}"/>
    <cellStyle name="20% - Accent3 4 6 2" xfId="4184" xr:uid="{00000000-0005-0000-0000-00008C040000}"/>
    <cellStyle name="20% - Accent3 4 6 3" xfId="4183" xr:uid="{00000000-0005-0000-0000-00008D040000}"/>
    <cellStyle name="20% - Accent3 4 7" xfId="4182" xr:uid="{00000000-0005-0000-0000-00008E040000}"/>
    <cellStyle name="20% - Accent3 4 8" xfId="4181" xr:uid="{00000000-0005-0000-0000-00008F040000}"/>
    <cellStyle name="20% - Accent3 4 8 2" xfId="4180" xr:uid="{00000000-0005-0000-0000-000090040000}"/>
    <cellStyle name="20% - Accent3 4 9" xfId="4179" xr:uid="{00000000-0005-0000-0000-000091040000}"/>
    <cellStyle name="20% - Accent3 5" xfId="188" xr:uid="{00000000-0005-0000-0000-000026000000}"/>
    <cellStyle name="20% - Accent3 5 2" xfId="4177" xr:uid="{00000000-0005-0000-0000-000093040000}"/>
    <cellStyle name="20% - Accent3 5 2 2" xfId="4176" xr:uid="{00000000-0005-0000-0000-000094040000}"/>
    <cellStyle name="20% - Accent3 5 2 2 2" xfId="4175" xr:uid="{00000000-0005-0000-0000-000095040000}"/>
    <cellStyle name="20% - Accent3 5 2 2 2 2" xfId="4174" xr:uid="{00000000-0005-0000-0000-000096040000}"/>
    <cellStyle name="20% - Accent3 5 2 2 2 2 2" xfId="4173" xr:uid="{00000000-0005-0000-0000-000097040000}"/>
    <cellStyle name="20% - Accent3 5 2 2 2 2 3" xfId="4172" xr:uid="{00000000-0005-0000-0000-000098040000}"/>
    <cellStyle name="20% - Accent3 5 2 2 2 3" xfId="4171" xr:uid="{00000000-0005-0000-0000-000099040000}"/>
    <cellStyle name="20% - Accent3 5 2 2 2 3 2" xfId="4170" xr:uid="{00000000-0005-0000-0000-00009A040000}"/>
    <cellStyle name="20% - Accent3 5 2 2 2 4" xfId="4169" xr:uid="{00000000-0005-0000-0000-00009B040000}"/>
    <cellStyle name="20% - Accent3 5 2 2 3" xfId="4168" xr:uid="{00000000-0005-0000-0000-00009C040000}"/>
    <cellStyle name="20% - Accent3 5 2 2 3 2" xfId="4167" xr:uid="{00000000-0005-0000-0000-00009D040000}"/>
    <cellStyle name="20% - Accent3 5 2 2 3 3" xfId="4166" xr:uid="{00000000-0005-0000-0000-00009E040000}"/>
    <cellStyle name="20% - Accent3 5 2 2 4" xfId="4165" xr:uid="{00000000-0005-0000-0000-00009F040000}"/>
    <cellStyle name="20% - Accent3 5 2 2 5" xfId="4164" xr:uid="{00000000-0005-0000-0000-0000A0040000}"/>
    <cellStyle name="20% - Accent3 5 2 2 5 2" xfId="4163" xr:uid="{00000000-0005-0000-0000-0000A1040000}"/>
    <cellStyle name="20% - Accent3 5 2 2 6" xfId="4162" xr:uid="{00000000-0005-0000-0000-0000A2040000}"/>
    <cellStyle name="20% - Accent3 5 2 3" xfId="4161" xr:uid="{00000000-0005-0000-0000-0000A3040000}"/>
    <cellStyle name="20% - Accent3 5 2 3 2" xfId="4160" xr:uid="{00000000-0005-0000-0000-0000A4040000}"/>
    <cellStyle name="20% - Accent3 5 2 3 2 2" xfId="4159" xr:uid="{00000000-0005-0000-0000-0000A5040000}"/>
    <cellStyle name="20% - Accent3 5 2 3 2 3" xfId="4158" xr:uid="{00000000-0005-0000-0000-0000A6040000}"/>
    <cellStyle name="20% - Accent3 5 2 3 3" xfId="4157" xr:uid="{00000000-0005-0000-0000-0000A7040000}"/>
    <cellStyle name="20% - Accent3 5 2 3 3 2" xfId="4156" xr:uid="{00000000-0005-0000-0000-0000A8040000}"/>
    <cellStyle name="20% - Accent3 5 2 3 4" xfId="4155" xr:uid="{00000000-0005-0000-0000-0000A9040000}"/>
    <cellStyle name="20% - Accent3 5 2 4" xfId="4154" xr:uid="{00000000-0005-0000-0000-0000AA040000}"/>
    <cellStyle name="20% - Accent3 5 2 5" xfId="4153" xr:uid="{00000000-0005-0000-0000-0000AB040000}"/>
    <cellStyle name="20% - Accent3 5 3" xfId="4152" xr:uid="{00000000-0005-0000-0000-0000AC040000}"/>
    <cellStyle name="20% - Accent3 5 3 2" xfId="4151" xr:uid="{00000000-0005-0000-0000-0000AD040000}"/>
    <cellStyle name="20% - Accent3 5 3 2 2" xfId="4150" xr:uid="{00000000-0005-0000-0000-0000AE040000}"/>
    <cellStyle name="20% - Accent3 5 3 2 3" xfId="4149" xr:uid="{00000000-0005-0000-0000-0000AF040000}"/>
    <cellStyle name="20% - Accent3 5 3 3" xfId="4148" xr:uid="{00000000-0005-0000-0000-0000B0040000}"/>
    <cellStyle name="20% - Accent3 5 3 4" xfId="4147" xr:uid="{00000000-0005-0000-0000-0000B1040000}"/>
    <cellStyle name="20% - Accent3 5 3 4 2" xfId="4146" xr:uid="{00000000-0005-0000-0000-0000B2040000}"/>
    <cellStyle name="20% - Accent3 5 3 5" xfId="4145" xr:uid="{00000000-0005-0000-0000-0000B3040000}"/>
    <cellStyle name="20% - Accent3 5 4" xfId="4144" xr:uid="{00000000-0005-0000-0000-0000B4040000}"/>
    <cellStyle name="20% - Accent3 5 4 2" xfId="4143" xr:uid="{00000000-0005-0000-0000-0000B5040000}"/>
    <cellStyle name="20% - Accent3 5 4 2 2" xfId="4142" xr:uid="{00000000-0005-0000-0000-0000B6040000}"/>
    <cellStyle name="20% - Accent3 5 4 2 3" xfId="4141" xr:uid="{00000000-0005-0000-0000-0000B7040000}"/>
    <cellStyle name="20% - Accent3 5 4 3" xfId="4140" xr:uid="{00000000-0005-0000-0000-0000B8040000}"/>
    <cellStyle name="20% - Accent3 5 4 3 2" xfId="4139" xr:uid="{00000000-0005-0000-0000-0000B9040000}"/>
    <cellStyle name="20% - Accent3 5 4 4" xfId="4138" xr:uid="{00000000-0005-0000-0000-0000BA040000}"/>
    <cellStyle name="20% - Accent3 5 5" xfId="4137" xr:uid="{00000000-0005-0000-0000-0000BB040000}"/>
    <cellStyle name="20% - Accent3 5 5 2" xfId="4136" xr:uid="{00000000-0005-0000-0000-0000BC040000}"/>
    <cellStyle name="20% - Accent3 5 5 3" xfId="4135" xr:uid="{00000000-0005-0000-0000-0000BD040000}"/>
    <cellStyle name="20% - Accent3 5 6" xfId="4134" xr:uid="{00000000-0005-0000-0000-0000BE040000}"/>
    <cellStyle name="20% - Accent3 5 7" xfId="4133" xr:uid="{00000000-0005-0000-0000-0000BF040000}"/>
    <cellStyle name="20% - Accent3 5 7 2" xfId="4132" xr:uid="{00000000-0005-0000-0000-0000C0040000}"/>
    <cellStyle name="20% - Accent3 5 8" xfId="4131" xr:uid="{00000000-0005-0000-0000-0000C1040000}"/>
    <cellStyle name="20% - Accent3 5 9" xfId="4178" xr:uid="{00000000-0005-0000-0000-000092040000}"/>
    <cellStyle name="20% - Accent3 6" xfId="166" xr:uid="{00000000-0005-0000-0000-000027000000}"/>
    <cellStyle name="20% - Accent3 6 2" xfId="4130" xr:uid="{00000000-0005-0000-0000-0000C3040000}"/>
    <cellStyle name="20% - Accent3 6 2 2" xfId="4129" xr:uid="{00000000-0005-0000-0000-0000C4040000}"/>
    <cellStyle name="20% - Accent3 6 2 2 2" xfId="4128" xr:uid="{00000000-0005-0000-0000-0000C5040000}"/>
    <cellStyle name="20% - Accent3 6 2 2 2 2" xfId="4127" xr:uid="{00000000-0005-0000-0000-0000C6040000}"/>
    <cellStyle name="20% - Accent3 6 2 2 2 3" xfId="4126" xr:uid="{00000000-0005-0000-0000-0000C7040000}"/>
    <cellStyle name="20% - Accent3 6 2 2 3" xfId="4125" xr:uid="{00000000-0005-0000-0000-0000C8040000}"/>
    <cellStyle name="20% - Accent3 6 2 2 3 2" xfId="4124" xr:uid="{00000000-0005-0000-0000-0000C9040000}"/>
    <cellStyle name="20% - Accent3 6 2 2 4" xfId="4123" xr:uid="{00000000-0005-0000-0000-0000CA040000}"/>
    <cellStyle name="20% - Accent3 6 2 3" xfId="4122" xr:uid="{00000000-0005-0000-0000-0000CB040000}"/>
    <cellStyle name="20% - Accent3 6 2 3 2" xfId="4121" xr:uid="{00000000-0005-0000-0000-0000CC040000}"/>
    <cellStyle name="20% - Accent3 6 2 3 3" xfId="4120" xr:uid="{00000000-0005-0000-0000-0000CD040000}"/>
    <cellStyle name="20% - Accent3 6 2 4" xfId="4119" xr:uid="{00000000-0005-0000-0000-0000CE040000}"/>
    <cellStyle name="20% - Accent3 6 2 5" xfId="4118" xr:uid="{00000000-0005-0000-0000-0000CF040000}"/>
    <cellStyle name="20% - Accent3 6 2 5 2" xfId="4117" xr:uid="{00000000-0005-0000-0000-0000D0040000}"/>
    <cellStyle name="20% - Accent3 6 2 6" xfId="4116" xr:uid="{00000000-0005-0000-0000-0000D1040000}"/>
    <cellStyle name="20% - Accent3 6 3" xfId="4115" xr:uid="{00000000-0005-0000-0000-0000D2040000}"/>
    <cellStyle name="20% - Accent3 6 3 2" xfId="4114" xr:uid="{00000000-0005-0000-0000-0000D3040000}"/>
    <cellStyle name="20% - Accent3 6 3 2 2" xfId="4113" xr:uid="{00000000-0005-0000-0000-0000D4040000}"/>
    <cellStyle name="20% - Accent3 6 3 2 3" xfId="4112" xr:uid="{00000000-0005-0000-0000-0000D5040000}"/>
    <cellStyle name="20% - Accent3 6 3 3" xfId="4111" xr:uid="{00000000-0005-0000-0000-0000D6040000}"/>
    <cellStyle name="20% - Accent3 6 3 3 2" xfId="4110" xr:uid="{00000000-0005-0000-0000-0000D7040000}"/>
    <cellStyle name="20% - Accent3 6 3 4" xfId="4109" xr:uid="{00000000-0005-0000-0000-0000D8040000}"/>
    <cellStyle name="20% - Accent3 6 4" xfId="4108" xr:uid="{00000000-0005-0000-0000-0000D9040000}"/>
    <cellStyle name="20% - Accent3 6 5" xfId="4107" xr:uid="{00000000-0005-0000-0000-0000DA040000}"/>
    <cellStyle name="20% - Accent3 7" xfId="178" xr:uid="{00000000-0005-0000-0000-000028000000}"/>
    <cellStyle name="20% - Accent3 7 2" xfId="4106" xr:uid="{00000000-0005-0000-0000-0000DC040000}"/>
    <cellStyle name="20% - Accent3 7 3" xfId="4105" xr:uid="{00000000-0005-0000-0000-0000DD040000}"/>
    <cellStyle name="20% - Accent3 7 4" xfId="4104" xr:uid="{00000000-0005-0000-0000-0000DE040000}"/>
    <cellStyle name="20% - Accent3 8" xfId="4103" xr:uid="{00000000-0005-0000-0000-0000DF040000}"/>
    <cellStyle name="20% - Accent3 8 2" xfId="4102" xr:uid="{00000000-0005-0000-0000-0000E0040000}"/>
    <cellStyle name="20% - Accent3 8 2 2" xfId="4101" xr:uid="{00000000-0005-0000-0000-0000E1040000}"/>
    <cellStyle name="20% - Accent3 8 2 3" xfId="4100" xr:uid="{00000000-0005-0000-0000-0000E2040000}"/>
    <cellStyle name="20% - Accent3 8 2 3 2" xfId="4099" xr:uid="{00000000-0005-0000-0000-0000E3040000}"/>
    <cellStyle name="20% - Accent3 8 3" xfId="4098" xr:uid="{00000000-0005-0000-0000-0000E4040000}"/>
    <cellStyle name="20% - Accent3 8 4" xfId="4097" xr:uid="{00000000-0005-0000-0000-0000E5040000}"/>
    <cellStyle name="20% - Accent3 8 4 2" xfId="4096" xr:uid="{00000000-0005-0000-0000-0000E6040000}"/>
    <cellStyle name="20% - Accent3 8 5" xfId="4095" xr:uid="{00000000-0005-0000-0000-0000E7040000}"/>
    <cellStyle name="20% - Accent3 9" xfId="4094" xr:uid="{00000000-0005-0000-0000-0000E8040000}"/>
    <cellStyle name="20% - Accent3 9 2" xfId="4093" xr:uid="{00000000-0005-0000-0000-0000E9040000}"/>
    <cellStyle name="20% - Accent3 9 2 2" xfId="4092" xr:uid="{00000000-0005-0000-0000-0000EA040000}"/>
    <cellStyle name="20% - Accent3 9 2 3" xfId="4091" xr:uid="{00000000-0005-0000-0000-0000EB040000}"/>
    <cellStyle name="20% - Accent3 9 3" xfId="4090" xr:uid="{00000000-0005-0000-0000-0000EC040000}"/>
    <cellStyle name="20% - Accent3 9 4" xfId="4089" xr:uid="{00000000-0005-0000-0000-0000ED040000}"/>
    <cellStyle name="20% - Accent3 9 4 2" xfId="4088" xr:uid="{00000000-0005-0000-0000-0000EE040000}"/>
    <cellStyle name="20% - Accent3 9 5" xfId="4087" xr:uid="{00000000-0005-0000-0000-0000EF040000}"/>
    <cellStyle name="20% - Accent4" xfId="94" builtinId="42" customBuiltin="1"/>
    <cellStyle name="20% - Accent4 10" xfId="4086" xr:uid="{00000000-0005-0000-0000-0000F0040000}"/>
    <cellStyle name="20% - Accent4 10 2" xfId="4085" xr:uid="{00000000-0005-0000-0000-0000F1040000}"/>
    <cellStyle name="20% - Accent4 10 2 2" xfId="4084" xr:uid="{00000000-0005-0000-0000-0000F2040000}"/>
    <cellStyle name="20% - Accent4 10 2 3" xfId="4083" xr:uid="{00000000-0005-0000-0000-0000F3040000}"/>
    <cellStyle name="20% - Accent4 10 3" xfId="4082" xr:uid="{00000000-0005-0000-0000-0000F4040000}"/>
    <cellStyle name="20% - Accent4 10 4" xfId="4081" xr:uid="{00000000-0005-0000-0000-0000F5040000}"/>
    <cellStyle name="20% - Accent4 10 4 2" xfId="4080" xr:uid="{00000000-0005-0000-0000-0000F6040000}"/>
    <cellStyle name="20% - Accent4 10 5" xfId="4079" xr:uid="{00000000-0005-0000-0000-0000F7040000}"/>
    <cellStyle name="20% - Accent4 11" xfId="4078" xr:uid="{00000000-0005-0000-0000-0000F8040000}"/>
    <cellStyle name="20% - Accent4 11 2" xfId="4077" xr:uid="{00000000-0005-0000-0000-0000F9040000}"/>
    <cellStyle name="20% - Accent4 11 3" xfId="4076" xr:uid="{00000000-0005-0000-0000-0000FA040000}"/>
    <cellStyle name="20% - Accent4 11 3 2" xfId="4075" xr:uid="{00000000-0005-0000-0000-0000FB040000}"/>
    <cellStyle name="20% - Accent4 12" xfId="4074" xr:uid="{00000000-0005-0000-0000-0000FC040000}"/>
    <cellStyle name="20% - Accent4 12 2" xfId="4073" xr:uid="{00000000-0005-0000-0000-0000FD040000}"/>
    <cellStyle name="20% - Accent4 12 3" xfId="4072" xr:uid="{00000000-0005-0000-0000-0000FE040000}"/>
    <cellStyle name="20% - Accent4 13" xfId="4071" xr:uid="{00000000-0005-0000-0000-0000FF040000}"/>
    <cellStyle name="20% - Accent4 13 2" xfId="4070" xr:uid="{00000000-0005-0000-0000-000000050000}"/>
    <cellStyle name="20% - Accent4 13 3" xfId="4069" xr:uid="{00000000-0005-0000-0000-000001050000}"/>
    <cellStyle name="20% - Accent4 14" xfId="4068" xr:uid="{00000000-0005-0000-0000-000002050000}"/>
    <cellStyle name="20% - Accent4 14 2" xfId="4067" xr:uid="{00000000-0005-0000-0000-000003050000}"/>
    <cellStyle name="20% - Accent4 15" xfId="4066" xr:uid="{00000000-0005-0000-0000-000004050000}"/>
    <cellStyle name="20% - Accent4 16" xfId="4065" xr:uid="{00000000-0005-0000-0000-000005050000}"/>
    <cellStyle name="20% - Accent4 2" xfId="113" xr:uid="{00000000-0005-0000-0000-000029000000}"/>
    <cellStyle name="20% - Accent4 2 2" xfId="4064" xr:uid="{00000000-0005-0000-0000-000007050000}"/>
    <cellStyle name="20% - Accent4 2 3" xfId="4063" xr:uid="{00000000-0005-0000-0000-000008050000}"/>
    <cellStyle name="20% - Accent4 2 3 2" xfId="4062" xr:uid="{00000000-0005-0000-0000-000009050000}"/>
    <cellStyle name="20% - Accent4 2 3 2 2" xfId="4061" xr:uid="{00000000-0005-0000-0000-00000A050000}"/>
    <cellStyle name="20% - Accent4 2 3 2 2 2" xfId="4060" xr:uid="{00000000-0005-0000-0000-00000B050000}"/>
    <cellStyle name="20% - Accent4 2 3 2 2 2 2" xfId="4059" xr:uid="{00000000-0005-0000-0000-00000C050000}"/>
    <cellStyle name="20% - Accent4 2 3 2 2 2 3" xfId="4058" xr:uid="{00000000-0005-0000-0000-00000D050000}"/>
    <cellStyle name="20% - Accent4 2 3 2 2 3" xfId="4057" xr:uid="{00000000-0005-0000-0000-00000E050000}"/>
    <cellStyle name="20% - Accent4 2 3 2 2 3 2" xfId="4056" xr:uid="{00000000-0005-0000-0000-00000F050000}"/>
    <cellStyle name="20% - Accent4 2 3 2 2 4" xfId="4055" xr:uid="{00000000-0005-0000-0000-000010050000}"/>
    <cellStyle name="20% - Accent4 2 3 2 3" xfId="4054" xr:uid="{00000000-0005-0000-0000-000011050000}"/>
    <cellStyle name="20% - Accent4 2 3 2 3 2" xfId="4053" xr:uid="{00000000-0005-0000-0000-000012050000}"/>
    <cellStyle name="20% - Accent4 2 3 2 3 2 2" xfId="4052" xr:uid="{00000000-0005-0000-0000-000013050000}"/>
    <cellStyle name="20% - Accent4 2 3 2 3 2 3" xfId="4051" xr:uid="{00000000-0005-0000-0000-000014050000}"/>
    <cellStyle name="20% - Accent4 2 3 2 3 3" xfId="4050" xr:uid="{00000000-0005-0000-0000-000015050000}"/>
    <cellStyle name="20% - Accent4 2 3 2 3 3 2" xfId="4049" xr:uid="{00000000-0005-0000-0000-000016050000}"/>
    <cellStyle name="20% - Accent4 2 3 2 3 4" xfId="4048" xr:uid="{00000000-0005-0000-0000-000017050000}"/>
    <cellStyle name="20% - Accent4 2 3 2 4" xfId="4047" xr:uid="{00000000-0005-0000-0000-000018050000}"/>
    <cellStyle name="20% - Accent4 2 3 2 4 2" xfId="4046" xr:uid="{00000000-0005-0000-0000-000019050000}"/>
    <cellStyle name="20% - Accent4 2 3 2 4 3" xfId="4045" xr:uid="{00000000-0005-0000-0000-00001A050000}"/>
    <cellStyle name="20% - Accent4 2 3 2 5" xfId="4044" xr:uid="{00000000-0005-0000-0000-00001B050000}"/>
    <cellStyle name="20% - Accent4 2 3 2 6" xfId="4043" xr:uid="{00000000-0005-0000-0000-00001C050000}"/>
    <cellStyle name="20% - Accent4 2 3 2 6 2" xfId="4042" xr:uid="{00000000-0005-0000-0000-00001D050000}"/>
    <cellStyle name="20% - Accent4 2 3 2 7" xfId="4041" xr:uid="{00000000-0005-0000-0000-00001E050000}"/>
    <cellStyle name="20% - Accent4 2 3 3" xfId="4040" xr:uid="{00000000-0005-0000-0000-00001F050000}"/>
    <cellStyle name="20% - Accent4 2 3 3 2" xfId="4039" xr:uid="{00000000-0005-0000-0000-000020050000}"/>
    <cellStyle name="20% - Accent4 2 3 3 2 2" xfId="4038" xr:uid="{00000000-0005-0000-0000-000021050000}"/>
    <cellStyle name="20% - Accent4 2 3 3 2 3" xfId="4037" xr:uid="{00000000-0005-0000-0000-000022050000}"/>
    <cellStyle name="20% - Accent4 2 3 3 3" xfId="4036" xr:uid="{00000000-0005-0000-0000-000023050000}"/>
    <cellStyle name="20% - Accent4 2 3 3 3 2" xfId="4035" xr:uid="{00000000-0005-0000-0000-000024050000}"/>
    <cellStyle name="20% - Accent4 2 3 3 4" xfId="4034" xr:uid="{00000000-0005-0000-0000-000025050000}"/>
    <cellStyle name="20% - Accent4 2 3 4" xfId="4033" xr:uid="{00000000-0005-0000-0000-000026050000}"/>
    <cellStyle name="20% - Accent4 2 3 4 2" xfId="4032" xr:uid="{00000000-0005-0000-0000-000027050000}"/>
    <cellStyle name="20% - Accent4 2 3 4 2 2" xfId="4031" xr:uid="{00000000-0005-0000-0000-000028050000}"/>
    <cellStyle name="20% - Accent4 2 3 4 2 3" xfId="4030" xr:uid="{00000000-0005-0000-0000-000029050000}"/>
    <cellStyle name="20% - Accent4 2 3 4 3" xfId="4029" xr:uid="{00000000-0005-0000-0000-00002A050000}"/>
    <cellStyle name="20% - Accent4 2 3 4 3 2" xfId="4028" xr:uid="{00000000-0005-0000-0000-00002B050000}"/>
    <cellStyle name="20% - Accent4 2 3 4 4" xfId="4027" xr:uid="{00000000-0005-0000-0000-00002C050000}"/>
    <cellStyle name="20% - Accent4 2 3 5" xfId="4026" xr:uid="{00000000-0005-0000-0000-00002D050000}"/>
    <cellStyle name="20% - Accent4 2 3 5 2" xfId="4025" xr:uid="{00000000-0005-0000-0000-00002E050000}"/>
    <cellStyle name="20% - Accent4 2 3 5 3" xfId="4024" xr:uid="{00000000-0005-0000-0000-00002F050000}"/>
    <cellStyle name="20% - Accent4 2 3 6" xfId="4023" xr:uid="{00000000-0005-0000-0000-000030050000}"/>
    <cellStyle name="20% - Accent4 2 3 7" xfId="4022" xr:uid="{00000000-0005-0000-0000-000031050000}"/>
    <cellStyle name="20% - Accent4 2 3 7 2" xfId="4021" xr:uid="{00000000-0005-0000-0000-000032050000}"/>
    <cellStyle name="20% - Accent4 2 3 8" xfId="4020" xr:uid="{00000000-0005-0000-0000-000033050000}"/>
    <cellStyle name="20% - Accent4 2 4" xfId="4019" xr:uid="{00000000-0005-0000-0000-000034050000}"/>
    <cellStyle name="20% - Accent4 2 4 2" xfId="4018" xr:uid="{00000000-0005-0000-0000-000035050000}"/>
    <cellStyle name="20% - Accent4 2 4 2 2" xfId="4017" xr:uid="{00000000-0005-0000-0000-000036050000}"/>
    <cellStyle name="20% - Accent4 2 4 2 2 2" xfId="4016" xr:uid="{00000000-0005-0000-0000-000037050000}"/>
    <cellStyle name="20% - Accent4 2 4 2 2 2 2" xfId="4015" xr:uid="{00000000-0005-0000-0000-000038050000}"/>
    <cellStyle name="20% - Accent4 2 4 2 2 2 3" xfId="4014" xr:uid="{00000000-0005-0000-0000-000039050000}"/>
    <cellStyle name="20% - Accent4 2 4 2 2 3" xfId="4013" xr:uid="{00000000-0005-0000-0000-00003A050000}"/>
    <cellStyle name="20% - Accent4 2 4 2 2 3 2" xfId="4012" xr:uid="{00000000-0005-0000-0000-00003B050000}"/>
    <cellStyle name="20% - Accent4 2 4 2 2 4" xfId="4011" xr:uid="{00000000-0005-0000-0000-00003C050000}"/>
    <cellStyle name="20% - Accent4 2 4 2 3" xfId="4010" xr:uid="{00000000-0005-0000-0000-00003D050000}"/>
    <cellStyle name="20% - Accent4 2 4 2 3 2" xfId="4009" xr:uid="{00000000-0005-0000-0000-00003E050000}"/>
    <cellStyle name="20% - Accent4 2 4 2 3 2 2" xfId="4008" xr:uid="{00000000-0005-0000-0000-00003F050000}"/>
    <cellStyle name="20% - Accent4 2 4 2 3 2 3" xfId="4007" xr:uid="{00000000-0005-0000-0000-000040050000}"/>
    <cellStyle name="20% - Accent4 2 4 2 3 3" xfId="4006" xr:uid="{00000000-0005-0000-0000-000041050000}"/>
    <cellStyle name="20% - Accent4 2 4 2 3 3 2" xfId="4005" xr:uid="{00000000-0005-0000-0000-000042050000}"/>
    <cellStyle name="20% - Accent4 2 4 2 3 4" xfId="4004" xr:uid="{00000000-0005-0000-0000-000043050000}"/>
    <cellStyle name="20% - Accent4 2 4 2 4" xfId="4003" xr:uid="{00000000-0005-0000-0000-000044050000}"/>
    <cellStyle name="20% - Accent4 2 4 2 4 2" xfId="4002" xr:uid="{00000000-0005-0000-0000-000045050000}"/>
    <cellStyle name="20% - Accent4 2 4 2 4 3" xfId="4001" xr:uid="{00000000-0005-0000-0000-000046050000}"/>
    <cellStyle name="20% - Accent4 2 4 2 5" xfId="4000" xr:uid="{00000000-0005-0000-0000-000047050000}"/>
    <cellStyle name="20% - Accent4 2 4 2 6" xfId="3999" xr:uid="{00000000-0005-0000-0000-000048050000}"/>
    <cellStyle name="20% - Accent4 2 4 2 6 2" xfId="3998" xr:uid="{00000000-0005-0000-0000-000049050000}"/>
    <cellStyle name="20% - Accent4 2 4 2 7" xfId="3997" xr:uid="{00000000-0005-0000-0000-00004A050000}"/>
    <cellStyle name="20% - Accent4 2 4 3" xfId="3996" xr:uid="{00000000-0005-0000-0000-00004B050000}"/>
    <cellStyle name="20% - Accent4 2 4 3 2" xfId="3995" xr:uid="{00000000-0005-0000-0000-00004C050000}"/>
    <cellStyle name="20% - Accent4 2 4 3 2 2" xfId="3994" xr:uid="{00000000-0005-0000-0000-00004D050000}"/>
    <cellStyle name="20% - Accent4 2 4 3 2 3" xfId="3993" xr:uid="{00000000-0005-0000-0000-00004E050000}"/>
    <cellStyle name="20% - Accent4 2 4 3 3" xfId="3992" xr:uid="{00000000-0005-0000-0000-00004F050000}"/>
    <cellStyle name="20% - Accent4 2 4 3 3 2" xfId="3991" xr:uid="{00000000-0005-0000-0000-000050050000}"/>
    <cellStyle name="20% - Accent4 2 4 3 4" xfId="3990" xr:uid="{00000000-0005-0000-0000-000051050000}"/>
    <cellStyle name="20% - Accent4 2 4 4" xfId="3989" xr:uid="{00000000-0005-0000-0000-000052050000}"/>
    <cellStyle name="20% - Accent4 2 4 4 2" xfId="3988" xr:uid="{00000000-0005-0000-0000-000053050000}"/>
    <cellStyle name="20% - Accent4 2 4 4 2 2" xfId="3987" xr:uid="{00000000-0005-0000-0000-000054050000}"/>
    <cellStyle name="20% - Accent4 2 4 4 2 3" xfId="3986" xr:uid="{00000000-0005-0000-0000-000055050000}"/>
    <cellStyle name="20% - Accent4 2 4 4 3" xfId="3985" xr:uid="{00000000-0005-0000-0000-000056050000}"/>
    <cellStyle name="20% - Accent4 2 4 4 3 2" xfId="3984" xr:uid="{00000000-0005-0000-0000-000057050000}"/>
    <cellStyle name="20% - Accent4 2 4 4 4" xfId="3983" xr:uid="{00000000-0005-0000-0000-000058050000}"/>
    <cellStyle name="20% - Accent4 2 4 5" xfId="3982" xr:uid="{00000000-0005-0000-0000-000059050000}"/>
    <cellStyle name="20% - Accent4 2 4 5 2" xfId="3981" xr:uid="{00000000-0005-0000-0000-00005A050000}"/>
    <cellStyle name="20% - Accent4 2 4 5 3" xfId="3980" xr:uid="{00000000-0005-0000-0000-00005B050000}"/>
    <cellStyle name="20% - Accent4 2 4 6" xfId="3979" xr:uid="{00000000-0005-0000-0000-00005C050000}"/>
    <cellStyle name="20% - Accent4 2 4 7" xfId="3978" xr:uid="{00000000-0005-0000-0000-00005D050000}"/>
    <cellStyle name="20% - Accent4 2 4 7 2" xfId="3977" xr:uid="{00000000-0005-0000-0000-00005E050000}"/>
    <cellStyle name="20% - Accent4 2 4 8" xfId="3976" xr:uid="{00000000-0005-0000-0000-00005F050000}"/>
    <cellStyle name="20% - Accent4 2 5" xfId="3975" xr:uid="{00000000-0005-0000-0000-000060050000}"/>
    <cellStyle name="20% - Accent4 2 5 2" xfId="3974" xr:uid="{00000000-0005-0000-0000-000061050000}"/>
    <cellStyle name="20% - Accent4 2 5 2 2" xfId="3973" xr:uid="{00000000-0005-0000-0000-000062050000}"/>
    <cellStyle name="20% - Accent4 2 5 2 2 2" xfId="3972" xr:uid="{00000000-0005-0000-0000-000063050000}"/>
    <cellStyle name="20% - Accent4 2 5 2 2 2 2" xfId="3971" xr:uid="{00000000-0005-0000-0000-000064050000}"/>
    <cellStyle name="20% - Accent4 2 5 2 2 2 3" xfId="3970" xr:uid="{00000000-0005-0000-0000-000065050000}"/>
    <cellStyle name="20% - Accent4 2 5 2 2 3" xfId="3969" xr:uid="{00000000-0005-0000-0000-000066050000}"/>
    <cellStyle name="20% - Accent4 2 5 2 2 3 2" xfId="3968" xr:uid="{00000000-0005-0000-0000-000067050000}"/>
    <cellStyle name="20% - Accent4 2 5 2 2 4" xfId="3967" xr:uid="{00000000-0005-0000-0000-000068050000}"/>
    <cellStyle name="20% - Accent4 2 5 2 3" xfId="3966" xr:uid="{00000000-0005-0000-0000-000069050000}"/>
    <cellStyle name="20% - Accent4 2 5 2 3 2" xfId="3965" xr:uid="{00000000-0005-0000-0000-00006A050000}"/>
    <cellStyle name="20% - Accent4 2 5 2 3 2 2" xfId="3964" xr:uid="{00000000-0005-0000-0000-00006B050000}"/>
    <cellStyle name="20% - Accent4 2 5 2 3 2 3" xfId="3963" xr:uid="{00000000-0005-0000-0000-00006C050000}"/>
    <cellStyle name="20% - Accent4 2 5 2 3 3" xfId="3962" xr:uid="{00000000-0005-0000-0000-00006D050000}"/>
    <cellStyle name="20% - Accent4 2 5 2 3 3 2" xfId="3961" xr:uid="{00000000-0005-0000-0000-00006E050000}"/>
    <cellStyle name="20% - Accent4 2 5 2 3 4" xfId="3960" xr:uid="{00000000-0005-0000-0000-00006F050000}"/>
    <cellStyle name="20% - Accent4 2 5 2 4" xfId="3959" xr:uid="{00000000-0005-0000-0000-000070050000}"/>
    <cellStyle name="20% - Accent4 2 5 2 4 2" xfId="3958" xr:uid="{00000000-0005-0000-0000-000071050000}"/>
    <cellStyle name="20% - Accent4 2 5 2 4 3" xfId="3957" xr:uid="{00000000-0005-0000-0000-000072050000}"/>
    <cellStyle name="20% - Accent4 2 5 2 5" xfId="3956" xr:uid="{00000000-0005-0000-0000-000073050000}"/>
    <cellStyle name="20% - Accent4 2 5 2 6" xfId="3955" xr:uid="{00000000-0005-0000-0000-000074050000}"/>
    <cellStyle name="20% - Accent4 2 5 2 6 2" xfId="3954" xr:uid="{00000000-0005-0000-0000-000075050000}"/>
    <cellStyle name="20% - Accent4 2 5 2 7" xfId="3953" xr:uid="{00000000-0005-0000-0000-000076050000}"/>
    <cellStyle name="20% - Accent4 2 5 3" xfId="3952" xr:uid="{00000000-0005-0000-0000-000077050000}"/>
    <cellStyle name="20% - Accent4 2 5 3 2" xfId="3951" xr:uid="{00000000-0005-0000-0000-000078050000}"/>
    <cellStyle name="20% - Accent4 2 5 3 2 2" xfId="3950" xr:uid="{00000000-0005-0000-0000-000079050000}"/>
    <cellStyle name="20% - Accent4 2 5 3 2 3" xfId="3949" xr:uid="{00000000-0005-0000-0000-00007A050000}"/>
    <cellStyle name="20% - Accent4 2 5 3 3" xfId="3948" xr:uid="{00000000-0005-0000-0000-00007B050000}"/>
    <cellStyle name="20% - Accent4 2 5 3 3 2" xfId="3947" xr:uid="{00000000-0005-0000-0000-00007C050000}"/>
    <cellStyle name="20% - Accent4 2 5 3 4" xfId="3946" xr:uid="{00000000-0005-0000-0000-00007D050000}"/>
    <cellStyle name="20% - Accent4 2 5 4" xfId="3945" xr:uid="{00000000-0005-0000-0000-00007E050000}"/>
    <cellStyle name="20% - Accent4 2 5 4 2" xfId="3944" xr:uid="{00000000-0005-0000-0000-00007F050000}"/>
    <cellStyle name="20% - Accent4 2 5 4 2 2" xfId="3943" xr:uid="{00000000-0005-0000-0000-000080050000}"/>
    <cellStyle name="20% - Accent4 2 5 4 2 3" xfId="3942" xr:uid="{00000000-0005-0000-0000-000081050000}"/>
    <cellStyle name="20% - Accent4 2 5 4 3" xfId="3941" xr:uid="{00000000-0005-0000-0000-000082050000}"/>
    <cellStyle name="20% - Accent4 2 5 4 3 2" xfId="3940" xr:uid="{00000000-0005-0000-0000-000083050000}"/>
    <cellStyle name="20% - Accent4 2 5 4 4" xfId="3939" xr:uid="{00000000-0005-0000-0000-000084050000}"/>
    <cellStyle name="20% - Accent4 2 5 5" xfId="3938" xr:uid="{00000000-0005-0000-0000-000085050000}"/>
    <cellStyle name="20% - Accent4 2 5 5 2" xfId="3937" xr:uid="{00000000-0005-0000-0000-000086050000}"/>
    <cellStyle name="20% - Accent4 2 5 5 3" xfId="3936" xr:uid="{00000000-0005-0000-0000-000087050000}"/>
    <cellStyle name="20% - Accent4 2 5 6" xfId="3935" xr:uid="{00000000-0005-0000-0000-000088050000}"/>
    <cellStyle name="20% - Accent4 2 5 7" xfId="3934" xr:uid="{00000000-0005-0000-0000-000089050000}"/>
    <cellStyle name="20% - Accent4 2 5 7 2" xfId="3933" xr:uid="{00000000-0005-0000-0000-00008A050000}"/>
    <cellStyle name="20% - Accent4 2 5 8" xfId="3932" xr:uid="{00000000-0005-0000-0000-00008B050000}"/>
    <cellStyle name="20% - Accent4 2 6" xfId="3931" xr:uid="{00000000-0005-0000-0000-00008C050000}"/>
    <cellStyle name="20% - Accent4 2 6 2" xfId="3930" xr:uid="{00000000-0005-0000-0000-00008D050000}"/>
    <cellStyle name="20% - Accent4 2 6 2 2" xfId="3929" xr:uid="{00000000-0005-0000-0000-00008E050000}"/>
    <cellStyle name="20% - Accent4 2 6 2 2 2" xfId="3928" xr:uid="{00000000-0005-0000-0000-00008F050000}"/>
    <cellStyle name="20% - Accent4 2 6 2 2 2 2" xfId="3927" xr:uid="{00000000-0005-0000-0000-000090050000}"/>
    <cellStyle name="20% - Accent4 2 6 2 2 2 3" xfId="3926" xr:uid="{00000000-0005-0000-0000-000091050000}"/>
    <cellStyle name="20% - Accent4 2 6 2 2 3" xfId="3925" xr:uid="{00000000-0005-0000-0000-000092050000}"/>
    <cellStyle name="20% - Accent4 2 6 2 2 3 2" xfId="3924" xr:uid="{00000000-0005-0000-0000-000093050000}"/>
    <cellStyle name="20% - Accent4 2 6 2 2 4" xfId="3923" xr:uid="{00000000-0005-0000-0000-000094050000}"/>
    <cellStyle name="20% - Accent4 2 6 2 3" xfId="3922" xr:uid="{00000000-0005-0000-0000-000095050000}"/>
    <cellStyle name="20% - Accent4 2 6 2 3 2" xfId="3921" xr:uid="{00000000-0005-0000-0000-000096050000}"/>
    <cellStyle name="20% - Accent4 2 6 2 3 2 2" xfId="3920" xr:uid="{00000000-0005-0000-0000-000097050000}"/>
    <cellStyle name="20% - Accent4 2 6 2 3 2 3" xfId="3919" xr:uid="{00000000-0005-0000-0000-000098050000}"/>
    <cellStyle name="20% - Accent4 2 6 2 3 3" xfId="3918" xr:uid="{00000000-0005-0000-0000-000099050000}"/>
    <cellStyle name="20% - Accent4 2 6 2 3 3 2" xfId="3917" xr:uid="{00000000-0005-0000-0000-00009A050000}"/>
    <cellStyle name="20% - Accent4 2 6 2 3 4" xfId="3916" xr:uid="{00000000-0005-0000-0000-00009B050000}"/>
    <cellStyle name="20% - Accent4 2 6 2 4" xfId="3915" xr:uid="{00000000-0005-0000-0000-00009C050000}"/>
    <cellStyle name="20% - Accent4 2 6 2 4 2" xfId="3914" xr:uid="{00000000-0005-0000-0000-00009D050000}"/>
    <cellStyle name="20% - Accent4 2 6 2 4 3" xfId="3913" xr:uid="{00000000-0005-0000-0000-00009E050000}"/>
    <cellStyle name="20% - Accent4 2 6 2 5" xfId="3912" xr:uid="{00000000-0005-0000-0000-00009F050000}"/>
    <cellStyle name="20% - Accent4 2 6 2 6" xfId="3911" xr:uid="{00000000-0005-0000-0000-0000A0050000}"/>
    <cellStyle name="20% - Accent4 2 6 2 6 2" xfId="3910" xr:uid="{00000000-0005-0000-0000-0000A1050000}"/>
    <cellStyle name="20% - Accent4 2 6 2 7" xfId="3909" xr:uid="{00000000-0005-0000-0000-0000A2050000}"/>
    <cellStyle name="20% - Accent4 2 6 3" xfId="3908" xr:uid="{00000000-0005-0000-0000-0000A3050000}"/>
    <cellStyle name="20% - Accent4 2 6 3 2" xfId="3907" xr:uid="{00000000-0005-0000-0000-0000A4050000}"/>
    <cellStyle name="20% - Accent4 2 6 3 2 2" xfId="3906" xr:uid="{00000000-0005-0000-0000-0000A5050000}"/>
    <cellStyle name="20% - Accent4 2 6 3 2 3" xfId="3905" xr:uid="{00000000-0005-0000-0000-0000A6050000}"/>
    <cellStyle name="20% - Accent4 2 6 3 3" xfId="3904" xr:uid="{00000000-0005-0000-0000-0000A7050000}"/>
    <cellStyle name="20% - Accent4 2 6 3 3 2" xfId="3903" xr:uid="{00000000-0005-0000-0000-0000A8050000}"/>
    <cellStyle name="20% - Accent4 2 6 3 4" xfId="3902" xr:uid="{00000000-0005-0000-0000-0000A9050000}"/>
    <cellStyle name="20% - Accent4 2 6 4" xfId="3901" xr:uid="{00000000-0005-0000-0000-0000AA050000}"/>
    <cellStyle name="20% - Accent4 2 6 4 2" xfId="3900" xr:uid="{00000000-0005-0000-0000-0000AB050000}"/>
    <cellStyle name="20% - Accent4 2 6 4 2 2" xfId="3899" xr:uid="{00000000-0005-0000-0000-0000AC050000}"/>
    <cellStyle name="20% - Accent4 2 6 4 2 3" xfId="3898" xr:uid="{00000000-0005-0000-0000-0000AD050000}"/>
    <cellStyle name="20% - Accent4 2 6 4 3" xfId="3897" xr:uid="{00000000-0005-0000-0000-0000AE050000}"/>
    <cellStyle name="20% - Accent4 2 6 4 3 2" xfId="3896" xr:uid="{00000000-0005-0000-0000-0000AF050000}"/>
    <cellStyle name="20% - Accent4 2 6 4 4" xfId="3895" xr:uid="{00000000-0005-0000-0000-0000B0050000}"/>
    <cellStyle name="20% - Accent4 2 6 5" xfId="3894" xr:uid="{00000000-0005-0000-0000-0000B1050000}"/>
    <cellStyle name="20% - Accent4 2 6 5 2" xfId="3893" xr:uid="{00000000-0005-0000-0000-0000B2050000}"/>
    <cellStyle name="20% - Accent4 2 6 5 3" xfId="3892" xr:uid="{00000000-0005-0000-0000-0000B3050000}"/>
    <cellStyle name="20% - Accent4 2 6 6" xfId="3891" xr:uid="{00000000-0005-0000-0000-0000B4050000}"/>
    <cellStyle name="20% - Accent4 2 6 7" xfId="3890" xr:uid="{00000000-0005-0000-0000-0000B5050000}"/>
    <cellStyle name="20% - Accent4 2 6 7 2" xfId="3889" xr:uid="{00000000-0005-0000-0000-0000B6050000}"/>
    <cellStyle name="20% - Accent4 2 6 8" xfId="3888" xr:uid="{00000000-0005-0000-0000-0000B7050000}"/>
    <cellStyle name="20% - Accent4 2 7" xfId="3887" xr:uid="{00000000-0005-0000-0000-0000B8050000}"/>
    <cellStyle name="20% - Accent4 2 7 2" xfId="3886" xr:uid="{00000000-0005-0000-0000-0000B9050000}"/>
    <cellStyle name="20% - Accent4 2 7 2 2" xfId="3885" xr:uid="{00000000-0005-0000-0000-0000BA050000}"/>
    <cellStyle name="20% - Accent4 2 7 2 3" xfId="3884" xr:uid="{00000000-0005-0000-0000-0000BB050000}"/>
    <cellStyle name="20% - Accent4 2 7 3" xfId="3883" xr:uid="{00000000-0005-0000-0000-0000BC050000}"/>
    <cellStyle name="20% - Accent4 2 7 3 2" xfId="3882" xr:uid="{00000000-0005-0000-0000-0000BD050000}"/>
    <cellStyle name="20% - Accent4 2 7 4" xfId="3881" xr:uid="{00000000-0005-0000-0000-0000BE050000}"/>
    <cellStyle name="20% - Accent4 3" xfId="107" xr:uid="{00000000-0005-0000-0000-00002A000000}"/>
    <cellStyle name="20% - Accent4 3 10" xfId="3880" xr:uid="{00000000-0005-0000-0000-0000BF050000}"/>
    <cellStyle name="20% - Accent4 3 2" xfId="3879" xr:uid="{00000000-0005-0000-0000-0000C0050000}"/>
    <cellStyle name="20% - Accent4 3 2 2" xfId="3878" xr:uid="{00000000-0005-0000-0000-0000C1050000}"/>
    <cellStyle name="20% - Accent4 3 2 2 2" xfId="3877" xr:uid="{00000000-0005-0000-0000-0000C2050000}"/>
    <cellStyle name="20% - Accent4 3 2 2 2 2" xfId="3876" xr:uid="{00000000-0005-0000-0000-0000C3050000}"/>
    <cellStyle name="20% - Accent4 3 2 2 2 2 2" xfId="3875" xr:uid="{00000000-0005-0000-0000-0000C4050000}"/>
    <cellStyle name="20% - Accent4 3 2 2 2 2 3" xfId="3874" xr:uid="{00000000-0005-0000-0000-0000C5050000}"/>
    <cellStyle name="20% - Accent4 3 2 2 2 3" xfId="3873" xr:uid="{00000000-0005-0000-0000-0000C6050000}"/>
    <cellStyle name="20% - Accent4 3 2 2 2 3 2" xfId="3872" xr:uid="{00000000-0005-0000-0000-0000C7050000}"/>
    <cellStyle name="20% - Accent4 3 2 2 2 4" xfId="3871" xr:uid="{00000000-0005-0000-0000-0000C8050000}"/>
    <cellStyle name="20% - Accent4 3 2 2 3" xfId="3870" xr:uid="{00000000-0005-0000-0000-0000C9050000}"/>
    <cellStyle name="20% - Accent4 3 2 2 3 2" xfId="3869" xr:uid="{00000000-0005-0000-0000-0000CA050000}"/>
    <cellStyle name="20% - Accent4 3 2 2 3 3" xfId="3868" xr:uid="{00000000-0005-0000-0000-0000CB050000}"/>
    <cellStyle name="20% - Accent4 3 2 2 4" xfId="3867" xr:uid="{00000000-0005-0000-0000-0000CC050000}"/>
    <cellStyle name="20% - Accent4 3 2 2 5" xfId="3866" xr:uid="{00000000-0005-0000-0000-0000CD050000}"/>
    <cellStyle name="20% - Accent4 3 2 2 5 2" xfId="3865" xr:uid="{00000000-0005-0000-0000-0000CE050000}"/>
    <cellStyle name="20% - Accent4 3 2 2 6" xfId="3864" xr:uid="{00000000-0005-0000-0000-0000CF050000}"/>
    <cellStyle name="20% - Accent4 3 2 3" xfId="3863" xr:uid="{00000000-0005-0000-0000-0000D0050000}"/>
    <cellStyle name="20% - Accent4 3 2 3 2" xfId="3862" xr:uid="{00000000-0005-0000-0000-0000D1050000}"/>
    <cellStyle name="20% - Accent4 3 2 3 2 2" xfId="3861" xr:uid="{00000000-0005-0000-0000-0000D2050000}"/>
    <cellStyle name="20% - Accent4 3 2 3 2 3" xfId="3860" xr:uid="{00000000-0005-0000-0000-0000D3050000}"/>
    <cellStyle name="20% - Accent4 3 2 3 3" xfId="3859" xr:uid="{00000000-0005-0000-0000-0000D4050000}"/>
    <cellStyle name="20% - Accent4 3 2 3 3 2" xfId="3858" xr:uid="{00000000-0005-0000-0000-0000D5050000}"/>
    <cellStyle name="20% - Accent4 3 2 3 4" xfId="3857" xr:uid="{00000000-0005-0000-0000-0000D6050000}"/>
    <cellStyle name="20% - Accent4 3 2 4" xfId="3856" xr:uid="{00000000-0005-0000-0000-0000D7050000}"/>
    <cellStyle name="20% - Accent4 3 2 5" xfId="3855" xr:uid="{00000000-0005-0000-0000-0000D8050000}"/>
    <cellStyle name="20% - Accent4 3 3" xfId="3854" xr:uid="{00000000-0005-0000-0000-0000D9050000}"/>
    <cellStyle name="20% - Accent4 3 3 2" xfId="3853" xr:uid="{00000000-0005-0000-0000-0000DA050000}"/>
    <cellStyle name="20% - Accent4 3 3 2 2" xfId="3852" xr:uid="{00000000-0005-0000-0000-0000DB050000}"/>
    <cellStyle name="20% - Accent4 3 3 2 3" xfId="3851" xr:uid="{00000000-0005-0000-0000-0000DC050000}"/>
    <cellStyle name="20% - Accent4 3 3 2 3 2" xfId="3850" xr:uid="{00000000-0005-0000-0000-0000DD050000}"/>
    <cellStyle name="20% - Accent4 3 3 3" xfId="3849" xr:uid="{00000000-0005-0000-0000-0000DE050000}"/>
    <cellStyle name="20% - Accent4 3 3 4" xfId="3848" xr:uid="{00000000-0005-0000-0000-0000DF050000}"/>
    <cellStyle name="20% - Accent4 3 3 4 2" xfId="3847" xr:uid="{00000000-0005-0000-0000-0000E0050000}"/>
    <cellStyle name="20% - Accent4 3 3 5" xfId="3846" xr:uid="{00000000-0005-0000-0000-0000E1050000}"/>
    <cellStyle name="20% - Accent4 3 4" xfId="3845" xr:uid="{00000000-0005-0000-0000-0000E2050000}"/>
    <cellStyle name="20% - Accent4 3 4 2" xfId="3844" xr:uid="{00000000-0005-0000-0000-0000E3050000}"/>
    <cellStyle name="20% - Accent4 3 4 2 2" xfId="3843" xr:uid="{00000000-0005-0000-0000-0000E4050000}"/>
    <cellStyle name="20% - Accent4 3 4 2 3" xfId="3842" xr:uid="{00000000-0005-0000-0000-0000E5050000}"/>
    <cellStyle name="20% - Accent4 3 4 3" xfId="3841" xr:uid="{00000000-0005-0000-0000-0000E6050000}"/>
    <cellStyle name="20% - Accent4 3 4 4" xfId="3840" xr:uid="{00000000-0005-0000-0000-0000E7050000}"/>
    <cellStyle name="20% - Accent4 3 4 4 2" xfId="3839" xr:uid="{00000000-0005-0000-0000-0000E8050000}"/>
    <cellStyle name="20% - Accent4 3 4 5" xfId="3838" xr:uid="{00000000-0005-0000-0000-0000E9050000}"/>
    <cellStyle name="20% - Accent4 3 5" xfId="3837" xr:uid="{00000000-0005-0000-0000-0000EA050000}"/>
    <cellStyle name="20% - Accent4 3 5 2" xfId="3836" xr:uid="{00000000-0005-0000-0000-0000EB050000}"/>
    <cellStyle name="20% - Accent4 3 5 2 2" xfId="3835" xr:uid="{00000000-0005-0000-0000-0000EC050000}"/>
    <cellStyle name="20% - Accent4 3 5 2 3" xfId="3834" xr:uid="{00000000-0005-0000-0000-0000ED050000}"/>
    <cellStyle name="20% - Accent4 3 5 3" xfId="3833" xr:uid="{00000000-0005-0000-0000-0000EE050000}"/>
    <cellStyle name="20% - Accent4 3 5 3 2" xfId="3832" xr:uid="{00000000-0005-0000-0000-0000EF050000}"/>
    <cellStyle name="20% - Accent4 3 5 4" xfId="3831" xr:uid="{00000000-0005-0000-0000-0000F0050000}"/>
    <cellStyle name="20% - Accent4 3 6" xfId="3830" xr:uid="{00000000-0005-0000-0000-0000F1050000}"/>
    <cellStyle name="20% - Accent4 3 6 2" xfId="3829" xr:uid="{00000000-0005-0000-0000-0000F2050000}"/>
    <cellStyle name="20% - Accent4 3 6 3" xfId="3828" xr:uid="{00000000-0005-0000-0000-0000F3050000}"/>
    <cellStyle name="20% - Accent4 3 7" xfId="3827" xr:uid="{00000000-0005-0000-0000-0000F4050000}"/>
    <cellStyle name="20% - Accent4 3 8" xfId="3826" xr:uid="{00000000-0005-0000-0000-0000F5050000}"/>
    <cellStyle name="20% - Accent4 3 8 2" xfId="3825" xr:uid="{00000000-0005-0000-0000-0000F6050000}"/>
    <cellStyle name="20% - Accent4 3 9" xfId="3824" xr:uid="{00000000-0005-0000-0000-0000F7050000}"/>
    <cellStyle name="20% - Accent4 4" xfId="189" xr:uid="{00000000-0005-0000-0000-00002B000000}"/>
    <cellStyle name="20% - Accent4 4 10" xfId="3823" xr:uid="{00000000-0005-0000-0000-0000F8050000}"/>
    <cellStyle name="20% - Accent4 4 2" xfId="3822" xr:uid="{00000000-0005-0000-0000-0000F9050000}"/>
    <cellStyle name="20% - Accent4 4 2 2" xfId="3821" xr:uid="{00000000-0005-0000-0000-0000FA050000}"/>
    <cellStyle name="20% - Accent4 4 2 2 2" xfId="3820" xr:uid="{00000000-0005-0000-0000-0000FB050000}"/>
    <cellStyle name="20% - Accent4 4 2 2 2 2" xfId="3819" xr:uid="{00000000-0005-0000-0000-0000FC050000}"/>
    <cellStyle name="20% - Accent4 4 2 2 2 2 2" xfId="3818" xr:uid="{00000000-0005-0000-0000-0000FD050000}"/>
    <cellStyle name="20% - Accent4 4 2 2 2 2 3" xfId="3817" xr:uid="{00000000-0005-0000-0000-0000FE050000}"/>
    <cellStyle name="20% - Accent4 4 2 2 2 3" xfId="3816" xr:uid="{00000000-0005-0000-0000-0000FF050000}"/>
    <cellStyle name="20% - Accent4 4 2 2 2 3 2" xfId="3815" xr:uid="{00000000-0005-0000-0000-000000060000}"/>
    <cellStyle name="20% - Accent4 4 2 2 2 4" xfId="3814" xr:uid="{00000000-0005-0000-0000-000001060000}"/>
    <cellStyle name="20% - Accent4 4 2 2 3" xfId="3813" xr:uid="{00000000-0005-0000-0000-000002060000}"/>
    <cellStyle name="20% - Accent4 4 2 2 3 2" xfId="3812" xr:uid="{00000000-0005-0000-0000-000003060000}"/>
    <cellStyle name="20% - Accent4 4 2 2 3 3" xfId="3811" xr:uid="{00000000-0005-0000-0000-000004060000}"/>
    <cellStyle name="20% - Accent4 4 2 2 4" xfId="3810" xr:uid="{00000000-0005-0000-0000-000005060000}"/>
    <cellStyle name="20% - Accent4 4 2 2 5" xfId="3809" xr:uid="{00000000-0005-0000-0000-000006060000}"/>
    <cellStyle name="20% - Accent4 4 2 2 5 2" xfId="3808" xr:uid="{00000000-0005-0000-0000-000007060000}"/>
    <cellStyle name="20% - Accent4 4 2 2 6" xfId="3807" xr:uid="{00000000-0005-0000-0000-000008060000}"/>
    <cellStyle name="20% - Accent4 4 2 3" xfId="3806" xr:uid="{00000000-0005-0000-0000-000009060000}"/>
    <cellStyle name="20% - Accent4 4 2 3 2" xfId="3805" xr:uid="{00000000-0005-0000-0000-00000A060000}"/>
    <cellStyle name="20% - Accent4 4 2 3 2 2" xfId="3804" xr:uid="{00000000-0005-0000-0000-00000B060000}"/>
    <cellStyle name="20% - Accent4 4 2 3 2 3" xfId="3803" xr:uid="{00000000-0005-0000-0000-00000C060000}"/>
    <cellStyle name="20% - Accent4 4 2 3 3" xfId="3802" xr:uid="{00000000-0005-0000-0000-00000D060000}"/>
    <cellStyle name="20% - Accent4 4 2 3 3 2" xfId="3801" xr:uid="{00000000-0005-0000-0000-00000E060000}"/>
    <cellStyle name="20% - Accent4 4 2 3 4" xfId="3800" xr:uid="{00000000-0005-0000-0000-00000F060000}"/>
    <cellStyle name="20% - Accent4 4 2 4" xfId="3799" xr:uid="{00000000-0005-0000-0000-000010060000}"/>
    <cellStyle name="20% - Accent4 4 2 5" xfId="3798" xr:uid="{00000000-0005-0000-0000-000011060000}"/>
    <cellStyle name="20% - Accent4 4 3" xfId="3797" xr:uid="{00000000-0005-0000-0000-000012060000}"/>
    <cellStyle name="20% - Accent4 4 3 2" xfId="3796" xr:uid="{00000000-0005-0000-0000-000013060000}"/>
    <cellStyle name="20% - Accent4 4 3 2 2" xfId="3795" xr:uid="{00000000-0005-0000-0000-000014060000}"/>
    <cellStyle name="20% - Accent4 4 3 2 3" xfId="3794" xr:uid="{00000000-0005-0000-0000-000015060000}"/>
    <cellStyle name="20% - Accent4 4 3 3" xfId="3793" xr:uid="{00000000-0005-0000-0000-000016060000}"/>
    <cellStyle name="20% - Accent4 4 3 4" xfId="3792" xr:uid="{00000000-0005-0000-0000-000017060000}"/>
    <cellStyle name="20% - Accent4 4 3 4 2" xfId="3791" xr:uid="{00000000-0005-0000-0000-000018060000}"/>
    <cellStyle name="20% - Accent4 4 3 5" xfId="3790" xr:uid="{00000000-0005-0000-0000-000019060000}"/>
    <cellStyle name="20% - Accent4 4 4" xfId="3789" xr:uid="{00000000-0005-0000-0000-00001A060000}"/>
    <cellStyle name="20% - Accent4 4 4 2" xfId="3788" xr:uid="{00000000-0005-0000-0000-00001B060000}"/>
    <cellStyle name="20% - Accent4 4 4 2 2" xfId="3787" xr:uid="{00000000-0005-0000-0000-00001C060000}"/>
    <cellStyle name="20% - Accent4 4 4 2 3" xfId="3786" xr:uid="{00000000-0005-0000-0000-00001D060000}"/>
    <cellStyle name="20% - Accent4 4 4 3" xfId="3785" xr:uid="{00000000-0005-0000-0000-00001E060000}"/>
    <cellStyle name="20% - Accent4 4 4 3 2" xfId="3784" xr:uid="{00000000-0005-0000-0000-00001F060000}"/>
    <cellStyle name="20% - Accent4 4 4 4" xfId="3783" xr:uid="{00000000-0005-0000-0000-000020060000}"/>
    <cellStyle name="20% - Accent4 4 5" xfId="3782" xr:uid="{00000000-0005-0000-0000-000021060000}"/>
    <cellStyle name="20% - Accent4 4 5 2" xfId="3781" xr:uid="{00000000-0005-0000-0000-000022060000}"/>
    <cellStyle name="20% - Accent4 4 5 2 2" xfId="3780" xr:uid="{00000000-0005-0000-0000-000023060000}"/>
    <cellStyle name="20% - Accent4 4 5 2 3" xfId="3779" xr:uid="{00000000-0005-0000-0000-000024060000}"/>
    <cellStyle name="20% - Accent4 4 5 3" xfId="3778" xr:uid="{00000000-0005-0000-0000-000025060000}"/>
    <cellStyle name="20% - Accent4 4 5 3 2" xfId="3777" xr:uid="{00000000-0005-0000-0000-000026060000}"/>
    <cellStyle name="20% - Accent4 4 5 4" xfId="3776" xr:uid="{00000000-0005-0000-0000-000027060000}"/>
    <cellStyle name="20% - Accent4 4 6" xfId="3775" xr:uid="{00000000-0005-0000-0000-000028060000}"/>
    <cellStyle name="20% - Accent4 4 6 2" xfId="3774" xr:uid="{00000000-0005-0000-0000-000029060000}"/>
    <cellStyle name="20% - Accent4 4 6 3" xfId="3773" xr:uid="{00000000-0005-0000-0000-00002A060000}"/>
    <cellStyle name="20% - Accent4 4 7" xfId="3772" xr:uid="{00000000-0005-0000-0000-00002B060000}"/>
    <cellStyle name="20% - Accent4 4 8" xfId="3771" xr:uid="{00000000-0005-0000-0000-00002C060000}"/>
    <cellStyle name="20% - Accent4 4 8 2" xfId="3770" xr:uid="{00000000-0005-0000-0000-00002D060000}"/>
    <cellStyle name="20% - Accent4 4 9" xfId="3769" xr:uid="{00000000-0005-0000-0000-00002E060000}"/>
    <cellStyle name="20% - Accent4 5" xfId="205" xr:uid="{00000000-0005-0000-0000-00002C000000}"/>
    <cellStyle name="20% - Accent4 5 2" xfId="3767" xr:uid="{00000000-0005-0000-0000-000030060000}"/>
    <cellStyle name="20% - Accent4 5 2 2" xfId="3766" xr:uid="{00000000-0005-0000-0000-000031060000}"/>
    <cellStyle name="20% - Accent4 5 2 2 2" xfId="3765" xr:uid="{00000000-0005-0000-0000-000032060000}"/>
    <cellStyle name="20% - Accent4 5 2 2 2 2" xfId="3764" xr:uid="{00000000-0005-0000-0000-000033060000}"/>
    <cellStyle name="20% - Accent4 5 2 2 2 2 2" xfId="3763" xr:uid="{00000000-0005-0000-0000-000034060000}"/>
    <cellStyle name="20% - Accent4 5 2 2 2 2 3" xfId="3762" xr:uid="{00000000-0005-0000-0000-000035060000}"/>
    <cellStyle name="20% - Accent4 5 2 2 2 3" xfId="3761" xr:uid="{00000000-0005-0000-0000-000036060000}"/>
    <cellStyle name="20% - Accent4 5 2 2 2 3 2" xfId="3760" xr:uid="{00000000-0005-0000-0000-000037060000}"/>
    <cellStyle name="20% - Accent4 5 2 2 2 4" xfId="3759" xr:uid="{00000000-0005-0000-0000-000038060000}"/>
    <cellStyle name="20% - Accent4 5 2 2 3" xfId="3758" xr:uid="{00000000-0005-0000-0000-000039060000}"/>
    <cellStyle name="20% - Accent4 5 2 2 3 2" xfId="3757" xr:uid="{00000000-0005-0000-0000-00003A060000}"/>
    <cellStyle name="20% - Accent4 5 2 2 3 3" xfId="3756" xr:uid="{00000000-0005-0000-0000-00003B060000}"/>
    <cellStyle name="20% - Accent4 5 2 2 4" xfId="3755" xr:uid="{00000000-0005-0000-0000-00003C060000}"/>
    <cellStyle name="20% - Accent4 5 2 2 5" xfId="3754" xr:uid="{00000000-0005-0000-0000-00003D060000}"/>
    <cellStyle name="20% - Accent4 5 2 2 5 2" xfId="3753" xr:uid="{00000000-0005-0000-0000-00003E060000}"/>
    <cellStyle name="20% - Accent4 5 2 2 6" xfId="3752" xr:uid="{00000000-0005-0000-0000-00003F060000}"/>
    <cellStyle name="20% - Accent4 5 2 3" xfId="3751" xr:uid="{00000000-0005-0000-0000-000040060000}"/>
    <cellStyle name="20% - Accent4 5 2 3 2" xfId="3750" xr:uid="{00000000-0005-0000-0000-000041060000}"/>
    <cellStyle name="20% - Accent4 5 2 3 2 2" xfId="3749" xr:uid="{00000000-0005-0000-0000-000042060000}"/>
    <cellStyle name="20% - Accent4 5 2 3 2 3" xfId="3748" xr:uid="{00000000-0005-0000-0000-000043060000}"/>
    <cellStyle name="20% - Accent4 5 2 3 3" xfId="3747" xr:uid="{00000000-0005-0000-0000-000044060000}"/>
    <cellStyle name="20% - Accent4 5 2 3 3 2" xfId="3746" xr:uid="{00000000-0005-0000-0000-000045060000}"/>
    <cellStyle name="20% - Accent4 5 2 3 4" xfId="3745" xr:uid="{00000000-0005-0000-0000-000046060000}"/>
    <cellStyle name="20% - Accent4 5 2 4" xfId="3744" xr:uid="{00000000-0005-0000-0000-000047060000}"/>
    <cellStyle name="20% - Accent4 5 2 5" xfId="3743" xr:uid="{00000000-0005-0000-0000-000048060000}"/>
    <cellStyle name="20% - Accent4 5 3" xfId="3742" xr:uid="{00000000-0005-0000-0000-000049060000}"/>
    <cellStyle name="20% - Accent4 5 3 2" xfId="3741" xr:uid="{00000000-0005-0000-0000-00004A060000}"/>
    <cellStyle name="20% - Accent4 5 3 2 2" xfId="3740" xr:uid="{00000000-0005-0000-0000-00004B060000}"/>
    <cellStyle name="20% - Accent4 5 3 2 3" xfId="3739" xr:uid="{00000000-0005-0000-0000-00004C060000}"/>
    <cellStyle name="20% - Accent4 5 3 3" xfId="3738" xr:uid="{00000000-0005-0000-0000-00004D060000}"/>
    <cellStyle name="20% - Accent4 5 3 4" xfId="3737" xr:uid="{00000000-0005-0000-0000-00004E060000}"/>
    <cellStyle name="20% - Accent4 5 3 4 2" xfId="3736" xr:uid="{00000000-0005-0000-0000-00004F060000}"/>
    <cellStyle name="20% - Accent4 5 3 5" xfId="3735" xr:uid="{00000000-0005-0000-0000-000050060000}"/>
    <cellStyle name="20% - Accent4 5 4" xfId="3734" xr:uid="{00000000-0005-0000-0000-000051060000}"/>
    <cellStyle name="20% - Accent4 5 4 2" xfId="3733" xr:uid="{00000000-0005-0000-0000-000052060000}"/>
    <cellStyle name="20% - Accent4 5 4 2 2" xfId="3732" xr:uid="{00000000-0005-0000-0000-000053060000}"/>
    <cellStyle name="20% - Accent4 5 4 2 3" xfId="3731" xr:uid="{00000000-0005-0000-0000-000054060000}"/>
    <cellStyle name="20% - Accent4 5 4 3" xfId="3730" xr:uid="{00000000-0005-0000-0000-000055060000}"/>
    <cellStyle name="20% - Accent4 5 4 3 2" xfId="3729" xr:uid="{00000000-0005-0000-0000-000056060000}"/>
    <cellStyle name="20% - Accent4 5 4 4" xfId="3728" xr:uid="{00000000-0005-0000-0000-000057060000}"/>
    <cellStyle name="20% - Accent4 5 5" xfId="3727" xr:uid="{00000000-0005-0000-0000-000058060000}"/>
    <cellStyle name="20% - Accent4 5 5 2" xfId="3726" xr:uid="{00000000-0005-0000-0000-000059060000}"/>
    <cellStyle name="20% - Accent4 5 5 3" xfId="3725" xr:uid="{00000000-0005-0000-0000-00005A060000}"/>
    <cellStyle name="20% - Accent4 5 6" xfId="3724" xr:uid="{00000000-0005-0000-0000-00005B060000}"/>
    <cellStyle name="20% - Accent4 5 7" xfId="3723" xr:uid="{00000000-0005-0000-0000-00005C060000}"/>
    <cellStyle name="20% - Accent4 5 7 2" xfId="3722" xr:uid="{00000000-0005-0000-0000-00005D060000}"/>
    <cellStyle name="20% - Accent4 5 8" xfId="3721" xr:uid="{00000000-0005-0000-0000-00005E060000}"/>
    <cellStyle name="20% - Accent4 5 9" xfId="3768" xr:uid="{00000000-0005-0000-0000-00002F060000}"/>
    <cellStyle name="20% - Accent4 6" xfId="206" xr:uid="{00000000-0005-0000-0000-00002D000000}"/>
    <cellStyle name="20% - Accent4 6 2" xfId="3720" xr:uid="{00000000-0005-0000-0000-000060060000}"/>
    <cellStyle name="20% - Accent4 6 2 2" xfId="3719" xr:uid="{00000000-0005-0000-0000-000061060000}"/>
    <cellStyle name="20% - Accent4 6 2 2 2" xfId="3718" xr:uid="{00000000-0005-0000-0000-000062060000}"/>
    <cellStyle name="20% - Accent4 6 2 2 2 2" xfId="3717" xr:uid="{00000000-0005-0000-0000-000063060000}"/>
    <cellStyle name="20% - Accent4 6 2 2 2 3" xfId="3716" xr:uid="{00000000-0005-0000-0000-000064060000}"/>
    <cellStyle name="20% - Accent4 6 2 2 3" xfId="3715" xr:uid="{00000000-0005-0000-0000-000065060000}"/>
    <cellStyle name="20% - Accent4 6 2 2 3 2" xfId="3714" xr:uid="{00000000-0005-0000-0000-000066060000}"/>
    <cellStyle name="20% - Accent4 6 2 2 4" xfId="3713" xr:uid="{00000000-0005-0000-0000-000067060000}"/>
    <cellStyle name="20% - Accent4 6 2 3" xfId="3712" xr:uid="{00000000-0005-0000-0000-000068060000}"/>
    <cellStyle name="20% - Accent4 6 2 3 2" xfId="3711" xr:uid="{00000000-0005-0000-0000-000069060000}"/>
    <cellStyle name="20% - Accent4 6 2 3 3" xfId="3710" xr:uid="{00000000-0005-0000-0000-00006A060000}"/>
    <cellStyle name="20% - Accent4 6 2 4" xfId="3709" xr:uid="{00000000-0005-0000-0000-00006B060000}"/>
    <cellStyle name="20% - Accent4 6 2 5" xfId="3708" xr:uid="{00000000-0005-0000-0000-00006C060000}"/>
    <cellStyle name="20% - Accent4 6 2 5 2" xfId="3707" xr:uid="{00000000-0005-0000-0000-00006D060000}"/>
    <cellStyle name="20% - Accent4 6 2 6" xfId="3706" xr:uid="{00000000-0005-0000-0000-00006E060000}"/>
    <cellStyle name="20% - Accent4 6 3" xfId="3705" xr:uid="{00000000-0005-0000-0000-00006F060000}"/>
    <cellStyle name="20% - Accent4 6 3 2" xfId="3704" xr:uid="{00000000-0005-0000-0000-000070060000}"/>
    <cellStyle name="20% - Accent4 6 3 2 2" xfId="3703" xr:uid="{00000000-0005-0000-0000-000071060000}"/>
    <cellStyle name="20% - Accent4 6 3 2 3" xfId="3702" xr:uid="{00000000-0005-0000-0000-000072060000}"/>
    <cellStyle name="20% - Accent4 6 3 3" xfId="3701" xr:uid="{00000000-0005-0000-0000-000073060000}"/>
    <cellStyle name="20% - Accent4 6 3 3 2" xfId="3700" xr:uid="{00000000-0005-0000-0000-000074060000}"/>
    <cellStyle name="20% - Accent4 6 3 4" xfId="3699" xr:uid="{00000000-0005-0000-0000-000075060000}"/>
    <cellStyle name="20% - Accent4 6 4" xfId="3698" xr:uid="{00000000-0005-0000-0000-000076060000}"/>
    <cellStyle name="20% - Accent4 6 5" xfId="3697" xr:uid="{00000000-0005-0000-0000-000077060000}"/>
    <cellStyle name="20% - Accent4 7" xfId="207" xr:uid="{00000000-0005-0000-0000-00002E000000}"/>
    <cellStyle name="20% - Accent4 7 2" xfId="3696" xr:uid="{00000000-0005-0000-0000-000079060000}"/>
    <cellStyle name="20% - Accent4 7 3" xfId="3695" xr:uid="{00000000-0005-0000-0000-00007A060000}"/>
    <cellStyle name="20% - Accent4 7 4" xfId="3694" xr:uid="{00000000-0005-0000-0000-00007B060000}"/>
    <cellStyle name="20% - Accent4 8" xfId="3693" xr:uid="{00000000-0005-0000-0000-00007C060000}"/>
    <cellStyle name="20% - Accent4 8 2" xfId="3692" xr:uid="{00000000-0005-0000-0000-00007D060000}"/>
    <cellStyle name="20% - Accent4 8 2 2" xfId="3691" xr:uid="{00000000-0005-0000-0000-00007E060000}"/>
    <cellStyle name="20% - Accent4 8 2 3" xfId="3690" xr:uid="{00000000-0005-0000-0000-00007F060000}"/>
    <cellStyle name="20% - Accent4 8 2 3 2" xfId="3689" xr:uid="{00000000-0005-0000-0000-000080060000}"/>
    <cellStyle name="20% - Accent4 8 3" xfId="3688" xr:uid="{00000000-0005-0000-0000-000081060000}"/>
    <cellStyle name="20% - Accent4 8 4" xfId="3687" xr:uid="{00000000-0005-0000-0000-000082060000}"/>
    <cellStyle name="20% - Accent4 8 4 2" xfId="3686" xr:uid="{00000000-0005-0000-0000-000083060000}"/>
    <cellStyle name="20% - Accent4 8 5" xfId="3685" xr:uid="{00000000-0005-0000-0000-000084060000}"/>
    <cellStyle name="20% - Accent4 9" xfId="3684" xr:uid="{00000000-0005-0000-0000-000085060000}"/>
    <cellStyle name="20% - Accent4 9 2" xfId="3683" xr:uid="{00000000-0005-0000-0000-000086060000}"/>
    <cellStyle name="20% - Accent4 9 2 2" xfId="3682" xr:uid="{00000000-0005-0000-0000-000087060000}"/>
    <cellStyle name="20% - Accent4 9 2 3" xfId="3681" xr:uid="{00000000-0005-0000-0000-000088060000}"/>
    <cellStyle name="20% - Accent4 9 3" xfId="3680" xr:uid="{00000000-0005-0000-0000-000089060000}"/>
    <cellStyle name="20% - Accent4 9 4" xfId="3679" xr:uid="{00000000-0005-0000-0000-00008A060000}"/>
    <cellStyle name="20% - Accent4 9 4 2" xfId="3678" xr:uid="{00000000-0005-0000-0000-00008B060000}"/>
    <cellStyle name="20% - Accent4 9 5" xfId="3677" xr:uid="{00000000-0005-0000-0000-00008C060000}"/>
    <cellStyle name="20% - Accent5" xfId="98" builtinId="46" customBuiltin="1"/>
    <cellStyle name="20% - Accent5 10" xfId="3676" xr:uid="{00000000-0005-0000-0000-00008D060000}"/>
    <cellStyle name="20% - Accent5 10 2" xfId="3675" xr:uid="{00000000-0005-0000-0000-00008E060000}"/>
    <cellStyle name="20% - Accent5 10 2 2" xfId="3674" xr:uid="{00000000-0005-0000-0000-00008F060000}"/>
    <cellStyle name="20% - Accent5 10 2 3" xfId="3673" xr:uid="{00000000-0005-0000-0000-000090060000}"/>
    <cellStyle name="20% - Accent5 10 3" xfId="3672" xr:uid="{00000000-0005-0000-0000-000091060000}"/>
    <cellStyle name="20% - Accent5 10 4" xfId="3671" xr:uid="{00000000-0005-0000-0000-000092060000}"/>
    <cellStyle name="20% - Accent5 11" xfId="3670" xr:uid="{00000000-0005-0000-0000-000093060000}"/>
    <cellStyle name="20% - Accent5 11 2" xfId="3669" xr:uid="{00000000-0005-0000-0000-000094060000}"/>
    <cellStyle name="20% - Accent5 11 3" xfId="3668" xr:uid="{00000000-0005-0000-0000-000095060000}"/>
    <cellStyle name="20% - Accent5 12" xfId="3667" xr:uid="{00000000-0005-0000-0000-000096060000}"/>
    <cellStyle name="20% - Accent5 12 2" xfId="3666" xr:uid="{00000000-0005-0000-0000-000097060000}"/>
    <cellStyle name="20% - Accent5 12 3" xfId="3665" xr:uid="{00000000-0005-0000-0000-000098060000}"/>
    <cellStyle name="20% - Accent5 13" xfId="3664" xr:uid="{00000000-0005-0000-0000-000099060000}"/>
    <cellStyle name="20% - Accent5 13 2" xfId="3663" xr:uid="{00000000-0005-0000-0000-00009A060000}"/>
    <cellStyle name="20% - Accent5 13 3" xfId="3662" xr:uid="{00000000-0005-0000-0000-00009B060000}"/>
    <cellStyle name="20% - Accent5 14" xfId="3661" xr:uid="{00000000-0005-0000-0000-00009C060000}"/>
    <cellStyle name="20% - Accent5 14 2" xfId="3660" xr:uid="{00000000-0005-0000-0000-00009D060000}"/>
    <cellStyle name="20% - Accent5 15" xfId="3659" xr:uid="{00000000-0005-0000-0000-00009E060000}"/>
    <cellStyle name="20% - Accent5 16" xfId="3658" xr:uid="{00000000-0005-0000-0000-00009F060000}"/>
    <cellStyle name="20% - Accent5 2" xfId="208" xr:uid="{00000000-0005-0000-0000-00002F000000}"/>
    <cellStyle name="20% - Accent5 2 2" xfId="3657" xr:uid="{00000000-0005-0000-0000-0000A1060000}"/>
    <cellStyle name="20% - Accent5 2 3" xfId="3656" xr:uid="{00000000-0005-0000-0000-0000A2060000}"/>
    <cellStyle name="20% - Accent5 2 3 2" xfId="3655" xr:uid="{00000000-0005-0000-0000-0000A3060000}"/>
    <cellStyle name="20% - Accent5 2 3 2 2" xfId="3654" xr:uid="{00000000-0005-0000-0000-0000A4060000}"/>
    <cellStyle name="20% - Accent5 2 3 2 2 2" xfId="3653" xr:uid="{00000000-0005-0000-0000-0000A5060000}"/>
    <cellStyle name="20% - Accent5 2 3 2 2 2 2" xfId="3652" xr:uid="{00000000-0005-0000-0000-0000A6060000}"/>
    <cellStyle name="20% - Accent5 2 3 2 2 2 3" xfId="3651" xr:uid="{00000000-0005-0000-0000-0000A7060000}"/>
    <cellStyle name="20% - Accent5 2 3 2 2 3" xfId="3650" xr:uid="{00000000-0005-0000-0000-0000A8060000}"/>
    <cellStyle name="20% - Accent5 2 3 2 2 4" xfId="3649" xr:uid="{00000000-0005-0000-0000-0000A9060000}"/>
    <cellStyle name="20% - Accent5 2 3 2 3" xfId="3648" xr:uid="{00000000-0005-0000-0000-0000AA060000}"/>
    <cellStyle name="20% - Accent5 2 3 2 3 2" xfId="3647" xr:uid="{00000000-0005-0000-0000-0000AB060000}"/>
    <cellStyle name="20% - Accent5 2 3 2 3 2 2" xfId="3646" xr:uid="{00000000-0005-0000-0000-0000AC060000}"/>
    <cellStyle name="20% - Accent5 2 3 2 3 2 3" xfId="3645" xr:uid="{00000000-0005-0000-0000-0000AD060000}"/>
    <cellStyle name="20% - Accent5 2 3 2 3 3" xfId="3644" xr:uid="{00000000-0005-0000-0000-0000AE060000}"/>
    <cellStyle name="20% - Accent5 2 3 2 3 4" xfId="3643" xr:uid="{00000000-0005-0000-0000-0000AF060000}"/>
    <cellStyle name="20% - Accent5 2 3 2 4" xfId="3642" xr:uid="{00000000-0005-0000-0000-0000B0060000}"/>
    <cellStyle name="20% - Accent5 2 3 2 4 2" xfId="3641" xr:uid="{00000000-0005-0000-0000-0000B1060000}"/>
    <cellStyle name="20% - Accent5 2 3 2 4 3" xfId="3640" xr:uid="{00000000-0005-0000-0000-0000B2060000}"/>
    <cellStyle name="20% - Accent5 2 3 2 5" xfId="3639" xr:uid="{00000000-0005-0000-0000-0000B3060000}"/>
    <cellStyle name="20% - Accent5 2 3 2 6" xfId="3638" xr:uid="{00000000-0005-0000-0000-0000B4060000}"/>
    <cellStyle name="20% - Accent5 2 3 3" xfId="3637" xr:uid="{00000000-0005-0000-0000-0000B5060000}"/>
    <cellStyle name="20% - Accent5 2 3 3 2" xfId="3636" xr:uid="{00000000-0005-0000-0000-0000B6060000}"/>
    <cellStyle name="20% - Accent5 2 3 3 2 2" xfId="3635" xr:uid="{00000000-0005-0000-0000-0000B7060000}"/>
    <cellStyle name="20% - Accent5 2 3 3 2 3" xfId="3634" xr:uid="{00000000-0005-0000-0000-0000B8060000}"/>
    <cellStyle name="20% - Accent5 2 3 3 3" xfId="3633" xr:uid="{00000000-0005-0000-0000-0000B9060000}"/>
    <cellStyle name="20% - Accent5 2 3 3 4" xfId="3632" xr:uid="{00000000-0005-0000-0000-0000BA060000}"/>
    <cellStyle name="20% - Accent5 2 3 4" xfId="3631" xr:uid="{00000000-0005-0000-0000-0000BB060000}"/>
    <cellStyle name="20% - Accent5 2 3 4 2" xfId="3630" xr:uid="{00000000-0005-0000-0000-0000BC060000}"/>
    <cellStyle name="20% - Accent5 2 3 4 2 2" xfId="3629" xr:uid="{00000000-0005-0000-0000-0000BD060000}"/>
    <cellStyle name="20% - Accent5 2 3 4 2 3" xfId="3628" xr:uid="{00000000-0005-0000-0000-0000BE060000}"/>
    <cellStyle name="20% - Accent5 2 3 4 3" xfId="3627" xr:uid="{00000000-0005-0000-0000-0000BF060000}"/>
    <cellStyle name="20% - Accent5 2 3 4 4" xfId="3626" xr:uid="{00000000-0005-0000-0000-0000C0060000}"/>
    <cellStyle name="20% - Accent5 2 3 5" xfId="3625" xr:uid="{00000000-0005-0000-0000-0000C1060000}"/>
    <cellStyle name="20% - Accent5 2 3 5 2" xfId="3624" xr:uid="{00000000-0005-0000-0000-0000C2060000}"/>
    <cellStyle name="20% - Accent5 2 3 5 3" xfId="3623" xr:uid="{00000000-0005-0000-0000-0000C3060000}"/>
    <cellStyle name="20% - Accent5 2 3 6" xfId="3622" xr:uid="{00000000-0005-0000-0000-0000C4060000}"/>
    <cellStyle name="20% - Accent5 2 3 7" xfId="3621" xr:uid="{00000000-0005-0000-0000-0000C5060000}"/>
    <cellStyle name="20% - Accent5 2 4" xfId="3620" xr:uid="{00000000-0005-0000-0000-0000C6060000}"/>
    <cellStyle name="20% - Accent5 2 4 2" xfId="3619" xr:uid="{00000000-0005-0000-0000-0000C7060000}"/>
    <cellStyle name="20% - Accent5 2 4 2 2" xfId="3618" xr:uid="{00000000-0005-0000-0000-0000C8060000}"/>
    <cellStyle name="20% - Accent5 2 4 2 2 2" xfId="3617" xr:uid="{00000000-0005-0000-0000-0000C9060000}"/>
    <cellStyle name="20% - Accent5 2 4 2 2 2 2" xfId="3616" xr:uid="{00000000-0005-0000-0000-0000CA060000}"/>
    <cellStyle name="20% - Accent5 2 4 2 2 2 3" xfId="3615" xr:uid="{00000000-0005-0000-0000-0000CB060000}"/>
    <cellStyle name="20% - Accent5 2 4 2 2 3" xfId="3614" xr:uid="{00000000-0005-0000-0000-0000CC060000}"/>
    <cellStyle name="20% - Accent5 2 4 2 2 4" xfId="3613" xr:uid="{00000000-0005-0000-0000-0000CD060000}"/>
    <cellStyle name="20% - Accent5 2 4 2 3" xfId="3612" xr:uid="{00000000-0005-0000-0000-0000CE060000}"/>
    <cellStyle name="20% - Accent5 2 4 2 3 2" xfId="3611" xr:uid="{00000000-0005-0000-0000-0000CF060000}"/>
    <cellStyle name="20% - Accent5 2 4 2 3 2 2" xfId="3610" xr:uid="{00000000-0005-0000-0000-0000D0060000}"/>
    <cellStyle name="20% - Accent5 2 4 2 3 2 3" xfId="3609" xr:uid="{00000000-0005-0000-0000-0000D1060000}"/>
    <cellStyle name="20% - Accent5 2 4 2 3 3" xfId="3608" xr:uid="{00000000-0005-0000-0000-0000D2060000}"/>
    <cellStyle name="20% - Accent5 2 4 2 3 4" xfId="3607" xr:uid="{00000000-0005-0000-0000-0000D3060000}"/>
    <cellStyle name="20% - Accent5 2 4 2 4" xfId="3606" xr:uid="{00000000-0005-0000-0000-0000D4060000}"/>
    <cellStyle name="20% - Accent5 2 4 2 4 2" xfId="3605" xr:uid="{00000000-0005-0000-0000-0000D5060000}"/>
    <cellStyle name="20% - Accent5 2 4 2 4 3" xfId="3604" xr:uid="{00000000-0005-0000-0000-0000D6060000}"/>
    <cellStyle name="20% - Accent5 2 4 2 5" xfId="3603" xr:uid="{00000000-0005-0000-0000-0000D7060000}"/>
    <cellStyle name="20% - Accent5 2 4 2 6" xfId="3602" xr:uid="{00000000-0005-0000-0000-0000D8060000}"/>
    <cellStyle name="20% - Accent5 2 4 3" xfId="3601" xr:uid="{00000000-0005-0000-0000-0000D9060000}"/>
    <cellStyle name="20% - Accent5 2 4 3 2" xfId="3600" xr:uid="{00000000-0005-0000-0000-0000DA060000}"/>
    <cellStyle name="20% - Accent5 2 4 3 2 2" xfId="3599" xr:uid="{00000000-0005-0000-0000-0000DB060000}"/>
    <cellStyle name="20% - Accent5 2 4 3 2 3" xfId="3598" xr:uid="{00000000-0005-0000-0000-0000DC060000}"/>
    <cellStyle name="20% - Accent5 2 4 3 3" xfId="3597" xr:uid="{00000000-0005-0000-0000-0000DD060000}"/>
    <cellStyle name="20% - Accent5 2 4 3 4" xfId="3596" xr:uid="{00000000-0005-0000-0000-0000DE060000}"/>
    <cellStyle name="20% - Accent5 2 4 4" xfId="3595" xr:uid="{00000000-0005-0000-0000-0000DF060000}"/>
    <cellStyle name="20% - Accent5 2 4 4 2" xfId="3594" xr:uid="{00000000-0005-0000-0000-0000E0060000}"/>
    <cellStyle name="20% - Accent5 2 4 4 2 2" xfId="3593" xr:uid="{00000000-0005-0000-0000-0000E1060000}"/>
    <cellStyle name="20% - Accent5 2 4 4 2 3" xfId="3592" xr:uid="{00000000-0005-0000-0000-0000E2060000}"/>
    <cellStyle name="20% - Accent5 2 4 4 3" xfId="3591" xr:uid="{00000000-0005-0000-0000-0000E3060000}"/>
    <cellStyle name="20% - Accent5 2 4 4 4" xfId="3590" xr:uid="{00000000-0005-0000-0000-0000E4060000}"/>
    <cellStyle name="20% - Accent5 2 4 5" xfId="3589" xr:uid="{00000000-0005-0000-0000-0000E5060000}"/>
    <cellStyle name="20% - Accent5 2 4 5 2" xfId="3588" xr:uid="{00000000-0005-0000-0000-0000E6060000}"/>
    <cellStyle name="20% - Accent5 2 4 5 3" xfId="3587" xr:uid="{00000000-0005-0000-0000-0000E7060000}"/>
    <cellStyle name="20% - Accent5 2 4 6" xfId="3586" xr:uid="{00000000-0005-0000-0000-0000E8060000}"/>
    <cellStyle name="20% - Accent5 2 4 7" xfId="3585" xr:uid="{00000000-0005-0000-0000-0000E9060000}"/>
    <cellStyle name="20% - Accent5 2 5" xfId="3584" xr:uid="{00000000-0005-0000-0000-0000EA060000}"/>
    <cellStyle name="20% - Accent5 2 5 2" xfId="3583" xr:uid="{00000000-0005-0000-0000-0000EB060000}"/>
    <cellStyle name="20% - Accent5 2 5 2 2" xfId="3582" xr:uid="{00000000-0005-0000-0000-0000EC060000}"/>
    <cellStyle name="20% - Accent5 2 5 2 2 2" xfId="3581" xr:uid="{00000000-0005-0000-0000-0000ED060000}"/>
    <cellStyle name="20% - Accent5 2 5 2 2 2 2" xfId="3580" xr:uid="{00000000-0005-0000-0000-0000EE060000}"/>
    <cellStyle name="20% - Accent5 2 5 2 2 2 3" xfId="3579" xr:uid="{00000000-0005-0000-0000-0000EF060000}"/>
    <cellStyle name="20% - Accent5 2 5 2 2 3" xfId="3578" xr:uid="{00000000-0005-0000-0000-0000F0060000}"/>
    <cellStyle name="20% - Accent5 2 5 2 2 4" xfId="3577" xr:uid="{00000000-0005-0000-0000-0000F1060000}"/>
    <cellStyle name="20% - Accent5 2 5 2 3" xfId="3576" xr:uid="{00000000-0005-0000-0000-0000F2060000}"/>
    <cellStyle name="20% - Accent5 2 5 2 3 2" xfId="3575" xr:uid="{00000000-0005-0000-0000-0000F3060000}"/>
    <cellStyle name="20% - Accent5 2 5 2 3 2 2" xfId="3574" xr:uid="{00000000-0005-0000-0000-0000F4060000}"/>
    <cellStyle name="20% - Accent5 2 5 2 3 2 3" xfId="3573" xr:uid="{00000000-0005-0000-0000-0000F5060000}"/>
    <cellStyle name="20% - Accent5 2 5 2 3 3" xfId="3572" xr:uid="{00000000-0005-0000-0000-0000F6060000}"/>
    <cellStyle name="20% - Accent5 2 5 2 3 4" xfId="3571" xr:uid="{00000000-0005-0000-0000-0000F7060000}"/>
    <cellStyle name="20% - Accent5 2 5 2 4" xfId="3570" xr:uid="{00000000-0005-0000-0000-0000F8060000}"/>
    <cellStyle name="20% - Accent5 2 5 2 4 2" xfId="3569" xr:uid="{00000000-0005-0000-0000-0000F9060000}"/>
    <cellStyle name="20% - Accent5 2 5 2 4 3" xfId="3568" xr:uid="{00000000-0005-0000-0000-0000FA060000}"/>
    <cellStyle name="20% - Accent5 2 5 2 5" xfId="3567" xr:uid="{00000000-0005-0000-0000-0000FB060000}"/>
    <cellStyle name="20% - Accent5 2 5 2 6" xfId="3566" xr:uid="{00000000-0005-0000-0000-0000FC060000}"/>
    <cellStyle name="20% - Accent5 2 5 3" xfId="3565" xr:uid="{00000000-0005-0000-0000-0000FD060000}"/>
    <cellStyle name="20% - Accent5 2 5 3 2" xfId="3564" xr:uid="{00000000-0005-0000-0000-0000FE060000}"/>
    <cellStyle name="20% - Accent5 2 5 3 2 2" xfId="3563" xr:uid="{00000000-0005-0000-0000-0000FF060000}"/>
    <cellStyle name="20% - Accent5 2 5 3 2 3" xfId="3562" xr:uid="{00000000-0005-0000-0000-000000070000}"/>
    <cellStyle name="20% - Accent5 2 5 3 3" xfId="3561" xr:uid="{00000000-0005-0000-0000-000001070000}"/>
    <cellStyle name="20% - Accent5 2 5 3 4" xfId="3560" xr:uid="{00000000-0005-0000-0000-000002070000}"/>
    <cellStyle name="20% - Accent5 2 5 4" xfId="3559" xr:uid="{00000000-0005-0000-0000-000003070000}"/>
    <cellStyle name="20% - Accent5 2 5 4 2" xfId="3558" xr:uid="{00000000-0005-0000-0000-000004070000}"/>
    <cellStyle name="20% - Accent5 2 5 4 2 2" xfId="3557" xr:uid="{00000000-0005-0000-0000-000005070000}"/>
    <cellStyle name="20% - Accent5 2 5 4 2 3" xfId="3556" xr:uid="{00000000-0005-0000-0000-000006070000}"/>
    <cellStyle name="20% - Accent5 2 5 4 3" xfId="3555" xr:uid="{00000000-0005-0000-0000-000007070000}"/>
    <cellStyle name="20% - Accent5 2 5 4 4" xfId="3554" xr:uid="{00000000-0005-0000-0000-000008070000}"/>
    <cellStyle name="20% - Accent5 2 5 5" xfId="3553" xr:uid="{00000000-0005-0000-0000-000009070000}"/>
    <cellStyle name="20% - Accent5 2 5 5 2" xfId="3552" xr:uid="{00000000-0005-0000-0000-00000A070000}"/>
    <cellStyle name="20% - Accent5 2 5 5 3" xfId="3551" xr:uid="{00000000-0005-0000-0000-00000B070000}"/>
    <cellStyle name="20% - Accent5 2 5 6" xfId="3550" xr:uid="{00000000-0005-0000-0000-00000C070000}"/>
    <cellStyle name="20% - Accent5 2 5 7" xfId="3549" xr:uid="{00000000-0005-0000-0000-00000D070000}"/>
    <cellStyle name="20% - Accent5 2 6" xfId="3548" xr:uid="{00000000-0005-0000-0000-00000E070000}"/>
    <cellStyle name="20% - Accent5 2 6 2" xfId="3547" xr:uid="{00000000-0005-0000-0000-00000F070000}"/>
    <cellStyle name="20% - Accent5 2 6 2 2" xfId="3546" xr:uid="{00000000-0005-0000-0000-000010070000}"/>
    <cellStyle name="20% - Accent5 2 6 2 2 2" xfId="3545" xr:uid="{00000000-0005-0000-0000-000011070000}"/>
    <cellStyle name="20% - Accent5 2 6 2 2 2 2" xfId="3544" xr:uid="{00000000-0005-0000-0000-000012070000}"/>
    <cellStyle name="20% - Accent5 2 6 2 2 2 3" xfId="3543" xr:uid="{00000000-0005-0000-0000-000013070000}"/>
    <cellStyle name="20% - Accent5 2 6 2 2 3" xfId="3542" xr:uid="{00000000-0005-0000-0000-000014070000}"/>
    <cellStyle name="20% - Accent5 2 6 2 2 4" xfId="3541" xr:uid="{00000000-0005-0000-0000-000015070000}"/>
    <cellStyle name="20% - Accent5 2 6 2 3" xfId="3540" xr:uid="{00000000-0005-0000-0000-000016070000}"/>
    <cellStyle name="20% - Accent5 2 6 2 3 2" xfId="3539" xr:uid="{00000000-0005-0000-0000-000017070000}"/>
    <cellStyle name="20% - Accent5 2 6 2 3 2 2" xfId="3538" xr:uid="{00000000-0005-0000-0000-000018070000}"/>
    <cellStyle name="20% - Accent5 2 6 2 3 2 3" xfId="3537" xr:uid="{00000000-0005-0000-0000-000019070000}"/>
    <cellStyle name="20% - Accent5 2 6 2 3 3" xfId="3536" xr:uid="{00000000-0005-0000-0000-00001A070000}"/>
    <cellStyle name="20% - Accent5 2 6 2 3 4" xfId="3535" xr:uid="{00000000-0005-0000-0000-00001B070000}"/>
    <cellStyle name="20% - Accent5 2 6 2 4" xfId="3534" xr:uid="{00000000-0005-0000-0000-00001C070000}"/>
    <cellStyle name="20% - Accent5 2 6 2 4 2" xfId="3533" xr:uid="{00000000-0005-0000-0000-00001D070000}"/>
    <cellStyle name="20% - Accent5 2 6 2 4 3" xfId="3532" xr:uid="{00000000-0005-0000-0000-00001E070000}"/>
    <cellStyle name="20% - Accent5 2 6 2 5" xfId="3531" xr:uid="{00000000-0005-0000-0000-00001F070000}"/>
    <cellStyle name="20% - Accent5 2 6 2 6" xfId="3530" xr:uid="{00000000-0005-0000-0000-000020070000}"/>
    <cellStyle name="20% - Accent5 2 6 3" xfId="3529" xr:uid="{00000000-0005-0000-0000-000021070000}"/>
    <cellStyle name="20% - Accent5 2 6 3 2" xfId="3528" xr:uid="{00000000-0005-0000-0000-000022070000}"/>
    <cellStyle name="20% - Accent5 2 6 3 2 2" xfId="3527" xr:uid="{00000000-0005-0000-0000-000023070000}"/>
    <cellStyle name="20% - Accent5 2 6 3 2 3" xfId="3526" xr:uid="{00000000-0005-0000-0000-000024070000}"/>
    <cellStyle name="20% - Accent5 2 6 3 3" xfId="3525" xr:uid="{00000000-0005-0000-0000-000025070000}"/>
    <cellStyle name="20% - Accent5 2 6 3 4" xfId="3524" xr:uid="{00000000-0005-0000-0000-000026070000}"/>
    <cellStyle name="20% - Accent5 2 6 4" xfId="3523" xr:uid="{00000000-0005-0000-0000-000027070000}"/>
    <cellStyle name="20% - Accent5 2 6 4 2" xfId="3522" xr:uid="{00000000-0005-0000-0000-000028070000}"/>
    <cellStyle name="20% - Accent5 2 6 4 2 2" xfId="3521" xr:uid="{00000000-0005-0000-0000-000029070000}"/>
    <cellStyle name="20% - Accent5 2 6 4 2 3" xfId="3520" xr:uid="{00000000-0005-0000-0000-00002A070000}"/>
    <cellStyle name="20% - Accent5 2 6 4 3" xfId="3519" xr:uid="{00000000-0005-0000-0000-00002B070000}"/>
    <cellStyle name="20% - Accent5 2 6 4 4" xfId="3518" xr:uid="{00000000-0005-0000-0000-00002C070000}"/>
    <cellStyle name="20% - Accent5 2 6 5" xfId="3517" xr:uid="{00000000-0005-0000-0000-00002D070000}"/>
    <cellStyle name="20% - Accent5 2 6 5 2" xfId="3516" xr:uid="{00000000-0005-0000-0000-00002E070000}"/>
    <cellStyle name="20% - Accent5 2 6 5 3" xfId="3515" xr:uid="{00000000-0005-0000-0000-00002F070000}"/>
    <cellStyle name="20% - Accent5 2 6 6" xfId="3514" xr:uid="{00000000-0005-0000-0000-000030070000}"/>
    <cellStyle name="20% - Accent5 2 6 7" xfId="3513" xr:uid="{00000000-0005-0000-0000-000031070000}"/>
    <cellStyle name="20% - Accent5 2 7" xfId="3512" xr:uid="{00000000-0005-0000-0000-000032070000}"/>
    <cellStyle name="20% - Accent5 2 7 2" xfId="3511" xr:uid="{00000000-0005-0000-0000-000033070000}"/>
    <cellStyle name="20% - Accent5 2 7 2 2" xfId="3510" xr:uid="{00000000-0005-0000-0000-000034070000}"/>
    <cellStyle name="20% - Accent5 2 7 2 3" xfId="3509" xr:uid="{00000000-0005-0000-0000-000035070000}"/>
    <cellStyle name="20% - Accent5 2 7 3" xfId="3508" xr:uid="{00000000-0005-0000-0000-000036070000}"/>
    <cellStyle name="20% - Accent5 2 7 4" xfId="3507" xr:uid="{00000000-0005-0000-0000-000037070000}"/>
    <cellStyle name="20% - Accent5 3" xfId="209" xr:uid="{00000000-0005-0000-0000-000030000000}"/>
    <cellStyle name="20% - Accent5 3 2" xfId="3505" xr:uid="{00000000-0005-0000-0000-000039070000}"/>
    <cellStyle name="20% - Accent5 3 2 2" xfId="3504" xr:uid="{00000000-0005-0000-0000-00003A070000}"/>
    <cellStyle name="20% - Accent5 3 2 2 2" xfId="3503" xr:uid="{00000000-0005-0000-0000-00003B070000}"/>
    <cellStyle name="20% - Accent5 3 2 2 2 2" xfId="3502" xr:uid="{00000000-0005-0000-0000-00003C070000}"/>
    <cellStyle name="20% - Accent5 3 2 2 2 2 2" xfId="3501" xr:uid="{00000000-0005-0000-0000-00003D070000}"/>
    <cellStyle name="20% - Accent5 3 2 2 2 2 3" xfId="3500" xr:uid="{00000000-0005-0000-0000-00003E070000}"/>
    <cellStyle name="20% - Accent5 3 2 2 2 3" xfId="3499" xr:uid="{00000000-0005-0000-0000-00003F070000}"/>
    <cellStyle name="20% - Accent5 3 2 2 2 4" xfId="3498" xr:uid="{00000000-0005-0000-0000-000040070000}"/>
    <cellStyle name="20% - Accent5 3 2 2 3" xfId="3497" xr:uid="{00000000-0005-0000-0000-000041070000}"/>
    <cellStyle name="20% - Accent5 3 2 2 3 2" xfId="3496" xr:uid="{00000000-0005-0000-0000-000042070000}"/>
    <cellStyle name="20% - Accent5 3 2 2 3 3" xfId="3495" xr:uid="{00000000-0005-0000-0000-000043070000}"/>
    <cellStyle name="20% - Accent5 3 2 2 4" xfId="3494" xr:uid="{00000000-0005-0000-0000-000044070000}"/>
    <cellStyle name="20% - Accent5 3 2 2 5" xfId="3493" xr:uid="{00000000-0005-0000-0000-000045070000}"/>
    <cellStyle name="20% - Accent5 3 2 3" xfId="3492" xr:uid="{00000000-0005-0000-0000-000046070000}"/>
    <cellStyle name="20% - Accent5 3 2 3 2" xfId="3491" xr:uid="{00000000-0005-0000-0000-000047070000}"/>
    <cellStyle name="20% - Accent5 3 2 3 2 2" xfId="3490" xr:uid="{00000000-0005-0000-0000-000048070000}"/>
    <cellStyle name="20% - Accent5 3 2 3 2 3" xfId="3489" xr:uid="{00000000-0005-0000-0000-000049070000}"/>
    <cellStyle name="20% - Accent5 3 2 3 3" xfId="3488" xr:uid="{00000000-0005-0000-0000-00004A070000}"/>
    <cellStyle name="20% - Accent5 3 2 3 4" xfId="3487" xr:uid="{00000000-0005-0000-0000-00004B070000}"/>
    <cellStyle name="20% - Accent5 3 2 4" xfId="3486" xr:uid="{00000000-0005-0000-0000-00004C070000}"/>
    <cellStyle name="20% - Accent5 3 3" xfId="3485" xr:uid="{00000000-0005-0000-0000-00004D070000}"/>
    <cellStyle name="20% - Accent5 3 3 2" xfId="3484" xr:uid="{00000000-0005-0000-0000-00004E070000}"/>
    <cellStyle name="20% - Accent5 3 3 2 2" xfId="3483" xr:uid="{00000000-0005-0000-0000-00004F070000}"/>
    <cellStyle name="20% - Accent5 3 3 2 3" xfId="3482" xr:uid="{00000000-0005-0000-0000-000050070000}"/>
    <cellStyle name="20% - Accent5 3 3 3" xfId="3481" xr:uid="{00000000-0005-0000-0000-000051070000}"/>
    <cellStyle name="20% - Accent5 3 3 4" xfId="3480" xr:uid="{00000000-0005-0000-0000-000052070000}"/>
    <cellStyle name="20% - Accent5 3 4" xfId="3479" xr:uid="{00000000-0005-0000-0000-000053070000}"/>
    <cellStyle name="20% - Accent5 3 4 2" xfId="3478" xr:uid="{00000000-0005-0000-0000-000054070000}"/>
    <cellStyle name="20% - Accent5 3 4 2 2" xfId="3477" xr:uid="{00000000-0005-0000-0000-000055070000}"/>
    <cellStyle name="20% - Accent5 3 4 2 3" xfId="3476" xr:uid="{00000000-0005-0000-0000-000056070000}"/>
    <cellStyle name="20% - Accent5 3 4 3" xfId="3475" xr:uid="{00000000-0005-0000-0000-000057070000}"/>
    <cellStyle name="20% - Accent5 3 4 4" xfId="3474" xr:uid="{00000000-0005-0000-0000-000058070000}"/>
    <cellStyle name="20% - Accent5 3 5" xfId="3473" xr:uid="{00000000-0005-0000-0000-000059070000}"/>
    <cellStyle name="20% - Accent5 3 5 2" xfId="3472" xr:uid="{00000000-0005-0000-0000-00005A070000}"/>
    <cellStyle name="20% - Accent5 3 5 2 2" xfId="3471" xr:uid="{00000000-0005-0000-0000-00005B070000}"/>
    <cellStyle name="20% - Accent5 3 5 2 3" xfId="3470" xr:uid="{00000000-0005-0000-0000-00005C070000}"/>
    <cellStyle name="20% - Accent5 3 5 3" xfId="3469" xr:uid="{00000000-0005-0000-0000-00005D070000}"/>
    <cellStyle name="20% - Accent5 3 5 4" xfId="3468" xr:uid="{00000000-0005-0000-0000-00005E070000}"/>
    <cellStyle name="20% - Accent5 3 6" xfId="3467" xr:uid="{00000000-0005-0000-0000-00005F070000}"/>
    <cellStyle name="20% - Accent5 3 6 2" xfId="3466" xr:uid="{00000000-0005-0000-0000-000060070000}"/>
    <cellStyle name="20% - Accent5 3 6 3" xfId="3465" xr:uid="{00000000-0005-0000-0000-000061070000}"/>
    <cellStyle name="20% - Accent5 3 7" xfId="3464" xr:uid="{00000000-0005-0000-0000-000062070000}"/>
    <cellStyle name="20% - Accent5 3 8" xfId="3463" xr:uid="{00000000-0005-0000-0000-000063070000}"/>
    <cellStyle name="20% - Accent5 3 9" xfId="3506" xr:uid="{00000000-0005-0000-0000-000038070000}"/>
    <cellStyle name="20% - Accent5 4" xfId="210" xr:uid="{00000000-0005-0000-0000-000031000000}"/>
    <cellStyle name="20% - Accent5 4 2" xfId="3461" xr:uid="{00000000-0005-0000-0000-000065070000}"/>
    <cellStyle name="20% - Accent5 4 2 2" xfId="3460" xr:uid="{00000000-0005-0000-0000-000066070000}"/>
    <cellStyle name="20% - Accent5 4 2 2 2" xfId="3459" xr:uid="{00000000-0005-0000-0000-000067070000}"/>
    <cellStyle name="20% - Accent5 4 2 2 2 2" xfId="3458" xr:uid="{00000000-0005-0000-0000-000068070000}"/>
    <cellStyle name="20% - Accent5 4 2 2 2 2 2" xfId="3457" xr:uid="{00000000-0005-0000-0000-000069070000}"/>
    <cellStyle name="20% - Accent5 4 2 2 2 2 3" xfId="3456" xr:uid="{00000000-0005-0000-0000-00006A070000}"/>
    <cellStyle name="20% - Accent5 4 2 2 2 3" xfId="3455" xr:uid="{00000000-0005-0000-0000-00006B070000}"/>
    <cellStyle name="20% - Accent5 4 2 2 2 4" xfId="3454" xr:uid="{00000000-0005-0000-0000-00006C070000}"/>
    <cellStyle name="20% - Accent5 4 2 2 3" xfId="3453" xr:uid="{00000000-0005-0000-0000-00006D070000}"/>
    <cellStyle name="20% - Accent5 4 2 2 3 2" xfId="3452" xr:uid="{00000000-0005-0000-0000-00006E070000}"/>
    <cellStyle name="20% - Accent5 4 2 2 3 3" xfId="3451" xr:uid="{00000000-0005-0000-0000-00006F070000}"/>
    <cellStyle name="20% - Accent5 4 2 2 4" xfId="3450" xr:uid="{00000000-0005-0000-0000-000070070000}"/>
    <cellStyle name="20% - Accent5 4 2 2 5" xfId="3449" xr:uid="{00000000-0005-0000-0000-000071070000}"/>
    <cellStyle name="20% - Accent5 4 2 3" xfId="3448" xr:uid="{00000000-0005-0000-0000-000072070000}"/>
    <cellStyle name="20% - Accent5 4 2 3 2" xfId="3447" xr:uid="{00000000-0005-0000-0000-000073070000}"/>
    <cellStyle name="20% - Accent5 4 2 3 2 2" xfId="3446" xr:uid="{00000000-0005-0000-0000-000074070000}"/>
    <cellStyle name="20% - Accent5 4 2 3 2 3" xfId="3445" xr:uid="{00000000-0005-0000-0000-000075070000}"/>
    <cellStyle name="20% - Accent5 4 2 3 3" xfId="3444" xr:uid="{00000000-0005-0000-0000-000076070000}"/>
    <cellStyle name="20% - Accent5 4 2 3 4" xfId="3443" xr:uid="{00000000-0005-0000-0000-000077070000}"/>
    <cellStyle name="20% - Accent5 4 2 4" xfId="3442" xr:uid="{00000000-0005-0000-0000-000078070000}"/>
    <cellStyle name="20% - Accent5 4 3" xfId="3441" xr:uid="{00000000-0005-0000-0000-000079070000}"/>
    <cellStyle name="20% - Accent5 4 3 2" xfId="3440" xr:uid="{00000000-0005-0000-0000-00007A070000}"/>
    <cellStyle name="20% - Accent5 4 3 2 2" xfId="3439" xr:uid="{00000000-0005-0000-0000-00007B070000}"/>
    <cellStyle name="20% - Accent5 4 3 2 3" xfId="3438" xr:uid="{00000000-0005-0000-0000-00007C070000}"/>
    <cellStyle name="20% - Accent5 4 3 3" xfId="3437" xr:uid="{00000000-0005-0000-0000-00007D070000}"/>
    <cellStyle name="20% - Accent5 4 3 4" xfId="3436" xr:uid="{00000000-0005-0000-0000-00007E070000}"/>
    <cellStyle name="20% - Accent5 4 4" xfId="3435" xr:uid="{00000000-0005-0000-0000-00007F070000}"/>
    <cellStyle name="20% - Accent5 4 4 2" xfId="3434" xr:uid="{00000000-0005-0000-0000-000080070000}"/>
    <cellStyle name="20% - Accent5 4 4 2 2" xfId="3433" xr:uid="{00000000-0005-0000-0000-000081070000}"/>
    <cellStyle name="20% - Accent5 4 4 2 3" xfId="3432" xr:uid="{00000000-0005-0000-0000-000082070000}"/>
    <cellStyle name="20% - Accent5 4 4 3" xfId="3431" xr:uid="{00000000-0005-0000-0000-000083070000}"/>
    <cellStyle name="20% - Accent5 4 4 4" xfId="3430" xr:uid="{00000000-0005-0000-0000-000084070000}"/>
    <cellStyle name="20% - Accent5 4 5" xfId="3429" xr:uid="{00000000-0005-0000-0000-000085070000}"/>
    <cellStyle name="20% - Accent5 4 5 2" xfId="3428" xr:uid="{00000000-0005-0000-0000-000086070000}"/>
    <cellStyle name="20% - Accent5 4 5 2 2" xfId="5515" xr:uid="{00000000-0005-0000-0000-000087070000}"/>
    <cellStyle name="20% - Accent5 4 5 2 3" xfId="3427" xr:uid="{00000000-0005-0000-0000-000088070000}"/>
    <cellStyle name="20% - Accent5 4 5 3" xfId="3426" xr:uid="{00000000-0005-0000-0000-000089070000}"/>
    <cellStyle name="20% - Accent5 4 5 4" xfId="3425" xr:uid="{00000000-0005-0000-0000-00008A070000}"/>
    <cellStyle name="20% - Accent5 4 6" xfId="3424" xr:uid="{00000000-0005-0000-0000-00008B070000}"/>
    <cellStyle name="20% - Accent5 4 6 2" xfId="3423" xr:uid="{00000000-0005-0000-0000-00008C070000}"/>
    <cellStyle name="20% - Accent5 4 6 3" xfId="3422" xr:uid="{00000000-0005-0000-0000-00008D070000}"/>
    <cellStyle name="20% - Accent5 4 7" xfId="3421" xr:uid="{00000000-0005-0000-0000-00008E070000}"/>
    <cellStyle name="20% - Accent5 4 8" xfId="3420" xr:uid="{00000000-0005-0000-0000-00008F070000}"/>
    <cellStyle name="20% - Accent5 4 9" xfId="3462" xr:uid="{00000000-0005-0000-0000-000064070000}"/>
    <cellStyle name="20% - Accent5 5" xfId="211" xr:uid="{00000000-0005-0000-0000-000032000000}"/>
    <cellStyle name="20% - Accent5 5 2" xfId="3418" xr:uid="{00000000-0005-0000-0000-000091070000}"/>
    <cellStyle name="20% - Accent5 5 2 2" xfId="3417" xr:uid="{00000000-0005-0000-0000-000092070000}"/>
    <cellStyle name="20% - Accent5 5 2 2 2" xfId="3416" xr:uid="{00000000-0005-0000-0000-000093070000}"/>
    <cellStyle name="20% - Accent5 5 2 2 2 2" xfId="3415" xr:uid="{00000000-0005-0000-0000-000094070000}"/>
    <cellStyle name="20% - Accent5 5 2 2 2 2 2" xfId="3414" xr:uid="{00000000-0005-0000-0000-000095070000}"/>
    <cellStyle name="20% - Accent5 5 2 2 2 2 3" xfId="3413" xr:uid="{00000000-0005-0000-0000-000096070000}"/>
    <cellStyle name="20% - Accent5 5 2 2 2 3" xfId="3412" xr:uid="{00000000-0005-0000-0000-000097070000}"/>
    <cellStyle name="20% - Accent5 5 2 2 2 4" xfId="3411" xr:uid="{00000000-0005-0000-0000-000098070000}"/>
    <cellStyle name="20% - Accent5 5 2 2 3" xfId="3410" xr:uid="{00000000-0005-0000-0000-000099070000}"/>
    <cellStyle name="20% - Accent5 5 2 2 3 2" xfId="3409" xr:uid="{00000000-0005-0000-0000-00009A070000}"/>
    <cellStyle name="20% - Accent5 5 2 2 3 3" xfId="3408" xr:uid="{00000000-0005-0000-0000-00009B070000}"/>
    <cellStyle name="20% - Accent5 5 2 2 4" xfId="3407" xr:uid="{00000000-0005-0000-0000-00009C070000}"/>
    <cellStyle name="20% - Accent5 5 2 2 5" xfId="3406" xr:uid="{00000000-0005-0000-0000-00009D070000}"/>
    <cellStyle name="20% - Accent5 5 2 3" xfId="3405" xr:uid="{00000000-0005-0000-0000-00009E070000}"/>
    <cellStyle name="20% - Accent5 5 2 3 2" xfId="3404" xr:uid="{00000000-0005-0000-0000-00009F070000}"/>
    <cellStyle name="20% - Accent5 5 2 3 2 2" xfId="3403" xr:uid="{00000000-0005-0000-0000-0000A0070000}"/>
    <cellStyle name="20% - Accent5 5 2 3 2 3" xfId="3402" xr:uid="{00000000-0005-0000-0000-0000A1070000}"/>
    <cellStyle name="20% - Accent5 5 2 3 3" xfId="3401" xr:uid="{00000000-0005-0000-0000-0000A2070000}"/>
    <cellStyle name="20% - Accent5 5 2 3 4" xfId="3400" xr:uid="{00000000-0005-0000-0000-0000A3070000}"/>
    <cellStyle name="20% - Accent5 5 2 4" xfId="3399" xr:uid="{00000000-0005-0000-0000-0000A4070000}"/>
    <cellStyle name="20% - Accent5 5 3" xfId="3398" xr:uid="{00000000-0005-0000-0000-0000A5070000}"/>
    <cellStyle name="20% - Accent5 5 3 2" xfId="3397" xr:uid="{00000000-0005-0000-0000-0000A6070000}"/>
    <cellStyle name="20% - Accent5 5 3 2 2" xfId="3396" xr:uid="{00000000-0005-0000-0000-0000A7070000}"/>
    <cellStyle name="20% - Accent5 5 3 2 3" xfId="2867" xr:uid="{00000000-0005-0000-0000-0000A8070000}"/>
    <cellStyle name="20% - Accent5 5 3 3" xfId="3395" xr:uid="{00000000-0005-0000-0000-0000A9070000}"/>
    <cellStyle name="20% - Accent5 5 3 4" xfId="3394" xr:uid="{00000000-0005-0000-0000-0000AA070000}"/>
    <cellStyle name="20% - Accent5 5 4" xfId="3393" xr:uid="{00000000-0005-0000-0000-0000AB070000}"/>
    <cellStyle name="20% - Accent5 5 4 2" xfId="3392" xr:uid="{00000000-0005-0000-0000-0000AC070000}"/>
    <cellStyle name="20% - Accent5 5 4 2 2" xfId="3391" xr:uid="{00000000-0005-0000-0000-0000AD070000}"/>
    <cellStyle name="20% - Accent5 5 4 2 3" xfId="3390" xr:uid="{00000000-0005-0000-0000-0000AE070000}"/>
    <cellStyle name="20% - Accent5 5 4 3" xfId="3389" xr:uid="{00000000-0005-0000-0000-0000AF070000}"/>
    <cellStyle name="20% - Accent5 5 4 4" xfId="3388" xr:uid="{00000000-0005-0000-0000-0000B0070000}"/>
    <cellStyle name="20% - Accent5 5 5" xfId="3387" xr:uid="{00000000-0005-0000-0000-0000B1070000}"/>
    <cellStyle name="20% - Accent5 5 5 2" xfId="3386" xr:uid="{00000000-0005-0000-0000-0000B2070000}"/>
    <cellStyle name="20% - Accent5 5 5 3" xfId="3385" xr:uid="{00000000-0005-0000-0000-0000B3070000}"/>
    <cellStyle name="20% - Accent5 5 6" xfId="3384" xr:uid="{00000000-0005-0000-0000-0000B4070000}"/>
    <cellStyle name="20% - Accent5 5 7" xfId="3383" xr:uid="{00000000-0005-0000-0000-0000B5070000}"/>
    <cellStyle name="20% - Accent5 5 8" xfId="3419" xr:uid="{00000000-0005-0000-0000-000090070000}"/>
    <cellStyle name="20% - Accent5 6" xfId="212" xr:uid="{00000000-0005-0000-0000-000033000000}"/>
    <cellStyle name="20% - Accent5 6 2" xfId="3382" xr:uid="{00000000-0005-0000-0000-0000B7070000}"/>
    <cellStyle name="20% - Accent5 6 2 2" xfId="3381" xr:uid="{00000000-0005-0000-0000-0000B8070000}"/>
    <cellStyle name="20% - Accent5 6 2 2 2" xfId="3380" xr:uid="{00000000-0005-0000-0000-0000B9070000}"/>
    <cellStyle name="20% - Accent5 6 2 2 2 2" xfId="3379" xr:uid="{00000000-0005-0000-0000-0000BA070000}"/>
    <cellStyle name="20% - Accent5 6 2 2 2 3" xfId="3378" xr:uid="{00000000-0005-0000-0000-0000BB070000}"/>
    <cellStyle name="20% - Accent5 6 2 2 3" xfId="3377" xr:uid="{00000000-0005-0000-0000-0000BC070000}"/>
    <cellStyle name="20% - Accent5 6 2 2 4" xfId="3375" xr:uid="{00000000-0005-0000-0000-0000BD070000}"/>
    <cellStyle name="20% - Accent5 6 2 3" xfId="3376" xr:uid="{00000000-0005-0000-0000-0000BE070000}"/>
    <cellStyle name="20% - Accent5 6 2 3 2" xfId="3374" xr:uid="{00000000-0005-0000-0000-0000BF070000}"/>
    <cellStyle name="20% - Accent5 6 2 3 3" xfId="3373" xr:uid="{00000000-0005-0000-0000-0000C0070000}"/>
    <cellStyle name="20% - Accent5 6 2 4" xfId="3372" xr:uid="{00000000-0005-0000-0000-0000C1070000}"/>
    <cellStyle name="20% - Accent5 6 2 5" xfId="3371" xr:uid="{00000000-0005-0000-0000-0000C2070000}"/>
    <cellStyle name="20% - Accent5 6 3" xfId="3370" xr:uid="{00000000-0005-0000-0000-0000C3070000}"/>
    <cellStyle name="20% - Accent5 6 3 2" xfId="3369" xr:uid="{00000000-0005-0000-0000-0000C4070000}"/>
    <cellStyle name="20% - Accent5 6 3 2 2" xfId="3368" xr:uid="{00000000-0005-0000-0000-0000C5070000}"/>
    <cellStyle name="20% - Accent5 6 3 2 3" xfId="3367" xr:uid="{00000000-0005-0000-0000-0000C6070000}"/>
    <cellStyle name="20% - Accent5 6 3 3" xfId="3366" xr:uid="{00000000-0005-0000-0000-0000C7070000}"/>
    <cellStyle name="20% - Accent5 6 3 4" xfId="3365" xr:uid="{00000000-0005-0000-0000-0000C8070000}"/>
    <cellStyle name="20% - Accent5 6 4" xfId="3364" xr:uid="{00000000-0005-0000-0000-0000C9070000}"/>
    <cellStyle name="20% - Accent5 7" xfId="213" xr:uid="{00000000-0005-0000-0000-000034000000}"/>
    <cellStyle name="20% - Accent5 7 2" xfId="3363" xr:uid="{00000000-0005-0000-0000-0000CB070000}"/>
    <cellStyle name="20% - Accent5 7 3" xfId="3362" xr:uid="{00000000-0005-0000-0000-0000CC070000}"/>
    <cellStyle name="20% - Accent5 7 4" xfId="5520" xr:uid="{00000000-0005-0000-0000-0000CD070000}"/>
    <cellStyle name="20% - Accent5 8" xfId="5523" xr:uid="{00000000-0005-0000-0000-0000CE070000}"/>
    <cellStyle name="20% - Accent5 8 2" xfId="3361" xr:uid="{00000000-0005-0000-0000-0000CF070000}"/>
    <cellStyle name="20% - Accent5 8 2 2" xfId="5521" xr:uid="{00000000-0005-0000-0000-0000D0070000}"/>
    <cellStyle name="20% - Accent5 8 2 3" xfId="5522" xr:uid="{00000000-0005-0000-0000-0000D1070000}"/>
    <cellStyle name="20% - Accent5 8 3" xfId="3360" xr:uid="{00000000-0005-0000-0000-0000D2070000}"/>
    <cellStyle name="20% - Accent5 8 4" xfId="3359" xr:uid="{00000000-0005-0000-0000-0000D3070000}"/>
    <cellStyle name="20% - Accent5 9" xfId="3358" xr:uid="{00000000-0005-0000-0000-0000D4070000}"/>
    <cellStyle name="20% - Accent5 9 2" xfId="3357" xr:uid="{00000000-0005-0000-0000-0000D5070000}"/>
    <cellStyle name="20% - Accent5 9 2 2" xfId="3356" xr:uid="{00000000-0005-0000-0000-0000D6070000}"/>
    <cellStyle name="20% - Accent5 9 2 3" xfId="3355" xr:uid="{00000000-0005-0000-0000-0000D7070000}"/>
    <cellStyle name="20% - Accent5 9 3" xfId="3354" xr:uid="{00000000-0005-0000-0000-0000D8070000}"/>
    <cellStyle name="20% - Accent5 9 4" xfId="3353" xr:uid="{00000000-0005-0000-0000-0000D9070000}"/>
    <cellStyle name="20% - Accent6" xfId="102" builtinId="50" customBuiltin="1"/>
    <cellStyle name="20% - Accent6 10" xfId="3352" xr:uid="{00000000-0005-0000-0000-0000DA070000}"/>
    <cellStyle name="20% - Accent6 10 2" xfId="3351" xr:uid="{00000000-0005-0000-0000-0000DB070000}"/>
    <cellStyle name="20% - Accent6 10 2 2" xfId="3350" xr:uid="{00000000-0005-0000-0000-0000DC070000}"/>
    <cellStyle name="20% - Accent6 10 2 3" xfId="3349" xr:uid="{00000000-0005-0000-0000-0000DD070000}"/>
    <cellStyle name="20% - Accent6 10 3" xfId="3348" xr:uid="{00000000-0005-0000-0000-0000DE070000}"/>
    <cellStyle name="20% - Accent6 10 4" xfId="3347" xr:uid="{00000000-0005-0000-0000-0000DF070000}"/>
    <cellStyle name="20% - Accent6 10 4 2" xfId="3346" xr:uid="{00000000-0005-0000-0000-0000E0070000}"/>
    <cellStyle name="20% - Accent6 10 5" xfId="3345" xr:uid="{00000000-0005-0000-0000-0000E1070000}"/>
    <cellStyle name="20% - Accent6 11" xfId="3344" xr:uid="{00000000-0005-0000-0000-0000E2070000}"/>
    <cellStyle name="20% - Accent6 11 2" xfId="3343" xr:uid="{00000000-0005-0000-0000-0000E3070000}"/>
    <cellStyle name="20% - Accent6 11 3" xfId="3342" xr:uid="{00000000-0005-0000-0000-0000E4070000}"/>
    <cellStyle name="20% - Accent6 11 3 2" xfId="3341" xr:uid="{00000000-0005-0000-0000-0000E5070000}"/>
    <cellStyle name="20% - Accent6 12" xfId="3340" xr:uid="{00000000-0005-0000-0000-0000E6070000}"/>
    <cellStyle name="20% - Accent6 12 2" xfId="3339" xr:uid="{00000000-0005-0000-0000-0000E7070000}"/>
    <cellStyle name="20% - Accent6 12 3" xfId="3338" xr:uid="{00000000-0005-0000-0000-0000E8070000}"/>
    <cellStyle name="20% - Accent6 13" xfId="3337" xr:uid="{00000000-0005-0000-0000-0000E9070000}"/>
    <cellStyle name="20% - Accent6 13 2" xfId="3336" xr:uid="{00000000-0005-0000-0000-0000EA070000}"/>
    <cellStyle name="20% - Accent6 13 3" xfId="3335" xr:uid="{00000000-0005-0000-0000-0000EB070000}"/>
    <cellStyle name="20% - Accent6 14" xfId="3334" xr:uid="{00000000-0005-0000-0000-0000EC070000}"/>
    <cellStyle name="20% - Accent6 14 2" xfId="3333" xr:uid="{00000000-0005-0000-0000-0000ED070000}"/>
    <cellStyle name="20% - Accent6 15" xfId="3332" xr:uid="{00000000-0005-0000-0000-0000EE070000}"/>
    <cellStyle name="20% - Accent6 16" xfId="3331" xr:uid="{00000000-0005-0000-0000-0000EF070000}"/>
    <cellStyle name="20% - Accent6 2" xfId="214" xr:uid="{00000000-0005-0000-0000-000035000000}"/>
    <cellStyle name="20% - Accent6 2 2" xfId="3330" xr:uid="{00000000-0005-0000-0000-0000F1070000}"/>
    <cellStyle name="20% - Accent6 2 3" xfId="3329" xr:uid="{00000000-0005-0000-0000-0000F2070000}"/>
    <cellStyle name="20% - Accent6 2 3 2" xfId="3328" xr:uid="{00000000-0005-0000-0000-0000F3070000}"/>
    <cellStyle name="20% - Accent6 2 3 2 2" xfId="3327" xr:uid="{00000000-0005-0000-0000-0000F4070000}"/>
    <cellStyle name="20% - Accent6 2 3 2 2 2" xfId="3326" xr:uid="{00000000-0005-0000-0000-0000F5070000}"/>
    <cellStyle name="20% - Accent6 2 3 2 2 2 2" xfId="3325" xr:uid="{00000000-0005-0000-0000-0000F6070000}"/>
    <cellStyle name="20% - Accent6 2 3 2 2 2 3" xfId="3324" xr:uid="{00000000-0005-0000-0000-0000F7070000}"/>
    <cellStyle name="20% - Accent6 2 3 2 2 3" xfId="3323" xr:uid="{00000000-0005-0000-0000-0000F8070000}"/>
    <cellStyle name="20% - Accent6 2 3 2 2 3 2" xfId="3322" xr:uid="{00000000-0005-0000-0000-0000F9070000}"/>
    <cellStyle name="20% - Accent6 2 3 2 2 4" xfId="3321" xr:uid="{00000000-0005-0000-0000-0000FA070000}"/>
    <cellStyle name="20% - Accent6 2 3 2 3" xfId="3320" xr:uid="{00000000-0005-0000-0000-0000FB070000}"/>
    <cellStyle name="20% - Accent6 2 3 2 3 2" xfId="3319" xr:uid="{00000000-0005-0000-0000-0000FC070000}"/>
    <cellStyle name="20% - Accent6 2 3 2 3 2 2" xfId="3318" xr:uid="{00000000-0005-0000-0000-0000FD070000}"/>
    <cellStyle name="20% - Accent6 2 3 2 3 2 3" xfId="3317" xr:uid="{00000000-0005-0000-0000-0000FE070000}"/>
    <cellStyle name="20% - Accent6 2 3 2 3 3" xfId="3316" xr:uid="{00000000-0005-0000-0000-0000FF070000}"/>
    <cellStyle name="20% - Accent6 2 3 2 3 3 2" xfId="3315" xr:uid="{00000000-0005-0000-0000-000000080000}"/>
    <cellStyle name="20% - Accent6 2 3 2 3 4" xfId="3314" xr:uid="{00000000-0005-0000-0000-000001080000}"/>
    <cellStyle name="20% - Accent6 2 3 2 4" xfId="3313" xr:uid="{00000000-0005-0000-0000-000002080000}"/>
    <cellStyle name="20% - Accent6 2 3 2 4 2" xfId="3312" xr:uid="{00000000-0005-0000-0000-000003080000}"/>
    <cellStyle name="20% - Accent6 2 3 2 4 3" xfId="3311" xr:uid="{00000000-0005-0000-0000-000004080000}"/>
    <cellStyle name="20% - Accent6 2 3 2 5" xfId="3310" xr:uid="{00000000-0005-0000-0000-000005080000}"/>
    <cellStyle name="20% - Accent6 2 3 2 6" xfId="3309" xr:uid="{00000000-0005-0000-0000-000006080000}"/>
    <cellStyle name="20% - Accent6 2 3 2 6 2" xfId="3308" xr:uid="{00000000-0005-0000-0000-000007080000}"/>
    <cellStyle name="20% - Accent6 2 3 2 7" xfId="3307" xr:uid="{00000000-0005-0000-0000-000008080000}"/>
    <cellStyle name="20% - Accent6 2 3 3" xfId="3306" xr:uid="{00000000-0005-0000-0000-000009080000}"/>
    <cellStyle name="20% - Accent6 2 3 3 2" xfId="3305" xr:uid="{00000000-0005-0000-0000-00000A080000}"/>
    <cellStyle name="20% - Accent6 2 3 3 2 2" xfId="3304" xr:uid="{00000000-0005-0000-0000-00000B080000}"/>
    <cellStyle name="20% - Accent6 2 3 3 2 3" xfId="3303" xr:uid="{00000000-0005-0000-0000-00000C080000}"/>
    <cellStyle name="20% - Accent6 2 3 3 3" xfId="3302" xr:uid="{00000000-0005-0000-0000-00000D080000}"/>
    <cellStyle name="20% - Accent6 2 3 3 3 2" xfId="3301" xr:uid="{00000000-0005-0000-0000-00000E080000}"/>
    <cellStyle name="20% - Accent6 2 3 3 4" xfId="3300" xr:uid="{00000000-0005-0000-0000-00000F080000}"/>
    <cellStyle name="20% - Accent6 2 3 4" xfId="3299" xr:uid="{00000000-0005-0000-0000-000010080000}"/>
    <cellStyle name="20% - Accent6 2 3 4 2" xfId="3298" xr:uid="{00000000-0005-0000-0000-000011080000}"/>
    <cellStyle name="20% - Accent6 2 3 4 2 2" xfId="3297" xr:uid="{00000000-0005-0000-0000-000012080000}"/>
    <cellStyle name="20% - Accent6 2 3 4 2 3" xfId="3296" xr:uid="{00000000-0005-0000-0000-000013080000}"/>
    <cellStyle name="20% - Accent6 2 3 4 3" xfId="3295" xr:uid="{00000000-0005-0000-0000-000014080000}"/>
    <cellStyle name="20% - Accent6 2 3 4 3 2" xfId="3294" xr:uid="{00000000-0005-0000-0000-000015080000}"/>
    <cellStyle name="20% - Accent6 2 3 4 4" xfId="3293" xr:uid="{00000000-0005-0000-0000-000016080000}"/>
    <cellStyle name="20% - Accent6 2 3 5" xfId="3292" xr:uid="{00000000-0005-0000-0000-000017080000}"/>
    <cellStyle name="20% - Accent6 2 3 5 2" xfId="3291" xr:uid="{00000000-0005-0000-0000-000018080000}"/>
    <cellStyle name="20% - Accent6 2 3 5 3" xfId="3290" xr:uid="{00000000-0005-0000-0000-000019080000}"/>
    <cellStyle name="20% - Accent6 2 3 6" xfId="3289" xr:uid="{00000000-0005-0000-0000-00001A080000}"/>
    <cellStyle name="20% - Accent6 2 3 7" xfId="3288" xr:uid="{00000000-0005-0000-0000-00001B080000}"/>
    <cellStyle name="20% - Accent6 2 3 7 2" xfId="3287" xr:uid="{00000000-0005-0000-0000-00001C080000}"/>
    <cellStyle name="20% - Accent6 2 3 8" xfId="3286" xr:uid="{00000000-0005-0000-0000-00001D080000}"/>
    <cellStyle name="20% - Accent6 2 4" xfId="3285" xr:uid="{00000000-0005-0000-0000-00001E080000}"/>
    <cellStyle name="20% - Accent6 2 4 2" xfId="3284" xr:uid="{00000000-0005-0000-0000-00001F080000}"/>
    <cellStyle name="20% - Accent6 2 4 2 2" xfId="3283" xr:uid="{00000000-0005-0000-0000-000020080000}"/>
    <cellStyle name="20% - Accent6 2 4 2 2 2" xfId="3282" xr:uid="{00000000-0005-0000-0000-000021080000}"/>
    <cellStyle name="20% - Accent6 2 4 2 2 2 2" xfId="3281" xr:uid="{00000000-0005-0000-0000-000022080000}"/>
    <cellStyle name="20% - Accent6 2 4 2 2 2 3" xfId="3280" xr:uid="{00000000-0005-0000-0000-000023080000}"/>
    <cellStyle name="20% - Accent6 2 4 2 2 3" xfId="3279" xr:uid="{00000000-0005-0000-0000-000024080000}"/>
    <cellStyle name="20% - Accent6 2 4 2 2 3 2" xfId="3278" xr:uid="{00000000-0005-0000-0000-000025080000}"/>
    <cellStyle name="20% - Accent6 2 4 2 2 4" xfId="3277" xr:uid="{00000000-0005-0000-0000-000026080000}"/>
    <cellStyle name="20% - Accent6 2 4 2 3" xfId="3276" xr:uid="{00000000-0005-0000-0000-000027080000}"/>
    <cellStyle name="20% - Accent6 2 4 2 3 2" xfId="3275" xr:uid="{00000000-0005-0000-0000-000028080000}"/>
    <cellStyle name="20% - Accent6 2 4 2 3 2 2" xfId="3274" xr:uid="{00000000-0005-0000-0000-000029080000}"/>
    <cellStyle name="20% - Accent6 2 4 2 3 2 3" xfId="3273" xr:uid="{00000000-0005-0000-0000-00002A080000}"/>
    <cellStyle name="20% - Accent6 2 4 2 3 3" xfId="3272" xr:uid="{00000000-0005-0000-0000-00002B080000}"/>
    <cellStyle name="20% - Accent6 2 4 2 3 3 2" xfId="3271" xr:uid="{00000000-0005-0000-0000-00002C080000}"/>
    <cellStyle name="20% - Accent6 2 4 2 3 4" xfId="3270" xr:uid="{00000000-0005-0000-0000-00002D080000}"/>
    <cellStyle name="20% - Accent6 2 4 2 4" xfId="3269" xr:uid="{00000000-0005-0000-0000-00002E080000}"/>
    <cellStyle name="20% - Accent6 2 4 2 4 2" xfId="3268" xr:uid="{00000000-0005-0000-0000-00002F080000}"/>
    <cellStyle name="20% - Accent6 2 4 2 4 3" xfId="3267" xr:uid="{00000000-0005-0000-0000-000030080000}"/>
    <cellStyle name="20% - Accent6 2 4 2 5" xfId="3266" xr:uid="{00000000-0005-0000-0000-000031080000}"/>
    <cellStyle name="20% - Accent6 2 4 2 6" xfId="3265" xr:uid="{00000000-0005-0000-0000-000032080000}"/>
    <cellStyle name="20% - Accent6 2 4 2 6 2" xfId="3264" xr:uid="{00000000-0005-0000-0000-000033080000}"/>
    <cellStyle name="20% - Accent6 2 4 2 7" xfId="3263" xr:uid="{00000000-0005-0000-0000-000034080000}"/>
    <cellStyle name="20% - Accent6 2 4 3" xfId="3262" xr:uid="{00000000-0005-0000-0000-000035080000}"/>
    <cellStyle name="20% - Accent6 2 4 3 2" xfId="3261" xr:uid="{00000000-0005-0000-0000-000036080000}"/>
    <cellStyle name="20% - Accent6 2 4 3 2 2" xfId="3260" xr:uid="{00000000-0005-0000-0000-000037080000}"/>
    <cellStyle name="20% - Accent6 2 4 3 2 3" xfId="3259" xr:uid="{00000000-0005-0000-0000-000038080000}"/>
    <cellStyle name="20% - Accent6 2 4 3 3" xfId="5580" xr:uid="{00000000-0005-0000-0000-000039080000}"/>
    <cellStyle name="20% - Accent6 2 4 3 3 2" xfId="5582" xr:uid="{00000000-0005-0000-0000-00003A080000}"/>
    <cellStyle name="20% - Accent6 2 4 3 4" xfId="5587" xr:uid="{00000000-0005-0000-0000-00003B080000}"/>
    <cellStyle name="20% - Accent6 2 4 4" xfId="5590" xr:uid="{00000000-0005-0000-0000-00003C080000}"/>
    <cellStyle name="20% - Accent6 2 4 4 2" xfId="3258" xr:uid="{00000000-0005-0000-0000-00003D080000}"/>
    <cellStyle name="20% - Accent6 2 4 4 2 2" xfId="3257" xr:uid="{00000000-0005-0000-0000-00003E080000}"/>
    <cellStyle name="20% - Accent6 2 4 4 2 3" xfId="3256" xr:uid="{00000000-0005-0000-0000-00003F080000}"/>
    <cellStyle name="20% - Accent6 2 4 4 3" xfId="3255" xr:uid="{00000000-0005-0000-0000-000040080000}"/>
    <cellStyle name="20% - Accent6 2 4 4 3 2" xfId="3254" xr:uid="{00000000-0005-0000-0000-000041080000}"/>
    <cellStyle name="20% - Accent6 2 4 4 4" xfId="5593" xr:uid="{00000000-0005-0000-0000-000042080000}"/>
    <cellStyle name="20% - Accent6 2 4 5" xfId="5596" xr:uid="{00000000-0005-0000-0000-000043080000}"/>
    <cellStyle name="20% - Accent6 2 4 5 2" xfId="5599" xr:uid="{00000000-0005-0000-0000-000044080000}"/>
    <cellStyle name="20% - Accent6 2 4 5 3" xfId="5602" xr:uid="{00000000-0005-0000-0000-000045080000}"/>
    <cellStyle name="20% - Accent6 2 4 6" xfId="5608" xr:uid="{00000000-0005-0000-0000-000046080000}"/>
    <cellStyle name="20% - Accent6 2 4 7" xfId="5610" xr:uid="{00000000-0005-0000-0000-000047080000}"/>
    <cellStyle name="20% - Accent6 2 4 7 2" xfId="5613" xr:uid="{00000000-0005-0000-0000-000048080000}"/>
    <cellStyle name="20% - Accent6 2 4 8" xfId="5615" xr:uid="{00000000-0005-0000-0000-000049080000}"/>
    <cellStyle name="20% - Accent6 2 5" xfId="5618" xr:uid="{00000000-0005-0000-0000-00004A080000}"/>
    <cellStyle name="20% - Accent6 2 5 2" xfId="5621" xr:uid="{00000000-0005-0000-0000-00004B080000}"/>
    <cellStyle name="20% - Accent6 2 5 2 2" xfId="3253" xr:uid="{00000000-0005-0000-0000-00004C080000}"/>
    <cellStyle name="20% - Accent6 2 5 2 2 2" xfId="3252" xr:uid="{00000000-0005-0000-0000-00004D080000}"/>
    <cellStyle name="20% - Accent6 2 5 2 2 2 2" xfId="3251" xr:uid="{00000000-0005-0000-0000-00004E080000}"/>
    <cellStyle name="20% - Accent6 2 5 2 2 2 3" xfId="3250" xr:uid="{00000000-0005-0000-0000-00004F080000}"/>
    <cellStyle name="20% - Accent6 2 5 2 2 3" xfId="5624" xr:uid="{00000000-0005-0000-0000-000050080000}"/>
    <cellStyle name="20% - Accent6 2 5 2 2 3 2" xfId="5628" xr:uid="{00000000-0005-0000-0000-000051080000}"/>
    <cellStyle name="20% - Accent6 2 5 2 2 4" xfId="5554" xr:uid="{00000000-0005-0000-0000-000052080000}"/>
    <cellStyle name="20% - Accent6 2 5 2 3" xfId="5556" xr:uid="{00000000-0005-0000-0000-000053080000}"/>
    <cellStyle name="20% - Accent6 2 5 2 3 2" xfId="5561" xr:uid="{00000000-0005-0000-0000-000054080000}"/>
    <cellStyle name="20% - Accent6 2 5 2 3 2 2" xfId="5631" xr:uid="{00000000-0005-0000-0000-000055080000}"/>
    <cellStyle name="20% - Accent6 2 5 2 3 2 3" xfId="5564" xr:uid="{00000000-0005-0000-0000-000056080000}"/>
    <cellStyle name="20% - Accent6 2 5 2 3 3" xfId="5566" xr:uid="{00000000-0005-0000-0000-000057080000}"/>
    <cellStyle name="20% - Accent6 2 5 2 3 3 2" xfId="5516" xr:uid="{00000000-0005-0000-0000-000058080000}"/>
    <cellStyle name="20% - Accent6 2 5 2 3 4" xfId="5510" xr:uid="{00000000-0005-0000-0000-000059080000}"/>
    <cellStyle name="20% - Accent6 2 5 2 4" xfId="3249" xr:uid="{00000000-0005-0000-0000-00005A080000}"/>
    <cellStyle name="20% - Accent6 2 5 2 4 2" xfId="3248" xr:uid="{00000000-0005-0000-0000-00005B080000}"/>
    <cellStyle name="20% - Accent6 2 5 2 4 3" xfId="3247" xr:uid="{00000000-0005-0000-0000-00005C080000}"/>
    <cellStyle name="20% - Accent6 2 5 2 5" xfId="3246" xr:uid="{00000000-0005-0000-0000-00005D080000}"/>
    <cellStyle name="20% - Accent6 2 5 2 6" xfId="3245" xr:uid="{00000000-0005-0000-0000-00005E080000}"/>
    <cellStyle name="20% - Accent6 2 5 2 6 2" xfId="3244" xr:uid="{00000000-0005-0000-0000-00005F080000}"/>
    <cellStyle name="20% - Accent6 2 5 2 7" xfId="5511" xr:uid="{00000000-0005-0000-0000-000060080000}"/>
    <cellStyle name="20% - Accent6 2 5 3" xfId="3243" xr:uid="{00000000-0005-0000-0000-000061080000}"/>
    <cellStyle name="20% - Accent6 2 5 3 2" xfId="3242" xr:uid="{00000000-0005-0000-0000-000062080000}"/>
    <cellStyle name="20% - Accent6 2 5 3 2 2" xfId="3241" xr:uid="{00000000-0005-0000-0000-000063080000}"/>
    <cellStyle name="20% - Accent6 2 5 3 2 3" xfId="3240" xr:uid="{00000000-0005-0000-0000-000064080000}"/>
    <cellStyle name="20% - Accent6 2 5 3 3" xfId="3239" xr:uid="{00000000-0005-0000-0000-000065080000}"/>
    <cellStyle name="20% - Accent6 2 5 3 3 2" xfId="3238" xr:uid="{00000000-0005-0000-0000-000066080000}"/>
    <cellStyle name="20% - Accent6 2 5 3 4" xfId="3237" xr:uid="{00000000-0005-0000-0000-000067080000}"/>
    <cellStyle name="20% - Accent6 2 5 4" xfId="3236" xr:uid="{00000000-0005-0000-0000-000068080000}"/>
    <cellStyle name="20% - Accent6 2 5 4 2" xfId="3235" xr:uid="{00000000-0005-0000-0000-000069080000}"/>
    <cellStyle name="20% - Accent6 2 5 4 2 2" xfId="3234" xr:uid="{00000000-0005-0000-0000-00006A080000}"/>
    <cellStyle name="20% - Accent6 2 5 4 2 3" xfId="3233" xr:uid="{00000000-0005-0000-0000-00006B080000}"/>
    <cellStyle name="20% - Accent6 2 5 4 3" xfId="3232" xr:uid="{00000000-0005-0000-0000-00006C080000}"/>
    <cellStyle name="20% - Accent6 2 5 4 3 2" xfId="3231" xr:uid="{00000000-0005-0000-0000-00006D080000}"/>
    <cellStyle name="20% - Accent6 2 5 4 4" xfId="3230" xr:uid="{00000000-0005-0000-0000-00006E080000}"/>
    <cellStyle name="20% - Accent6 2 5 5" xfId="3229" xr:uid="{00000000-0005-0000-0000-00006F080000}"/>
    <cellStyle name="20% - Accent6 2 5 5 2" xfId="3228" xr:uid="{00000000-0005-0000-0000-000070080000}"/>
    <cellStyle name="20% - Accent6 2 5 5 3" xfId="3227" xr:uid="{00000000-0005-0000-0000-000071080000}"/>
    <cellStyle name="20% - Accent6 2 5 6" xfId="3226" xr:uid="{00000000-0005-0000-0000-000072080000}"/>
    <cellStyle name="20% - Accent6 2 5 7" xfId="3225" xr:uid="{00000000-0005-0000-0000-000073080000}"/>
    <cellStyle name="20% - Accent6 2 5 7 2" xfId="3224" xr:uid="{00000000-0005-0000-0000-000074080000}"/>
    <cellStyle name="20% - Accent6 2 5 8" xfId="3223" xr:uid="{00000000-0005-0000-0000-000075080000}"/>
    <cellStyle name="20% - Accent6 2 6" xfId="3222" xr:uid="{00000000-0005-0000-0000-000076080000}"/>
    <cellStyle name="20% - Accent6 2 6 2" xfId="3221" xr:uid="{00000000-0005-0000-0000-000077080000}"/>
    <cellStyle name="20% - Accent6 2 6 2 2" xfId="5581" xr:uid="{00000000-0005-0000-0000-000078080000}"/>
    <cellStyle name="20% - Accent6 2 6 2 2 2" xfId="5583" xr:uid="{00000000-0005-0000-0000-000079080000}"/>
    <cellStyle name="20% - Accent6 2 6 2 2 2 2" xfId="5588" xr:uid="{00000000-0005-0000-0000-00007A080000}"/>
    <cellStyle name="20% - Accent6 2 6 2 2 2 3" xfId="5591" xr:uid="{00000000-0005-0000-0000-00007B080000}"/>
    <cellStyle name="20% - Accent6 2 6 2 2 3" xfId="5594" xr:uid="{00000000-0005-0000-0000-00007C080000}"/>
    <cellStyle name="20% - Accent6 2 6 2 2 3 2" xfId="5597" xr:uid="{00000000-0005-0000-0000-00007D080000}"/>
    <cellStyle name="20% - Accent6 2 6 2 2 4" xfId="3220" xr:uid="{00000000-0005-0000-0000-00007E080000}"/>
    <cellStyle name="20% - Accent6 2 6 2 3" xfId="3219" xr:uid="{00000000-0005-0000-0000-00007F080000}"/>
    <cellStyle name="20% - Accent6 2 6 2 3 2" xfId="3218" xr:uid="{00000000-0005-0000-0000-000080080000}"/>
    <cellStyle name="20% - Accent6 2 6 2 3 2 2" xfId="5600" xr:uid="{00000000-0005-0000-0000-000081080000}"/>
    <cellStyle name="20% - Accent6 2 6 2 3 2 3" xfId="5603" xr:uid="{00000000-0005-0000-0000-000082080000}"/>
    <cellStyle name="20% - Accent6 2 6 2 3 3" xfId="5609" xr:uid="{00000000-0005-0000-0000-000083080000}"/>
    <cellStyle name="20% - Accent6 2 6 2 3 3 2" xfId="5611" xr:uid="{00000000-0005-0000-0000-000084080000}"/>
    <cellStyle name="20% - Accent6 2 6 2 3 4" xfId="5614" xr:uid="{00000000-0005-0000-0000-000085080000}"/>
    <cellStyle name="20% - Accent6 2 6 2 4" xfId="5616" xr:uid="{00000000-0005-0000-0000-000086080000}"/>
    <cellStyle name="20% - Accent6 2 6 2 4 2" xfId="5619" xr:uid="{00000000-0005-0000-0000-000087080000}"/>
    <cellStyle name="20% - Accent6 2 6 2 4 3" xfId="5622" xr:uid="{00000000-0005-0000-0000-000088080000}"/>
    <cellStyle name="20% - Accent6 2 6 2 5" xfId="5625" xr:uid="{00000000-0005-0000-0000-000089080000}"/>
    <cellStyle name="20% - Accent6 2 6 2 6" xfId="5629" xr:uid="{00000000-0005-0000-0000-00008A080000}"/>
    <cellStyle name="20% - Accent6 2 6 2 6 2" xfId="5568" xr:uid="{00000000-0005-0000-0000-00008B080000}"/>
    <cellStyle name="20% - Accent6 2 6 2 7" xfId="5518" xr:uid="{00000000-0005-0000-0000-00008C080000}"/>
    <cellStyle name="20% - Accent6 2 6 3" xfId="5565" xr:uid="{00000000-0005-0000-0000-00008D080000}"/>
    <cellStyle name="20% - Accent6 2 6 3 2" xfId="5514" xr:uid="{00000000-0005-0000-0000-00008E080000}"/>
    <cellStyle name="20% - Accent6 2 6 3 2 2" xfId="3217" xr:uid="{00000000-0005-0000-0000-00008F080000}"/>
    <cellStyle name="20% - Accent6 2 6 3 2 3" xfId="3216" xr:uid="{00000000-0005-0000-0000-000090080000}"/>
    <cellStyle name="20% - Accent6 2 6 3 3" xfId="3215" xr:uid="{00000000-0005-0000-0000-000091080000}"/>
    <cellStyle name="20% - Accent6 2 6 3 3 2" xfId="1625" xr:uid="{00000000-0005-0000-0000-000092080000}"/>
    <cellStyle name="20% - Accent6 2 6 3 4" xfId="5555" xr:uid="{00000000-0005-0000-0000-000093080000}"/>
    <cellStyle name="20% - Accent6 2 6 4" xfId="5557" xr:uid="{00000000-0005-0000-0000-000094080000}"/>
    <cellStyle name="20% - Accent6 2 6 4 2" xfId="5562" xr:uid="{00000000-0005-0000-0000-000095080000}"/>
    <cellStyle name="20% - Accent6 2 6 4 2 2" xfId="3214" xr:uid="{00000000-0005-0000-0000-000096080000}"/>
    <cellStyle name="20% - Accent6 2 6 4 2 3" xfId="3213" xr:uid="{00000000-0005-0000-0000-000097080000}"/>
    <cellStyle name="20% - Accent6 2 6 4 3" xfId="3212" xr:uid="{00000000-0005-0000-0000-000098080000}"/>
    <cellStyle name="20% - Accent6 2 6 4 3 2" xfId="3211" xr:uid="{00000000-0005-0000-0000-000099080000}"/>
    <cellStyle name="20% - Accent6 2 6 4 4" xfId="3210" xr:uid="{00000000-0005-0000-0000-00009A080000}"/>
    <cellStyle name="20% - Accent6 2 6 5" xfId="3209" xr:uid="{00000000-0005-0000-0000-00009B080000}"/>
    <cellStyle name="20% - Accent6 2 6 5 2" xfId="3208" xr:uid="{00000000-0005-0000-0000-00009C080000}"/>
    <cellStyle name="20% - Accent6 2 6 5 3" xfId="3207" xr:uid="{00000000-0005-0000-0000-00009D080000}"/>
    <cellStyle name="20% - Accent6 2 6 6" xfId="3206" xr:uid="{00000000-0005-0000-0000-00009E080000}"/>
    <cellStyle name="20% - Accent6 2 6 7" xfId="3205" xr:uid="{00000000-0005-0000-0000-00009F080000}"/>
    <cellStyle name="20% - Accent6 2 6 7 2" xfId="3204" xr:uid="{00000000-0005-0000-0000-0000A0080000}"/>
    <cellStyle name="20% - Accent6 2 6 8" xfId="3203" xr:uid="{00000000-0005-0000-0000-0000A1080000}"/>
    <cellStyle name="20% - Accent6 2 7" xfId="3202" xr:uid="{00000000-0005-0000-0000-0000A2080000}"/>
    <cellStyle name="20% - Accent6 2 7 2" xfId="3201" xr:uid="{00000000-0005-0000-0000-0000A3080000}"/>
    <cellStyle name="20% - Accent6 2 7 2 2" xfId="3200" xr:uid="{00000000-0005-0000-0000-0000A4080000}"/>
    <cellStyle name="20% - Accent6 2 7 2 3" xfId="5513" xr:uid="{00000000-0005-0000-0000-0000A5080000}"/>
    <cellStyle name="20% - Accent6 2 7 3" xfId="3199" xr:uid="{00000000-0005-0000-0000-0000A6080000}"/>
    <cellStyle name="20% - Accent6 2 7 3 2" xfId="3198" xr:uid="{00000000-0005-0000-0000-0000A7080000}"/>
    <cellStyle name="20% - Accent6 2 7 4" xfId="3197" xr:uid="{00000000-0005-0000-0000-0000A8080000}"/>
    <cellStyle name="20% - Accent6 3" xfId="215" xr:uid="{00000000-0005-0000-0000-000036000000}"/>
    <cellStyle name="20% - Accent6 3 10" xfId="3196" xr:uid="{00000000-0005-0000-0000-0000A9080000}"/>
    <cellStyle name="20% - Accent6 3 2" xfId="3195" xr:uid="{00000000-0005-0000-0000-0000AA080000}"/>
    <cellStyle name="20% - Accent6 3 2 2" xfId="3194" xr:uid="{00000000-0005-0000-0000-0000AB080000}"/>
    <cellStyle name="20% - Accent6 3 2 2 2" xfId="3193" xr:uid="{00000000-0005-0000-0000-0000AC080000}"/>
    <cellStyle name="20% - Accent6 3 2 2 2 2" xfId="3192" xr:uid="{00000000-0005-0000-0000-0000AD080000}"/>
    <cellStyle name="20% - Accent6 3 2 2 2 2 2" xfId="3191" xr:uid="{00000000-0005-0000-0000-0000AE080000}"/>
    <cellStyle name="20% - Accent6 3 2 2 2 2 3" xfId="3190" xr:uid="{00000000-0005-0000-0000-0000AF080000}"/>
    <cellStyle name="20% - Accent6 3 2 2 2 3" xfId="3189" xr:uid="{00000000-0005-0000-0000-0000B0080000}"/>
    <cellStyle name="20% - Accent6 3 2 2 2 3 2" xfId="3188" xr:uid="{00000000-0005-0000-0000-0000B1080000}"/>
    <cellStyle name="20% - Accent6 3 2 2 2 4" xfId="3187" xr:uid="{00000000-0005-0000-0000-0000B2080000}"/>
    <cellStyle name="20% - Accent6 3 2 2 3" xfId="3186" xr:uid="{00000000-0005-0000-0000-0000B3080000}"/>
    <cellStyle name="20% - Accent6 3 2 2 3 2" xfId="3185" xr:uid="{00000000-0005-0000-0000-0000B4080000}"/>
    <cellStyle name="20% - Accent6 3 2 2 3 3" xfId="3184" xr:uid="{00000000-0005-0000-0000-0000B5080000}"/>
    <cellStyle name="20% - Accent6 3 2 2 4" xfId="3183" xr:uid="{00000000-0005-0000-0000-0000B6080000}"/>
    <cellStyle name="20% - Accent6 3 2 2 5" xfId="3182" xr:uid="{00000000-0005-0000-0000-0000B7080000}"/>
    <cellStyle name="20% - Accent6 3 2 2 5 2" xfId="3181" xr:uid="{00000000-0005-0000-0000-0000B8080000}"/>
    <cellStyle name="20% - Accent6 3 2 2 6" xfId="3180" xr:uid="{00000000-0005-0000-0000-0000B9080000}"/>
    <cellStyle name="20% - Accent6 3 2 3" xfId="3179" xr:uid="{00000000-0005-0000-0000-0000BA080000}"/>
    <cellStyle name="20% - Accent6 3 2 3 2" xfId="3178" xr:uid="{00000000-0005-0000-0000-0000BB080000}"/>
    <cellStyle name="20% - Accent6 3 2 3 2 2" xfId="3177" xr:uid="{00000000-0005-0000-0000-0000BC080000}"/>
    <cellStyle name="20% - Accent6 3 2 3 2 3" xfId="3176" xr:uid="{00000000-0005-0000-0000-0000BD080000}"/>
    <cellStyle name="20% - Accent6 3 2 3 3" xfId="3175" xr:uid="{00000000-0005-0000-0000-0000BE080000}"/>
    <cellStyle name="20% - Accent6 3 2 3 3 2" xfId="3174" xr:uid="{00000000-0005-0000-0000-0000BF080000}"/>
    <cellStyle name="20% - Accent6 3 2 3 4" xfId="3173" xr:uid="{00000000-0005-0000-0000-0000C0080000}"/>
    <cellStyle name="20% - Accent6 3 2 4" xfId="3172" xr:uid="{00000000-0005-0000-0000-0000C1080000}"/>
    <cellStyle name="20% - Accent6 3 2 5" xfId="3171" xr:uid="{00000000-0005-0000-0000-0000C2080000}"/>
    <cellStyle name="20% - Accent6 3 3" xfId="3170" xr:uid="{00000000-0005-0000-0000-0000C3080000}"/>
    <cellStyle name="20% - Accent6 3 3 2" xfId="3169" xr:uid="{00000000-0005-0000-0000-0000C4080000}"/>
    <cellStyle name="20% - Accent6 3 3 2 2" xfId="3168" xr:uid="{00000000-0005-0000-0000-0000C5080000}"/>
    <cellStyle name="20% - Accent6 3 3 2 3" xfId="3167" xr:uid="{00000000-0005-0000-0000-0000C6080000}"/>
    <cellStyle name="20% - Accent6 3 3 2 3 2" xfId="3166" xr:uid="{00000000-0005-0000-0000-0000C7080000}"/>
    <cellStyle name="20% - Accent6 3 3 3" xfId="3165" xr:uid="{00000000-0005-0000-0000-0000C8080000}"/>
    <cellStyle name="20% - Accent6 3 3 4" xfId="3164" xr:uid="{00000000-0005-0000-0000-0000C9080000}"/>
    <cellStyle name="20% - Accent6 3 3 4 2" xfId="3163" xr:uid="{00000000-0005-0000-0000-0000CA080000}"/>
    <cellStyle name="20% - Accent6 3 3 5" xfId="3162" xr:uid="{00000000-0005-0000-0000-0000CB080000}"/>
    <cellStyle name="20% - Accent6 3 4" xfId="3161" xr:uid="{00000000-0005-0000-0000-0000CC080000}"/>
    <cellStyle name="20% - Accent6 3 4 2" xfId="3160" xr:uid="{00000000-0005-0000-0000-0000CD080000}"/>
    <cellStyle name="20% - Accent6 3 4 2 2" xfId="3159" xr:uid="{00000000-0005-0000-0000-0000CE080000}"/>
    <cellStyle name="20% - Accent6 3 4 2 3" xfId="3158" xr:uid="{00000000-0005-0000-0000-0000CF080000}"/>
    <cellStyle name="20% - Accent6 3 4 3" xfId="3157" xr:uid="{00000000-0005-0000-0000-0000D0080000}"/>
    <cellStyle name="20% - Accent6 3 4 4" xfId="3156" xr:uid="{00000000-0005-0000-0000-0000D1080000}"/>
    <cellStyle name="20% - Accent6 3 4 4 2" xfId="3155" xr:uid="{00000000-0005-0000-0000-0000D2080000}"/>
    <cellStyle name="20% - Accent6 3 4 5" xfId="3154" xr:uid="{00000000-0005-0000-0000-0000D3080000}"/>
    <cellStyle name="20% - Accent6 3 5" xfId="3153" xr:uid="{00000000-0005-0000-0000-0000D4080000}"/>
    <cellStyle name="20% - Accent6 3 5 2" xfId="3152" xr:uid="{00000000-0005-0000-0000-0000D5080000}"/>
    <cellStyle name="20% - Accent6 3 5 2 2" xfId="3151" xr:uid="{00000000-0005-0000-0000-0000D6080000}"/>
    <cellStyle name="20% - Accent6 3 5 2 3" xfId="3150" xr:uid="{00000000-0005-0000-0000-0000D7080000}"/>
    <cellStyle name="20% - Accent6 3 5 3" xfId="3149" xr:uid="{00000000-0005-0000-0000-0000D8080000}"/>
    <cellStyle name="20% - Accent6 3 5 3 2" xfId="3148" xr:uid="{00000000-0005-0000-0000-0000D9080000}"/>
    <cellStyle name="20% - Accent6 3 5 4" xfId="3147" xr:uid="{00000000-0005-0000-0000-0000DA080000}"/>
    <cellStyle name="20% - Accent6 3 6" xfId="3146" xr:uid="{00000000-0005-0000-0000-0000DB080000}"/>
    <cellStyle name="20% - Accent6 3 6 2" xfId="3145" xr:uid="{00000000-0005-0000-0000-0000DC080000}"/>
    <cellStyle name="20% - Accent6 3 6 3" xfId="3144" xr:uid="{00000000-0005-0000-0000-0000DD080000}"/>
    <cellStyle name="20% - Accent6 3 7" xfId="3143" xr:uid="{00000000-0005-0000-0000-0000DE080000}"/>
    <cellStyle name="20% - Accent6 3 8" xfId="3142" xr:uid="{00000000-0005-0000-0000-0000DF080000}"/>
    <cellStyle name="20% - Accent6 3 8 2" xfId="3141" xr:uid="{00000000-0005-0000-0000-0000E0080000}"/>
    <cellStyle name="20% - Accent6 3 9" xfId="3140" xr:uid="{00000000-0005-0000-0000-0000E1080000}"/>
    <cellStyle name="20% - Accent6 4" xfId="216" xr:uid="{00000000-0005-0000-0000-000037000000}"/>
    <cellStyle name="20% - Accent6 4 10" xfId="3139" xr:uid="{00000000-0005-0000-0000-0000E2080000}"/>
    <cellStyle name="20% - Accent6 4 2" xfId="3138" xr:uid="{00000000-0005-0000-0000-0000E3080000}"/>
    <cellStyle name="20% - Accent6 4 2 2" xfId="3137" xr:uid="{00000000-0005-0000-0000-0000E4080000}"/>
    <cellStyle name="20% - Accent6 4 2 2 2" xfId="3136" xr:uid="{00000000-0005-0000-0000-0000E5080000}"/>
    <cellStyle name="20% - Accent6 4 2 2 2 2" xfId="3135" xr:uid="{00000000-0005-0000-0000-0000E6080000}"/>
    <cellStyle name="20% - Accent6 4 2 2 2 2 2" xfId="3134" xr:uid="{00000000-0005-0000-0000-0000E7080000}"/>
    <cellStyle name="20% - Accent6 4 2 2 2 2 3" xfId="3133" xr:uid="{00000000-0005-0000-0000-0000E8080000}"/>
    <cellStyle name="20% - Accent6 4 2 2 2 3" xfId="3132" xr:uid="{00000000-0005-0000-0000-0000E9080000}"/>
    <cellStyle name="20% - Accent6 4 2 2 2 3 2" xfId="3131" xr:uid="{00000000-0005-0000-0000-0000EA080000}"/>
    <cellStyle name="20% - Accent6 4 2 2 2 4" xfId="3130" xr:uid="{00000000-0005-0000-0000-0000EB080000}"/>
    <cellStyle name="20% - Accent6 4 2 2 3" xfId="3129" xr:uid="{00000000-0005-0000-0000-0000EC080000}"/>
    <cellStyle name="20% - Accent6 4 2 2 3 2" xfId="3128" xr:uid="{00000000-0005-0000-0000-0000ED080000}"/>
    <cellStyle name="20% - Accent6 4 2 2 3 3" xfId="3127" xr:uid="{00000000-0005-0000-0000-0000EE080000}"/>
    <cellStyle name="20% - Accent6 4 2 2 4" xfId="3126" xr:uid="{00000000-0005-0000-0000-0000EF080000}"/>
    <cellStyle name="20% - Accent6 4 2 2 5" xfId="3125" xr:uid="{00000000-0005-0000-0000-0000F0080000}"/>
    <cellStyle name="20% - Accent6 4 2 2 5 2" xfId="3124" xr:uid="{00000000-0005-0000-0000-0000F1080000}"/>
    <cellStyle name="20% - Accent6 4 2 2 6" xfId="3123" xr:uid="{00000000-0005-0000-0000-0000F2080000}"/>
    <cellStyle name="20% - Accent6 4 2 3" xfId="3122" xr:uid="{00000000-0005-0000-0000-0000F3080000}"/>
    <cellStyle name="20% - Accent6 4 2 3 2" xfId="3121" xr:uid="{00000000-0005-0000-0000-0000F4080000}"/>
    <cellStyle name="20% - Accent6 4 2 3 2 2" xfId="3120" xr:uid="{00000000-0005-0000-0000-0000F5080000}"/>
    <cellStyle name="20% - Accent6 4 2 3 2 3" xfId="3119" xr:uid="{00000000-0005-0000-0000-0000F6080000}"/>
    <cellStyle name="20% - Accent6 4 2 3 3" xfId="3118" xr:uid="{00000000-0005-0000-0000-0000F7080000}"/>
    <cellStyle name="20% - Accent6 4 2 3 3 2" xfId="3117" xr:uid="{00000000-0005-0000-0000-0000F8080000}"/>
    <cellStyle name="20% - Accent6 4 2 3 4" xfId="3116" xr:uid="{00000000-0005-0000-0000-0000F9080000}"/>
    <cellStyle name="20% - Accent6 4 2 4" xfId="3115" xr:uid="{00000000-0005-0000-0000-0000FA080000}"/>
    <cellStyle name="20% - Accent6 4 2 5" xfId="3114" xr:uid="{00000000-0005-0000-0000-0000FB080000}"/>
    <cellStyle name="20% - Accent6 4 3" xfId="3113" xr:uid="{00000000-0005-0000-0000-0000FC080000}"/>
    <cellStyle name="20% - Accent6 4 3 2" xfId="3112" xr:uid="{00000000-0005-0000-0000-0000FD080000}"/>
    <cellStyle name="20% - Accent6 4 3 2 2" xfId="3111" xr:uid="{00000000-0005-0000-0000-0000FE080000}"/>
    <cellStyle name="20% - Accent6 4 3 2 3" xfId="3110" xr:uid="{00000000-0005-0000-0000-0000FF080000}"/>
    <cellStyle name="20% - Accent6 4 3 3" xfId="3109" xr:uid="{00000000-0005-0000-0000-000000090000}"/>
    <cellStyle name="20% - Accent6 4 3 4" xfId="3108" xr:uid="{00000000-0005-0000-0000-000001090000}"/>
    <cellStyle name="20% - Accent6 4 3 4 2" xfId="3107" xr:uid="{00000000-0005-0000-0000-000002090000}"/>
    <cellStyle name="20% - Accent6 4 3 5" xfId="3106" xr:uid="{00000000-0005-0000-0000-000003090000}"/>
    <cellStyle name="20% - Accent6 4 4" xfId="3105" xr:uid="{00000000-0005-0000-0000-000004090000}"/>
    <cellStyle name="20% - Accent6 4 4 2" xfId="3104" xr:uid="{00000000-0005-0000-0000-000005090000}"/>
    <cellStyle name="20% - Accent6 4 4 2 2" xfId="3103" xr:uid="{00000000-0005-0000-0000-000006090000}"/>
    <cellStyle name="20% - Accent6 4 4 2 3" xfId="3102" xr:uid="{00000000-0005-0000-0000-000007090000}"/>
    <cellStyle name="20% - Accent6 4 4 3" xfId="3101" xr:uid="{00000000-0005-0000-0000-000008090000}"/>
    <cellStyle name="20% - Accent6 4 4 3 2" xfId="3100" xr:uid="{00000000-0005-0000-0000-000009090000}"/>
    <cellStyle name="20% - Accent6 4 4 4" xfId="3099" xr:uid="{00000000-0005-0000-0000-00000A090000}"/>
    <cellStyle name="20% - Accent6 4 5" xfId="3098" xr:uid="{00000000-0005-0000-0000-00000B090000}"/>
    <cellStyle name="20% - Accent6 4 5 2" xfId="3097" xr:uid="{00000000-0005-0000-0000-00000C090000}"/>
    <cellStyle name="20% - Accent6 4 5 2 2" xfId="3096" xr:uid="{00000000-0005-0000-0000-00000D090000}"/>
    <cellStyle name="20% - Accent6 4 5 2 3" xfId="3095" xr:uid="{00000000-0005-0000-0000-00000E090000}"/>
    <cellStyle name="20% - Accent6 4 5 3" xfId="3094" xr:uid="{00000000-0005-0000-0000-00000F090000}"/>
    <cellStyle name="20% - Accent6 4 5 3 2" xfId="3093" xr:uid="{00000000-0005-0000-0000-000010090000}"/>
    <cellStyle name="20% - Accent6 4 5 4" xfId="3092" xr:uid="{00000000-0005-0000-0000-000011090000}"/>
    <cellStyle name="20% - Accent6 4 6" xfId="3091" xr:uid="{00000000-0005-0000-0000-000012090000}"/>
    <cellStyle name="20% - Accent6 4 6 2" xfId="3090" xr:uid="{00000000-0005-0000-0000-000013090000}"/>
    <cellStyle name="20% - Accent6 4 6 3" xfId="3089" xr:uid="{00000000-0005-0000-0000-000014090000}"/>
    <cellStyle name="20% - Accent6 4 7" xfId="3088" xr:uid="{00000000-0005-0000-0000-000015090000}"/>
    <cellStyle name="20% - Accent6 4 8" xfId="3087" xr:uid="{00000000-0005-0000-0000-000016090000}"/>
    <cellStyle name="20% - Accent6 4 8 2" xfId="3086" xr:uid="{00000000-0005-0000-0000-000017090000}"/>
    <cellStyle name="20% - Accent6 4 9" xfId="3085" xr:uid="{00000000-0005-0000-0000-000018090000}"/>
    <cellStyle name="20% - Accent6 5" xfId="217" xr:uid="{00000000-0005-0000-0000-000038000000}"/>
    <cellStyle name="20% - Accent6 5 2" xfId="3083" xr:uid="{00000000-0005-0000-0000-00001A090000}"/>
    <cellStyle name="20% - Accent6 5 2 2" xfId="3082" xr:uid="{00000000-0005-0000-0000-00001B090000}"/>
    <cellStyle name="20% - Accent6 5 2 2 2" xfId="3081" xr:uid="{00000000-0005-0000-0000-00001C090000}"/>
    <cellStyle name="20% - Accent6 5 2 2 2 2" xfId="3080" xr:uid="{00000000-0005-0000-0000-00001D090000}"/>
    <cellStyle name="20% - Accent6 5 2 2 2 2 2" xfId="3079" xr:uid="{00000000-0005-0000-0000-00001E090000}"/>
    <cellStyle name="20% - Accent6 5 2 2 2 2 3" xfId="3078" xr:uid="{00000000-0005-0000-0000-00001F090000}"/>
    <cellStyle name="20% - Accent6 5 2 2 2 3" xfId="3077" xr:uid="{00000000-0005-0000-0000-000020090000}"/>
    <cellStyle name="20% - Accent6 5 2 2 2 3 2" xfId="3076" xr:uid="{00000000-0005-0000-0000-000021090000}"/>
    <cellStyle name="20% - Accent6 5 2 2 2 4" xfId="3075" xr:uid="{00000000-0005-0000-0000-000022090000}"/>
    <cellStyle name="20% - Accent6 5 2 2 3" xfId="3074" xr:uid="{00000000-0005-0000-0000-000023090000}"/>
    <cellStyle name="20% - Accent6 5 2 2 3 2" xfId="3073" xr:uid="{00000000-0005-0000-0000-000024090000}"/>
    <cellStyle name="20% - Accent6 5 2 2 3 3" xfId="3072" xr:uid="{00000000-0005-0000-0000-000025090000}"/>
    <cellStyle name="20% - Accent6 5 2 2 4" xfId="3071" xr:uid="{00000000-0005-0000-0000-000026090000}"/>
    <cellStyle name="20% - Accent6 5 2 2 5" xfId="3070" xr:uid="{00000000-0005-0000-0000-000027090000}"/>
    <cellStyle name="20% - Accent6 5 2 2 5 2" xfId="3069" xr:uid="{00000000-0005-0000-0000-000028090000}"/>
    <cellStyle name="20% - Accent6 5 2 2 6" xfId="3068" xr:uid="{00000000-0005-0000-0000-000029090000}"/>
    <cellStyle name="20% - Accent6 5 2 3" xfId="3067" xr:uid="{00000000-0005-0000-0000-00002A090000}"/>
    <cellStyle name="20% - Accent6 5 2 3 2" xfId="3066" xr:uid="{00000000-0005-0000-0000-00002B090000}"/>
    <cellStyle name="20% - Accent6 5 2 3 2 2" xfId="3065" xr:uid="{00000000-0005-0000-0000-00002C090000}"/>
    <cellStyle name="20% - Accent6 5 2 3 2 3" xfId="3064" xr:uid="{00000000-0005-0000-0000-00002D090000}"/>
    <cellStyle name="20% - Accent6 5 2 3 3" xfId="3063" xr:uid="{00000000-0005-0000-0000-00002E090000}"/>
    <cellStyle name="20% - Accent6 5 2 3 3 2" xfId="3062" xr:uid="{00000000-0005-0000-0000-00002F090000}"/>
    <cellStyle name="20% - Accent6 5 2 3 4" xfId="3061" xr:uid="{00000000-0005-0000-0000-000030090000}"/>
    <cellStyle name="20% - Accent6 5 2 4" xfId="3060" xr:uid="{00000000-0005-0000-0000-000031090000}"/>
    <cellStyle name="20% - Accent6 5 2 5" xfId="3059" xr:uid="{00000000-0005-0000-0000-000032090000}"/>
    <cellStyle name="20% - Accent6 5 3" xfId="3058" xr:uid="{00000000-0005-0000-0000-000033090000}"/>
    <cellStyle name="20% - Accent6 5 3 2" xfId="3057" xr:uid="{00000000-0005-0000-0000-000034090000}"/>
    <cellStyle name="20% - Accent6 5 3 2 2" xfId="3056" xr:uid="{00000000-0005-0000-0000-000035090000}"/>
    <cellStyle name="20% - Accent6 5 3 2 3" xfId="3055" xr:uid="{00000000-0005-0000-0000-000036090000}"/>
    <cellStyle name="20% - Accent6 5 3 3" xfId="3054" xr:uid="{00000000-0005-0000-0000-000037090000}"/>
    <cellStyle name="20% - Accent6 5 3 4" xfId="3053" xr:uid="{00000000-0005-0000-0000-000038090000}"/>
    <cellStyle name="20% - Accent6 5 3 4 2" xfId="3052" xr:uid="{00000000-0005-0000-0000-000039090000}"/>
    <cellStyle name="20% - Accent6 5 3 5" xfId="3051" xr:uid="{00000000-0005-0000-0000-00003A090000}"/>
    <cellStyle name="20% - Accent6 5 4" xfId="3050" xr:uid="{00000000-0005-0000-0000-00003B090000}"/>
    <cellStyle name="20% - Accent6 5 4 2" xfId="3049" xr:uid="{00000000-0005-0000-0000-00003C090000}"/>
    <cellStyle name="20% - Accent6 5 4 2 2" xfId="3048" xr:uid="{00000000-0005-0000-0000-00003D090000}"/>
    <cellStyle name="20% - Accent6 5 4 2 3" xfId="3047" xr:uid="{00000000-0005-0000-0000-00003E090000}"/>
    <cellStyle name="20% - Accent6 5 4 3" xfId="3046" xr:uid="{00000000-0005-0000-0000-00003F090000}"/>
    <cellStyle name="20% - Accent6 5 4 3 2" xfId="3045" xr:uid="{00000000-0005-0000-0000-000040090000}"/>
    <cellStyle name="20% - Accent6 5 4 4" xfId="3044" xr:uid="{00000000-0005-0000-0000-000041090000}"/>
    <cellStyle name="20% - Accent6 5 5" xfId="3043" xr:uid="{00000000-0005-0000-0000-000042090000}"/>
    <cellStyle name="20% - Accent6 5 5 2" xfId="3042" xr:uid="{00000000-0005-0000-0000-000043090000}"/>
    <cellStyle name="20% - Accent6 5 5 3" xfId="3041" xr:uid="{00000000-0005-0000-0000-000044090000}"/>
    <cellStyle name="20% - Accent6 5 6" xfId="3040" xr:uid="{00000000-0005-0000-0000-000045090000}"/>
    <cellStyle name="20% - Accent6 5 7" xfId="3039" xr:uid="{00000000-0005-0000-0000-000046090000}"/>
    <cellStyle name="20% - Accent6 5 7 2" xfId="3038" xr:uid="{00000000-0005-0000-0000-000047090000}"/>
    <cellStyle name="20% - Accent6 5 8" xfId="3037" xr:uid="{00000000-0005-0000-0000-000048090000}"/>
    <cellStyle name="20% - Accent6 5 9" xfId="3084" xr:uid="{00000000-0005-0000-0000-000019090000}"/>
    <cellStyle name="20% - Accent6 6" xfId="218" xr:uid="{00000000-0005-0000-0000-000039000000}"/>
    <cellStyle name="20% - Accent6 6 2" xfId="3036" xr:uid="{00000000-0005-0000-0000-00004A090000}"/>
    <cellStyle name="20% - Accent6 6 2 2" xfId="3035" xr:uid="{00000000-0005-0000-0000-00004B090000}"/>
    <cellStyle name="20% - Accent6 6 2 2 2" xfId="3034" xr:uid="{00000000-0005-0000-0000-00004C090000}"/>
    <cellStyle name="20% - Accent6 6 2 2 2 2" xfId="3033" xr:uid="{00000000-0005-0000-0000-00004D090000}"/>
    <cellStyle name="20% - Accent6 6 2 2 2 3" xfId="3032" xr:uid="{00000000-0005-0000-0000-00004E090000}"/>
    <cellStyle name="20% - Accent6 6 2 2 3" xfId="3031" xr:uid="{00000000-0005-0000-0000-00004F090000}"/>
    <cellStyle name="20% - Accent6 6 2 2 3 2" xfId="3030" xr:uid="{00000000-0005-0000-0000-000050090000}"/>
    <cellStyle name="20% - Accent6 6 2 2 4" xfId="3029" xr:uid="{00000000-0005-0000-0000-000051090000}"/>
    <cellStyle name="20% - Accent6 6 2 3" xfId="3028" xr:uid="{00000000-0005-0000-0000-000052090000}"/>
    <cellStyle name="20% - Accent6 6 2 3 2" xfId="3027" xr:uid="{00000000-0005-0000-0000-000053090000}"/>
    <cellStyle name="20% - Accent6 6 2 3 3" xfId="3026" xr:uid="{00000000-0005-0000-0000-000054090000}"/>
    <cellStyle name="20% - Accent6 6 2 4" xfId="3025" xr:uid="{00000000-0005-0000-0000-000055090000}"/>
    <cellStyle name="20% - Accent6 6 2 5" xfId="3024" xr:uid="{00000000-0005-0000-0000-000056090000}"/>
    <cellStyle name="20% - Accent6 6 2 5 2" xfId="3023" xr:uid="{00000000-0005-0000-0000-000057090000}"/>
    <cellStyle name="20% - Accent6 6 2 6" xfId="3022" xr:uid="{00000000-0005-0000-0000-000058090000}"/>
    <cellStyle name="20% - Accent6 6 3" xfId="3021" xr:uid="{00000000-0005-0000-0000-000059090000}"/>
    <cellStyle name="20% - Accent6 6 3 2" xfId="3020" xr:uid="{00000000-0005-0000-0000-00005A090000}"/>
    <cellStyle name="20% - Accent6 6 3 2 2" xfId="3019" xr:uid="{00000000-0005-0000-0000-00005B090000}"/>
    <cellStyle name="20% - Accent6 6 3 2 3" xfId="3018" xr:uid="{00000000-0005-0000-0000-00005C090000}"/>
    <cellStyle name="20% - Accent6 6 3 3" xfId="3017" xr:uid="{00000000-0005-0000-0000-00005D090000}"/>
    <cellStyle name="20% - Accent6 6 3 3 2" xfId="3016" xr:uid="{00000000-0005-0000-0000-00005E090000}"/>
    <cellStyle name="20% - Accent6 6 3 4" xfId="3015" xr:uid="{00000000-0005-0000-0000-00005F090000}"/>
    <cellStyle name="20% - Accent6 6 4" xfId="3014" xr:uid="{00000000-0005-0000-0000-000060090000}"/>
    <cellStyle name="20% - Accent6 6 5" xfId="3013" xr:uid="{00000000-0005-0000-0000-000061090000}"/>
    <cellStyle name="20% - Accent6 7" xfId="219" xr:uid="{00000000-0005-0000-0000-00003A000000}"/>
    <cellStyle name="20% - Accent6 7 2" xfId="3012" xr:uid="{00000000-0005-0000-0000-000063090000}"/>
    <cellStyle name="20% - Accent6 7 3" xfId="3011" xr:uid="{00000000-0005-0000-0000-000064090000}"/>
    <cellStyle name="20% - Accent6 7 4" xfId="3010" xr:uid="{00000000-0005-0000-0000-000065090000}"/>
    <cellStyle name="20% - Accent6 8" xfId="3009" xr:uid="{00000000-0005-0000-0000-000066090000}"/>
    <cellStyle name="20% - Accent6 8 2" xfId="3008" xr:uid="{00000000-0005-0000-0000-000067090000}"/>
    <cellStyle name="20% - Accent6 8 2 2" xfId="3007" xr:uid="{00000000-0005-0000-0000-000068090000}"/>
    <cellStyle name="20% - Accent6 8 2 3" xfId="3006" xr:uid="{00000000-0005-0000-0000-000069090000}"/>
    <cellStyle name="20% - Accent6 8 2 3 2" xfId="3005" xr:uid="{00000000-0005-0000-0000-00006A090000}"/>
    <cellStyle name="20% - Accent6 8 3" xfId="3004" xr:uid="{00000000-0005-0000-0000-00006B090000}"/>
    <cellStyle name="20% - Accent6 8 4" xfId="3003" xr:uid="{00000000-0005-0000-0000-00006C090000}"/>
    <cellStyle name="20% - Accent6 8 4 2" xfId="2868" xr:uid="{00000000-0005-0000-0000-00006D090000}"/>
    <cellStyle name="20% - Accent6 8 5" xfId="2932" xr:uid="{00000000-0005-0000-0000-00006E090000}"/>
    <cellStyle name="20% - Accent6 9" xfId="2929" xr:uid="{00000000-0005-0000-0000-00006F090000}"/>
    <cellStyle name="20% - Accent6 9 2" xfId="2997" xr:uid="{00000000-0005-0000-0000-000070090000}"/>
    <cellStyle name="20% - Accent6 9 2 2" xfId="172" xr:uid="{00000000-0005-0000-0000-000071090000}"/>
    <cellStyle name="20% - Accent6 9 2 3" xfId="435" xr:uid="{00000000-0005-0000-0000-000072090000}"/>
    <cellStyle name="20% - Accent6 9 3" xfId="593" xr:uid="{00000000-0005-0000-0000-000073090000}"/>
    <cellStyle name="20% - Accent6 9 4" xfId="171" xr:uid="{00000000-0005-0000-0000-000074090000}"/>
    <cellStyle name="20% - Accent6 9 4 2" xfId="625" xr:uid="{00000000-0005-0000-0000-000075090000}"/>
    <cellStyle name="20% - Accent6 9 5" xfId="2941" xr:uid="{00000000-0005-0000-0000-000076090000}"/>
    <cellStyle name="2decimal" xfId="220" xr:uid="{00000000-0005-0000-0000-00003B000000}"/>
    <cellStyle name="40% - Accent1" xfId="83" builtinId="31" customBuiltin="1"/>
    <cellStyle name="40% - Accent1 10" xfId="2942" xr:uid="{00000000-0005-0000-0000-000078090000}"/>
    <cellStyle name="40% - Accent1 10 2" xfId="2866" xr:uid="{00000000-0005-0000-0000-000079090000}"/>
    <cellStyle name="40% - Accent1 10 2 2" xfId="173" xr:uid="{00000000-0005-0000-0000-00007A090000}"/>
    <cellStyle name="40% - Accent1 10 2 3" xfId="429" xr:uid="{00000000-0005-0000-0000-00007B090000}"/>
    <cellStyle name="40% - Accent1 10 3" xfId="2865" xr:uid="{00000000-0005-0000-0000-00007C090000}"/>
    <cellStyle name="40% - Accent1 10 4" xfId="2872" xr:uid="{00000000-0005-0000-0000-00007D090000}"/>
    <cellStyle name="40% - Accent1 10 4 2" xfId="3001" xr:uid="{00000000-0005-0000-0000-00007E090000}"/>
    <cellStyle name="40% - Accent1 10 5" xfId="3000" xr:uid="{00000000-0005-0000-0000-00007F090000}"/>
    <cellStyle name="40% - Accent1 11" xfId="2999" xr:uid="{00000000-0005-0000-0000-000080090000}"/>
    <cellStyle name="40% - Accent1 11 2" xfId="2998" xr:uid="{00000000-0005-0000-0000-000081090000}"/>
    <cellStyle name="40% - Accent1 11 3" xfId="3002" xr:uid="{00000000-0005-0000-0000-000082090000}"/>
    <cellStyle name="40% - Accent1 11 3 2" xfId="5632" xr:uid="{00000000-0005-0000-0000-000083090000}"/>
    <cellStyle name="40% - Accent1 12" xfId="5633" xr:uid="{00000000-0005-0000-0000-000084090000}"/>
    <cellStyle name="40% - Accent1 12 2" xfId="5634" xr:uid="{00000000-0005-0000-0000-000085090000}"/>
    <cellStyle name="40% - Accent1 12 3" xfId="5635" xr:uid="{00000000-0005-0000-0000-000086090000}"/>
    <cellStyle name="40% - Accent1 13" xfId="5636" xr:uid="{00000000-0005-0000-0000-000087090000}"/>
    <cellStyle name="40% - Accent1 13 2" xfId="5637" xr:uid="{00000000-0005-0000-0000-000088090000}"/>
    <cellStyle name="40% - Accent1 13 3" xfId="5638" xr:uid="{00000000-0005-0000-0000-000089090000}"/>
    <cellStyle name="40% - Accent1 14" xfId="5639" xr:uid="{00000000-0005-0000-0000-00008A090000}"/>
    <cellStyle name="40% - Accent1 14 2" xfId="5640" xr:uid="{00000000-0005-0000-0000-00008B090000}"/>
    <cellStyle name="40% - Accent1 15" xfId="5641" xr:uid="{00000000-0005-0000-0000-00008C090000}"/>
    <cellStyle name="40% - Accent1 16" xfId="5642" xr:uid="{00000000-0005-0000-0000-00008D090000}"/>
    <cellStyle name="40% - Accent1 2" xfId="221" xr:uid="{00000000-0005-0000-0000-00003C000000}"/>
    <cellStyle name="40% - Accent1 2 2" xfId="5643" xr:uid="{00000000-0005-0000-0000-00008F090000}"/>
    <cellStyle name="40% - Accent1 2 3" xfId="5644" xr:uid="{00000000-0005-0000-0000-000090090000}"/>
    <cellStyle name="40% - Accent1 2 3 2" xfId="5645" xr:uid="{00000000-0005-0000-0000-000091090000}"/>
    <cellStyle name="40% - Accent1 2 3 2 2" xfId="5646" xr:uid="{00000000-0005-0000-0000-000092090000}"/>
    <cellStyle name="40% - Accent1 2 3 2 2 2" xfId="5647" xr:uid="{00000000-0005-0000-0000-000093090000}"/>
    <cellStyle name="40% - Accent1 2 3 2 2 2 2" xfId="5648" xr:uid="{00000000-0005-0000-0000-000094090000}"/>
    <cellStyle name="40% - Accent1 2 3 2 2 2 3" xfId="5649" xr:uid="{00000000-0005-0000-0000-000095090000}"/>
    <cellStyle name="40% - Accent1 2 3 2 2 3" xfId="5650" xr:uid="{00000000-0005-0000-0000-000096090000}"/>
    <cellStyle name="40% - Accent1 2 3 2 2 3 2" xfId="5651" xr:uid="{00000000-0005-0000-0000-000097090000}"/>
    <cellStyle name="40% - Accent1 2 3 2 2 4" xfId="5652" xr:uid="{00000000-0005-0000-0000-000098090000}"/>
    <cellStyle name="40% - Accent1 2 3 2 3" xfId="5653" xr:uid="{00000000-0005-0000-0000-000099090000}"/>
    <cellStyle name="40% - Accent1 2 3 2 3 2" xfId="5654" xr:uid="{00000000-0005-0000-0000-00009A090000}"/>
    <cellStyle name="40% - Accent1 2 3 2 3 2 2" xfId="5655" xr:uid="{00000000-0005-0000-0000-00009B090000}"/>
    <cellStyle name="40% - Accent1 2 3 2 3 2 3" xfId="5656" xr:uid="{00000000-0005-0000-0000-00009C090000}"/>
    <cellStyle name="40% - Accent1 2 3 2 3 3" xfId="5657" xr:uid="{00000000-0005-0000-0000-00009D090000}"/>
    <cellStyle name="40% - Accent1 2 3 2 3 3 2" xfId="5658" xr:uid="{00000000-0005-0000-0000-00009E090000}"/>
    <cellStyle name="40% - Accent1 2 3 2 3 4" xfId="5659" xr:uid="{00000000-0005-0000-0000-00009F090000}"/>
    <cellStyle name="40% - Accent1 2 3 2 4" xfId="5660" xr:uid="{00000000-0005-0000-0000-0000A0090000}"/>
    <cellStyle name="40% - Accent1 2 3 2 4 2" xfId="5661" xr:uid="{00000000-0005-0000-0000-0000A1090000}"/>
    <cellStyle name="40% - Accent1 2 3 2 4 3" xfId="5662" xr:uid="{00000000-0005-0000-0000-0000A2090000}"/>
    <cellStyle name="40% - Accent1 2 3 2 5" xfId="5663" xr:uid="{00000000-0005-0000-0000-0000A3090000}"/>
    <cellStyle name="40% - Accent1 2 3 2 6" xfId="5664" xr:uid="{00000000-0005-0000-0000-0000A4090000}"/>
    <cellStyle name="40% - Accent1 2 3 2 6 2" xfId="5665" xr:uid="{00000000-0005-0000-0000-0000A5090000}"/>
    <cellStyle name="40% - Accent1 2 3 2 7" xfId="5666" xr:uid="{00000000-0005-0000-0000-0000A6090000}"/>
    <cellStyle name="40% - Accent1 2 3 3" xfId="5667" xr:uid="{00000000-0005-0000-0000-0000A7090000}"/>
    <cellStyle name="40% - Accent1 2 3 3 2" xfId="5668" xr:uid="{00000000-0005-0000-0000-0000A8090000}"/>
    <cellStyle name="40% - Accent1 2 3 3 2 2" xfId="5669" xr:uid="{00000000-0005-0000-0000-0000A9090000}"/>
    <cellStyle name="40% - Accent1 2 3 3 2 3" xfId="5670" xr:uid="{00000000-0005-0000-0000-0000AA090000}"/>
    <cellStyle name="40% - Accent1 2 3 3 3" xfId="5671" xr:uid="{00000000-0005-0000-0000-0000AB090000}"/>
    <cellStyle name="40% - Accent1 2 3 3 3 2" xfId="5672" xr:uid="{00000000-0005-0000-0000-0000AC090000}"/>
    <cellStyle name="40% - Accent1 2 3 3 4" xfId="5673" xr:uid="{00000000-0005-0000-0000-0000AD090000}"/>
    <cellStyle name="40% - Accent1 2 3 4" xfId="5674" xr:uid="{00000000-0005-0000-0000-0000AE090000}"/>
    <cellStyle name="40% - Accent1 2 3 4 2" xfId="5675" xr:uid="{00000000-0005-0000-0000-0000AF090000}"/>
    <cellStyle name="40% - Accent1 2 3 4 2 2" xfId="5676" xr:uid="{00000000-0005-0000-0000-0000B0090000}"/>
    <cellStyle name="40% - Accent1 2 3 4 2 3" xfId="5677" xr:uid="{00000000-0005-0000-0000-0000B1090000}"/>
    <cellStyle name="40% - Accent1 2 3 4 3" xfId="5678" xr:uid="{00000000-0005-0000-0000-0000B2090000}"/>
    <cellStyle name="40% - Accent1 2 3 4 3 2" xfId="5679" xr:uid="{00000000-0005-0000-0000-0000B3090000}"/>
    <cellStyle name="40% - Accent1 2 3 4 4" xfId="5680" xr:uid="{00000000-0005-0000-0000-0000B4090000}"/>
    <cellStyle name="40% - Accent1 2 3 5" xfId="5681" xr:uid="{00000000-0005-0000-0000-0000B5090000}"/>
    <cellStyle name="40% - Accent1 2 3 5 2" xfId="5682" xr:uid="{00000000-0005-0000-0000-0000B6090000}"/>
    <cellStyle name="40% - Accent1 2 3 5 3" xfId="5683" xr:uid="{00000000-0005-0000-0000-0000B7090000}"/>
    <cellStyle name="40% - Accent1 2 3 6" xfId="5684" xr:uid="{00000000-0005-0000-0000-0000B8090000}"/>
    <cellStyle name="40% - Accent1 2 3 7" xfId="5685" xr:uid="{00000000-0005-0000-0000-0000B9090000}"/>
    <cellStyle name="40% - Accent1 2 3 7 2" xfId="5686" xr:uid="{00000000-0005-0000-0000-0000BA090000}"/>
    <cellStyle name="40% - Accent1 2 3 8" xfId="5687" xr:uid="{00000000-0005-0000-0000-0000BB090000}"/>
    <cellStyle name="40% - Accent1 2 4" xfId="5688" xr:uid="{00000000-0005-0000-0000-0000BC090000}"/>
    <cellStyle name="40% - Accent1 2 4 2" xfId="5689" xr:uid="{00000000-0005-0000-0000-0000BD090000}"/>
    <cellStyle name="40% - Accent1 2 4 2 2" xfId="5690" xr:uid="{00000000-0005-0000-0000-0000BE090000}"/>
    <cellStyle name="40% - Accent1 2 4 2 2 2" xfId="5691" xr:uid="{00000000-0005-0000-0000-0000BF090000}"/>
    <cellStyle name="40% - Accent1 2 4 2 2 2 2" xfId="5692" xr:uid="{00000000-0005-0000-0000-0000C0090000}"/>
    <cellStyle name="40% - Accent1 2 4 2 2 2 3" xfId="5693" xr:uid="{00000000-0005-0000-0000-0000C1090000}"/>
    <cellStyle name="40% - Accent1 2 4 2 2 3" xfId="5694" xr:uid="{00000000-0005-0000-0000-0000C2090000}"/>
    <cellStyle name="40% - Accent1 2 4 2 2 3 2" xfId="5695" xr:uid="{00000000-0005-0000-0000-0000C3090000}"/>
    <cellStyle name="40% - Accent1 2 4 2 2 4" xfId="5696" xr:uid="{00000000-0005-0000-0000-0000C4090000}"/>
    <cellStyle name="40% - Accent1 2 4 2 3" xfId="5697" xr:uid="{00000000-0005-0000-0000-0000C5090000}"/>
    <cellStyle name="40% - Accent1 2 4 2 3 2" xfId="5698" xr:uid="{00000000-0005-0000-0000-0000C6090000}"/>
    <cellStyle name="40% - Accent1 2 4 2 3 2 2" xfId="5699" xr:uid="{00000000-0005-0000-0000-0000C7090000}"/>
    <cellStyle name="40% - Accent1 2 4 2 3 2 3" xfId="5700" xr:uid="{00000000-0005-0000-0000-0000C8090000}"/>
    <cellStyle name="40% - Accent1 2 4 2 3 3" xfId="5701" xr:uid="{00000000-0005-0000-0000-0000C9090000}"/>
    <cellStyle name="40% - Accent1 2 4 2 3 3 2" xfId="5702" xr:uid="{00000000-0005-0000-0000-0000CA090000}"/>
    <cellStyle name="40% - Accent1 2 4 2 3 4" xfId="5703" xr:uid="{00000000-0005-0000-0000-0000CB090000}"/>
    <cellStyle name="40% - Accent1 2 4 2 4" xfId="5704" xr:uid="{00000000-0005-0000-0000-0000CC090000}"/>
    <cellStyle name="40% - Accent1 2 4 2 4 2" xfId="5705" xr:uid="{00000000-0005-0000-0000-0000CD090000}"/>
    <cellStyle name="40% - Accent1 2 4 2 4 3" xfId="5706" xr:uid="{00000000-0005-0000-0000-0000CE090000}"/>
    <cellStyle name="40% - Accent1 2 4 2 5" xfId="5707" xr:uid="{00000000-0005-0000-0000-0000CF090000}"/>
    <cellStyle name="40% - Accent1 2 4 2 6" xfId="5708" xr:uid="{00000000-0005-0000-0000-0000D0090000}"/>
    <cellStyle name="40% - Accent1 2 4 2 6 2" xfId="5709" xr:uid="{00000000-0005-0000-0000-0000D1090000}"/>
    <cellStyle name="40% - Accent1 2 4 2 7" xfId="5710" xr:uid="{00000000-0005-0000-0000-0000D2090000}"/>
    <cellStyle name="40% - Accent1 2 4 3" xfId="5711" xr:uid="{00000000-0005-0000-0000-0000D3090000}"/>
    <cellStyle name="40% - Accent1 2 4 3 2" xfId="5712" xr:uid="{00000000-0005-0000-0000-0000D4090000}"/>
    <cellStyle name="40% - Accent1 2 4 3 2 2" xfId="5713" xr:uid="{00000000-0005-0000-0000-0000D5090000}"/>
    <cellStyle name="40% - Accent1 2 4 3 2 3" xfId="5714" xr:uid="{00000000-0005-0000-0000-0000D6090000}"/>
    <cellStyle name="40% - Accent1 2 4 3 3" xfId="5715" xr:uid="{00000000-0005-0000-0000-0000D7090000}"/>
    <cellStyle name="40% - Accent1 2 4 3 3 2" xfId="5716" xr:uid="{00000000-0005-0000-0000-0000D8090000}"/>
    <cellStyle name="40% - Accent1 2 4 3 4" xfId="5717" xr:uid="{00000000-0005-0000-0000-0000D9090000}"/>
    <cellStyle name="40% - Accent1 2 4 4" xfId="5718" xr:uid="{00000000-0005-0000-0000-0000DA090000}"/>
    <cellStyle name="40% - Accent1 2 4 4 2" xfId="5719" xr:uid="{00000000-0005-0000-0000-0000DB090000}"/>
    <cellStyle name="40% - Accent1 2 4 4 2 2" xfId="5720" xr:uid="{00000000-0005-0000-0000-0000DC090000}"/>
    <cellStyle name="40% - Accent1 2 4 4 2 3" xfId="5721" xr:uid="{00000000-0005-0000-0000-0000DD090000}"/>
    <cellStyle name="40% - Accent1 2 4 4 3" xfId="5722" xr:uid="{00000000-0005-0000-0000-0000DE090000}"/>
    <cellStyle name="40% - Accent1 2 4 4 3 2" xfId="5723" xr:uid="{00000000-0005-0000-0000-0000DF090000}"/>
    <cellStyle name="40% - Accent1 2 4 4 4" xfId="5724" xr:uid="{00000000-0005-0000-0000-0000E0090000}"/>
    <cellStyle name="40% - Accent1 2 4 5" xfId="5725" xr:uid="{00000000-0005-0000-0000-0000E1090000}"/>
    <cellStyle name="40% - Accent1 2 4 5 2" xfId="5726" xr:uid="{00000000-0005-0000-0000-0000E2090000}"/>
    <cellStyle name="40% - Accent1 2 4 5 3" xfId="5727" xr:uid="{00000000-0005-0000-0000-0000E3090000}"/>
    <cellStyle name="40% - Accent1 2 4 6" xfId="5728" xr:uid="{00000000-0005-0000-0000-0000E4090000}"/>
    <cellStyle name="40% - Accent1 2 4 7" xfId="5729" xr:uid="{00000000-0005-0000-0000-0000E5090000}"/>
    <cellStyle name="40% - Accent1 2 4 7 2" xfId="5730" xr:uid="{00000000-0005-0000-0000-0000E6090000}"/>
    <cellStyle name="40% - Accent1 2 4 8" xfId="5731" xr:uid="{00000000-0005-0000-0000-0000E7090000}"/>
    <cellStyle name="40% - Accent1 2 5" xfId="5732" xr:uid="{00000000-0005-0000-0000-0000E8090000}"/>
    <cellStyle name="40% - Accent1 2 5 2" xfId="5733" xr:uid="{00000000-0005-0000-0000-0000E9090000}"/>
    <cellStyle name="40% - Accent1 2 5 2 2" xfId="5734" xr:uid="{00000000-0005-0000-0000-0000EA090000}"/>
    <cellStyle name="40% - Accent1 2 5 2 2 2" xfId="5735" xr:uid="{00000000-0005-0000-0000-0000EB090000}"/>
    <cellStyle name="40% - Accent1 2 5 2 2 2 2" xfId="5736" xr:uid="{00000000-0005-0000-0000-0000EC090000}"/>
    <cellStyle name="40% - Accent1 2 5 2 2 2 3" xfId="5737" xr:uid="{00000000-0005-0000-0000-0000ED090000}"/>
    <cellStyle name="40% - Accent1 2 5 2 2 3" xfId="5738" xr:uid="{00000000-0005-0000-0000-0000EE090000}"/>
    <cellStyle name="40% - Accent1 2 5 2 2 3 2" xfId="5739" xr:uid="{00000000-0005-0000-0000-0000EF090000}"/>
    <cellStyle name="40% - Accent1 2 5 2 2 4" xfId="5740" xr:uid="{00000000-0005-0000-0000-0000F0090000}"/>
    <cellStyle name="40% - Accent1 2 5 2 3" xfId="5741" xr:uid="{00000000-0005-0000-0000-0000F1090000}"/>
    <cellStyle name="40% - Accent1 2 5 2 3 2" xfId="5742" xr:uid="{00000000-0005-0000-0000-0000F2090000}"/>
    <cellStyle name="40% - Accent1 2 5 2 3 2 2" xfId="5743" xr:uid="{00000000-0005-0000-0000-0000F3090000}"/>
    <cellStyle name="40% - Accent1 2 5 2 3 2 3" xfId="5744" xr:uid="{00000000-0005-0000-0000-0000F4090000}"/>
    <cellStyle name="40% - Accent1 2 5 2 3 3" xfId="5745" xr:uid="{00000000-0005-0000-0000-0000F5090000}"/>
    <cellStyle name="40% - Accent1 2 5 2 3 3 2" xfId="5746" xr:uid="{00000000-0005-0000-0000-0000F6090000}"/>
    <cellStyle name="40% - Accent1 2 5 2 3 4" xfId="5747" xr:uid="{00000000-0005-0000-0000-0000F7090000}"/>
    <cellStyle name="40% - Accent1 2 5 2 4" xfId="5748" xr:uid="{00000000-0005-0000-0000-0000F8090000}"/>
    <cellStyle name="40% - Accent1 2 5 2 4 2" xfId="5749" xr:uid="{00000000-0005-0000-0000-0000F9090000}"/>
    <cellStyle name="40% - Accent1 2 5 2 4 3" xfId="5750" xr:uid="{00000000-0005-0000-0000-0000FA090000}"/>
    <cellStyle name="40% - Accent1 2 5 2 5" xfId="5751" xr:uid="{00000000-0005-0000-0000-0000FB090000}"/>
    <cellStyle name="40% - Accent1 2 5 2 6" xfId="5752" xr:uid="{00000000-0005-0000-0000-0000FC090000}"/>
    <cellStyle name="40% - Accent1 2 5 2 6 2" xfId="5753" xr:uid="{00000000-0005-0000-0000-0000FD090000}"/>
    <cellStyle name="40% - Accent1 2 5 2 7" xfId="5754" xr:uid="{00000000-0005-0000-0000-0000FE090000}"/>
    <cellStyle name="40% - Accent1 2 5 3" xfId="5755" xr:uid="{00000000-0005-0000-0000-0000FF090000}"/>
    <cellStyle name="40% - Accent1 2 5 3 2" xfId="5756" xr:uid="{00000000-0005-0000-0000-0000000A0000}"/>
    <cellStyle name="40% - Accent1 2 5 3 2 2" xfId="5757" xr:uid="{00000000-0005-0000-0000-0000010A0000}"/>
    <cellStyle name="40% - Accent1 2 5 3 2 3" xfId="5758" xr:uid="{00000000-0005-0000-0000-0000020A0000}"/>
    <cellStyle name="40% - Accent1 2 5 3 3" xfId="5759" xr:uid="{00000000-0005-0000-0000-0000030A0000}"/>
    <cellStyle name="40% - Accent1 2 5 3 3 2" xfId="5760" xr:uid="{00000000-0005-0000-0000-0000040A0000}"/>
    <cellStyle name="40% - Accent1 2 5 3 4" xfId="5761" xr:uid="{00000000-0005-0000-0000-0000050A0000}"/>
    <cellStyle name="40% - Accent1 2 5 4" xfId="5762" xr:uid="{00000000-0005-0000-0000-0000060A0000}"/>
    <cellStyle name="40% - Accent1 2 5 4 2" xfId="5763" xr:uid="{00000000-0005-0000-0000-0000070A0000}"/>
    <cellStyle name="40% - Accent1 2 5 4 2 2" xfId="5764" xr:uid="{00000000-0005-0000-0000-0000080A0000}"/>
    <cellStyle name="40% - Accent1 2 5 4 2 3" xfId="5765" xr:uid="{00000000-0005-0000-0000-0000090A0000}"/>
    <cellStyle name="40% - Accent1 2 5 4 3" xfId="5766" xr:uid="{00000000-0005-0000-0000-00000A0A0000}"/>
    <cellStyle name="40% - Accent1 2 5 4 3 2" xfId="5767" xr:uid="{00000000-0005-0000-0000-00000B0A0000}"/>
    <cellStyle name="40% - Accent1 2 5 4 4" xfId="5768" xr:uid="{00000000-0005-0000-0000-00000C0A0000}"/>
    <cellStyle name="40% - Accent1 2 5 5" xfId="5769" xr:uid="{00000000-0005-0000-0000-00000D0A0000}"/>
    <cellStyle name="40% - Accent1 2 5 5 2" xfId="5770" xr:uid="{00000000-0005-0000-0000-00000E0A0000}"/>
    <cellStyle name="40% - Accent1 2 5 5 3" xfId="5771" xr:uid="{00000000-0005-0000-0000-00000F0A0000}"/>
    <cellStyle name="40% - Accent1 2 5 6" xfId="5772" xr:uid="{00000000-0005-0000-0000-0000100A0000}"/>
    <cellStyle name="40% - Accent1 2 5 7" xfId="5773" xr:uid="{00000000-0005-0000-0000-0000110A0000}"/>
    <cellStyle name="40% - Accent1 2 5 7 2" xfId="5774" xr:uid="{00000000-0005-0000-0000-0000120A0000}"/>
    <cellStyle name="40% - Accent1 2 5 8" xfId="5775" xr:uid="{00000000-0005-0000-0000-0000130A0000}"/>
    <cellStyle name="40% - Accent1 2 6" xfId="5776" xr:uid="{00000000-0005-0000-0000-0000140A0000}"/>
    <cellStyle name="40% - Accent1 2 6 2" xfId="5777" xr:uid="{00000000-0005-0000-0000-0000150A0000}"/>
    <cellStyle name="40% - Accent1 2 6 2 2" xfId="5778" xr:uid="{00000000-0005-0000-0000-0000160A0000}"/>
    <cellStyle name="40% - Accent1 2 6 2 2 2" xfId="5779" xr:uid="{00000000-0005-0000-0000-0000170A0000}"/>
    <cellStyle name="40% - Accent1 2 6 2 2 2 2" xfId="5780" xr:uid="{00000000-0005-0000-0000-0000180A0000}"/>
    <cellStyle name="40% - Accent1 2 6 2 2 2 3" xfId="5781" xr:uid="{00000000-0005-0000-0000-0000190A0000}"/>
    <cellStyle name="40% - Accent1 2 6 2 2 3" xfId="5782" xr:uid="{00000000-0005-0000-0000-00001A0A0000}"/>
    <cellStyle name="40% - Accent1 2 6 2 2 3 2" xfId="5783" xr:uid="{00000000-0005-0000-0000-00001B0A0000}"/>
    <cellStyle name="40% - Accent1 2 6 2 2 4" xfId="5784" xr:uid="{00000000-0005-0000-0000-00001C0A0000}"/>
    <cellStyle name="40% - Accent1 2 6 2 3" xfId="5785" xr:uid="{00000000-0005-0000-0000-00001D0A0000}"/>
    <cellStyle name="40% - Accent1 2 6 2 3 2" xfId="5786" xr:uid="{00000000-0005-0000-0000-00001E0A0000}"/>
    <cellStyle name="40% - Accent1 2 6 2 3 2 2" xfId="5787" xr:uid="{00000000-0005-0000-0000-00001F0A0000}"/>
    <cellStyle name="40% - Accent1 2 6 2 3 2 3" xfId="5788" xr:uid="{00000000-0005-0000-0000-0000200A0000}"/>
    <cellStyle name="40% - Accent1 2 6 2 3 3" xfId="5789" xr:uid="{00000000-0005-0000-0000-0000210A0000}"/>
    <cellStyle name="40% - Accent1 2 6 2 3 3 2" xfId="5790" xr:uid="{00000000-0005-0000-0000-0000220A0000}"/>
    <cellStyle name="40% - Accent1 2 6 2 3 4" xfId="5791" xr:uid="{00000000-0005-0000-0000-0000230A0000}"/>
    <cellStyle name="40% - Accent1 2 6 2 4" xfId="5792" xr:uid="{00000000-0005-0000-0000-0000240A0000}"/>
    <cellStyle name="40% - Accent1 2 6 2 4 2" xfId="5793" xr:uid="{00000000-0005-0000-0000-0000250A0000}"/>
    <cellStyle name="40% - Accent1 2 6 2 4 3" xfId="5794" xr:uid="{00000000-0005-0000-0000-0000260A0000}"/>
    <cellStyle name="40% - Accent1 2 6 2 5" xfId="5795" xr:uid="{00000000-0005-0000-0000-0000270A0000}"/>
    <cellStyle name="40% - Accent1 2 6 2 6" xfId="5796" xr:uid="{00000000-0005-0000-0000-0000280A0000}"/>
    <cellStyle name="40% - Accent1 2 6 2 6 2" xfId="5797" xr:uid="{00000000-0005-0000-0000-0000290A0000}"/>
    <cellStyle name="40% - Accent1 2 6 2 7" xfId="5798" xr:uid="{00000000-0005-0000-0000-00002A0A0000}"/>
    <cellStyle name="40% - Accent1 2 6 3" xfId="5799" xr:uid="{00000000-0005-0000-0000-00002B0A0000}"/>
    <cellStyle name="40% - Accent1 2 6 3 2" xfId="5800" xr:uid="{00000000-0005-0000-0000-00002C0A0000}"/>
    <cellStyle name="40% - Accent1 2 6 3 2 2" xfId="5801" xr:uid="{00000000-0005-0000-0000-00002D0A0000}"/>
    <cellStyle name="40% - Accent1 2 6 3 2 3" xfId="5802" xr:uid="{00000000-0005-0000-0000-00002E0A0000}"/>
    <cellStyle name="40% - Accent1 2 6 3 3" xfId="5803" xr:uid="{00000000-0005-0000-0000-00002F0A0000}"/>
    <cellStyle name="40% - Accent1 2 6 3 3 2" xfId="5804" xr:uid="{00000000-0005-0000-0000-0000300A0000}"/>
    <cellStyle name="40% - Accent1 2 6 3 4" xfId="5805" xr:uid="{00000000-0005-0000-0000-0000310A0000}"/>
    <cellStyle name="40% - Accent1 2 6 4" xfId="5806" xr:uid="{00000000-0005-0000-0000-0000320A0000}"/>
    <cellStyle name="40% - Accent1 2 6 4 2" xfId="5807" xr:uid="{00000000-0005-0000-0000-0000330A0000}"/>
    <cellStyle name="40% - Accent1 2 6 4 2 2" xfId="5808" xr:uid="{00000000-0005-0000-0000-0000340A0000}"/>
    <cellStyle name="40% - Accent1 2 6 4 2 3" xfId="5809" xr:uid="{00000000-0005-0000-0000-0000350A0000}"/>
    <cellStyle name="40% - Accent1 2 6 4 3" xfId="5810" xr:uid="{00000000-0005-0000-0000-0000360A0000}"/>
    <cellStyle name="40% - Accent1 2 6 4 3 2" xfId="5811" xr:uid="{00000000-0005-0000-0000-0000370A0000}"/>
    <cellStyle name="40% - Accent1 2 6 4 4" xfId="5812" xr:uid="{00000000-0005-0000-0000-0000380A0000}"/>
    <cellStyle name="40% - Accent1 2 6 5" xfId="5813" xr:uid="{00000000-0005-0000-0000-0000390A0000}"/>
    <cellStyle name="40% - Accent1 2 6 5 2" xfId="5814" xr:uid="{00000000-0005-0000-0000-00003A0A0000}"/>
    <cellStyle name="40% - Accent1 2 6 5 3" xfId="5815" xr:uid="{00000000-0005-0000-0000-00003B0A0000}"/>
    <cellStyle name="40% - Accent1 2 6 6" xfId="5816" xr:uid="{00000000-0005-0000-0000-00003C0A0000}"/>
    <cellStyle name="40% - Accent1 2 6 7" xfId="5817" xr:uid="{00000000-0005-0000-0000-00003D0A0000}"/>
    <cellStyle name="40% - Accent1 2 6 7 2" xfId="5818" xr:uid="{00000000-0005-0000-0000-00003E0A0000}"/>
    <cellStyle name="40% - Accent1 2 6 8" xfId="5819" xr:uid="{00000000-0005-0000-0000-00003F0A0000}"/>
    <cellStyle name="40% - Accent1 2 7" xfId="5820" xr:uid="{00000000-0005-0000-0000-0000400A0000}"/>
    <cellStyle name="40% - Accent1 2 7 2" xfId="5821" xr:uid="{00000000-0005-0000-0000-0000410A0000}"/>
    <cellStyle name="40% - Accent1 2 7 2 2" xfId="5822" xr:uid="{00000000-0005-0000-0000-0000420A0000}"/>
    <cellStyle name="40% - Accent1 2 7 2 3" xfId="5823" xr:uid="{00000000-0005-0000-0000-0000430A0000}"/>
    <cellStyle name="40% - Accent1 2 7 3" xfId="5824" xr:uid="{00000000-0005-0000-0000-0000440A0000}"/>
    <cellStyle name="40% - Accent1 2 7 3 2" xfId="5825" xr:uid="{00000000-0005-0000-0000-0000450A0000}"/>
    <cellStyle name="40% - Accent1 2 7 4" xfId="5826" xr:uid="{00000000-0005-0000-0000-0000460A0000}"/>
    <cellStyle name="40% - Accent1 3" xfId="222" xr:uid="{00000000-0005-0000-0000-00003D000000}"/>
    <cellStyle name="40% - Accent1 3 10" xfId="5827" xr:uid="{00000000-0005-0000-0000-0000470A0000}"/>
    <cellStyle name="40% - Accent1 3 2" xfId="5828" xr:uid="{00000000-0005-0000-0000-0000480A0000}"/>
    <cellStyle name="40% - Accent1 3 2 2" xfId="5829" xr:uid="{00000000-0005-0000-0000-0000490A0000}"/>
    <cellStyle name="40% - Accent1 3 2 2 2" xfId="5830" xr:uid="{00000000-0005-0000-0000-00004A0A0000}"/>
    <cellStyle name="40% - Accent1 3 2 2 2 2" xfId="5831" xr:uid="{00000000-0005-0000-0000-00004B0A0000}"/>
    <cellStyle name="40% - Accent1 3 2 2 2 2 2" xfId="5832" xr:uid="{00000000-0005-0000-0000-00004C0A0000}"/>
    <cellStyle name="40% - Accent1 3 2 2 2 2 3" xfId="5833" xr:uid="{00000000-0005-0000-0000-00004D0A0000}"/>
    <cellStyle name="40% - Accent1 3 2 2 2 3" xfId="5834" xr:uid="{00000000-0005-0000-0000-00004E0A0000}"/>
    <cellStyle name="40% - Accent1 3 2 2 2 3 2" xfId="5835" xr:uid="{00000000-0005-0000-0000-00004F0A0000}"/>
    <cellStyle name="40% - Accent1 3 2 2 2 4" xfId="5836" xr:uid="{00000000-0005-0000-0000-0000500A0000}"/>
    <cellStyle name="40% - Accent1 3 2 2 3" xfId="5837" xr:uid="{00000000-0005-0000-0000-0000510A0000}"/>
    <cellStyle name="40% - Accent1 3 2 2 3 2" xfId="5838" xr:uid="{00000000-0005-0000-0000-0000520A0000}"/>
    <cellStyle name="40% - Accent1 3 2 2 3 3" xfId="5839" xr:uid="{00000000-0005-0000-0000-0000530A0000}"/>
    <cellStyle name="40% - Accent1 3 2 2 4" xfId="5840" xr:uid="{00000000-0005-0000-0000-0000540A0000}"/>
    <cellStyle name="40% - Accent1 3 2 2 5" xfId="5841" xr:uid="{00000000-0005-0000-0000-0000550A0000}"/>
    <cellStyle name="40% - Accent1 3 2 2 5 2" xfId="5842" xr:uid="{00000000-0005-0000-0000-0000560A0000}"/>
    <cellStyle name="40% - Accent1 3 2 2 6" xfId="5843" xr:uid="{00000000-0005-0000-0000-0000570A0000}"/>
    <cellStyle name="40% - Accent1 3 2 3" xfId="5844" xr:uid="{00000000-0005-0000-0000-0000580A0000}"/>
    <cellStyle name="40% - Accent1 3 2 3 2" xfId="5845" xr:uid="{00000000-0005-0000-0000-0000590A0000}"/>
    <cellStyle name="40% - Accent1 3 2 3 2 2" xfId="5846" xr:uid="{00000000-0005-0000-0000-00005A0A0000}"/>
    <cellStyle name="40% - Accent1 3 2 3 2 3" xfId="5847" xr:uid="{00000000-0005-0000-0000-00005B0A0000}"/>
    <cellStyle name="40% - Accent1 3 2 3 3" xfId="5848" xr:uid="{00000000-0005-0000-0000-00005C0A0000}"/>
    <cellStyle name="40% - Accent1 3 2 3 3 2" xfId="5849" xr:uid="{00000000-0005-0000-0000-00005D0A0000}"/>
    <cellStyle name="40% - Accent1 3 2 3 4" xfId="5850" xr:uid="{00000000-0005-0000-0000-00005E0A0000}"/>
    <cellStyle name="40% - Accent1 3 2 4" xfId="5851" xr:uid="{00000000-0005-0000-0000-00005F0A0000}"/>
    <cellStyle name="40% - Accent1 3 2 5" xfId="5852" xr:uid="{00000000-0005-0000-0000-0000600A0000}"/>
    <cellStyle name="40% - Accent1 3 3" xfId="5853" xr:uid="{00000000-0005-0000-0000-0000610A0000}"/>
    <cellStyle name="40% - Accent1 3 3 2" xfId="5854" xr:uid="{00000000-0005-0000-0000-0000620A0000}"/>
    <cellStyle name="40% - Accent1 3 3 2 2" xfId="5855" xr:uid="{00000000-0005-0000-0000-0000630A0000}"/>
    <cellStyle name="40% - Accent1 3 3 2 3" xfId="5856" xr:uid="{00000000-0005-0000-0000-0000640A0000}"/>
    <cellStyle name="40% - Accent1 3 3 2 3 2" xfId="5857" xr:uid="{00000000-0005-0000-0000-0000650A0000}"/>
    <cellStyle name="40% - Accent1 3 3 3" xfId="5858" xr:uid="{00000000-0005-0000-0000-0000660A0000}"/>
    <cellStyle name="40% - Accent1 3 3 4" xfId="5859" xr:uid="{00000000-0005-0000-0000-0000670A0000}"/>
    <cellStyle name="40% - Accent1 3 3 4 2" xfId="5860" xr:uid="{00000000-0005-0000-0000-0000680A0000}"/>
    <cellStyle name="40% - Accent1 3 3 5" xfId="5861" xr:uid="{00000000-0005-0000-0000-0000690A0000}"/>
    <cellStyle name="40% - Accent1 3 4" xfId="5862" xr:uid="{00000000-0005-0000-0000-00006A0A0000}"/>
    <cellStyle name="40% - Accent1 3 4 2" xfId="5863" xr:uid="{00000000-0005-0000-0000-00006B0A0000}"/>
    <cellStyle name="40% - Accent1 3 4 2 2" xfId="5864" xr:uid="{00000000-0005-0000-0000-00006C0A0000}"/>
    <cellStyle name="40% - Accent1 3 4 2 3" xfId="5865" xr:uid="{00000000-0005-0000-0000-00006D0A0000}"/>
    <cellStyle name="40% - Accent1 3 4 3" xfId="5866" xr:uid="{00000000-0005-0000-0000-00006E0A0000}"/>
    <cellStyle name="40% - Accent1 3 4 4" xfId="5867" xr:uid="{00000000-0005-0000-0000-00006F0A0000}"/>
    <cellStyle name="40% - Accent1 3 4 4 2" xfId="5868" xr:uid="{00000000-0005-0000-0000-0000700A0000}"/>
    <cellStyle name="40% - Accent1 3 4 5" xfId="5869" xr:uid="{00000000-0005-0000-0000-0000710A0000}"/>
    <cellStyle name="40% - Accent1 3 5" xfId="5870" xr:uid="{00000000-0005-0000-0000-0000720A0000}"/>
    <cellStyle name="40% - Accent1 3 5 2" xfId="5871" xr:uid="{00000000-0005-0000-0000-0000730A0000}"/>
    <cellStyle name="40% - Accent1 3 5 2 2" xfId="5872" xr:uid="{00000000-0005-0000-0000-0000740A0000}"/>
    <cellStyle name="40% - Accent1 3 5 2 3" xfId="5873" xr:uid="{00000000-0005-0000-0000-0000750A0000}"/>
    <cellStyle name="40% - Accent1 3 5 3" xfId="5874" xr:uid="{00000000-0005-0000-0000-0000760A0000}"/>
    <cellStyle name="40% - Accent1 3 5 3 2" xfId="5875" xr:uid="{00000000-0005-0000-0000-0000770A0000}"/>
    <cellStyle name="40% - Accent1 3 5 4" xfId="5876" xr:uid="{00000000-0005-0000-0000-0000780A0000}"/>
    <cellStyle name="40% - Accent1 3 6" xfId="5877" xr:uid="{00000000-0005-0000-0000-0000790A0000}"/>
    <cellStyle name="40% - Accent1 3 6 2" xfId="5878" xr:uid="{00000000-0005-0000-0000-00007A0A0000}"/>
    <cellStyle name="40% - Accent1 3 6 3" xfId="5879" xr:uid="{00000000-0005-0000-0000-00007B0A0000}"/>
    <cellStyle name="40% - Accent1 3 7" xfId="5880" xr:uid="{00000000-0005-0000-0000-00007C0A0000}"/>
    <cellStyle name="40% - Accent1 3 8" xfId="5881" xr:uid="{00000000-0005-0000-0000-00007D0A0000}"/>
    <cellStyle name="40% - Accent1 3 8 2" xfId="5882" xr:uid="{00000000-0005-0000-0000-00007E0A0000}"/>
    <cellStyle name="40% - Accent1 3 9" xfId="5883" xr:uid="{00000000-0005-0000-0000-00007F0A0000}"/>
    <cellStyle name="40% - Accent1 4" xfId="223" xr:uid="{00000000-0005-0000-0000-00003E000000}"/>
    <cellStyle name="40% - Accent1 4 10" xfId="5884" xr:uid="{00000000-0005-0000-0000-0000800A0000}"/>
    <cellStyle name="40% - Accent1 4 2" xfId="5885" xr:uid="{00000000-0005-0000-0000-0000810A0000}"/>
    <cellStyle name="40% - Accent1 4 2 2" xfId="5886" xr:uid="{00000000-0005-0000-0000-0000820A0000}"/>
    <cellStyle name="40% - Accent1 4 2 2 2" xfId="5887" xr:uid="{00000000-0005-0000-0000-0000830A0000}"/>
    <cellStyle name="40% - Accent1 4 2 2 2 2" xfId="5888" xr:uid="{00000000-0005-0000-0000-0000840A0000}"/>
    <cellStyle name="40% - Accent1 4 2 2 2 2 2" xfId="5889" xr:uid="{00000000-0005-0000-0000-0000850A0000}"/>
    <cellStyle name="40% - Accent1 4 2 2 2 2 3" xfId="5890" xr:uid="{00000000-0005-0000-0000-0000860A0000}"/>
    <cellStyle name="40% - Accent1 4 2 2 2 3" xfId="5891" xr:uid="{00000000-0005-0000-0000-0000870A0000}"/>
    <cellStyle name="40% - Accent1 4 2 2 2 3 2" xfId="5892" xr:uid="{00000000-0005-0000-0000-0000880A0000}"/>
    <cellStyle name="40% - Accent1 4 2 2 2 4" xfId="5893" xr:uid="{00000000-0005-0000-0000-0000890A0000}"/>
    <cellStyle name="40% - Accent1 4 2 2 3" xfId="5894" xr:uid="{00000000-0005-0000-0000-00008A0A0000}"/>
    <cellStyle name="40% - Accent1 4 2 2 3 2" xfId="5895" xr:uid="{00000000-0005-0000-0000-00008B0A0000}"/>
    <cellStyle name="40% - Accent1 4 2 2 3 3" xfId="5896" xr:uid="{00000000-0005-0000-0000-00008C0A0000}"/>
    <cellStyle name="40% - Accent1 4 2 2 4" xfId="5897" xr:uid="{00000000-0005-0000-0000-00008D0A0000}"/>
    <cellStyle name="40% - Accent1 4 2 2 5" xfId="5898" xr:uid="{00000000-0005-0000-0000-00008E0A0000}"/>
    <cellStyle name="40% - Accent1 4 2 2 5 2" xfId="5899" xr:uid="{00000000-0005-0000-0000-00008F0A0000}"/>
    <cellStyle name="40% - Accent1 4 2 2 6" xfId="5900" xr:uid="{00000000-0005-0000-0000-0000900A0000}"/>
    <cellStyle name="40% - Accent1 4 2 3" xfId="5901" xr:uid="{00000000-0005-0000-0000-0000910A0000}"/>
    <cellStyle name="40% - Accent1 4 2 3 2" xfId="5902" xr:uid="{00000000-0005-0000-0000-0000920A0000}"/>
    <cellStyle name="40% - Accent1 4 2 3 2 2" xfId="5903" xr:uid="{00000000-0005-0000-0000-0000930A0000}"/>
    <cellStyle name="40% - Accent1 4 2 3 2 3" xfId="5904" xr:uid="{00000000-0005-0000-0000-0000940A0000}"/>
    <cellStyle name="40% - Accent1 4 2 3 3" xfId="5905" xr:uid="{00000000-0005-0000-0000-0000950A0000}"/>
    <cellStyle name="40% - Accent1 4 2 3 3 2" xfId="5906" xr:uid="{00000000-0005-0000-0000-0000960A0000}"/>
    <cellStyle name="40% - Accent1 4 2 3 4" xfId="5907" xr:uid="{00000000-0005-0000-0000-0000970A0000}"/>
    <cellStyle name="40% - Accent1 4 2 4" xfId="5908" xr:uid="{00000000-0005-0000-0000-0000980A0000}"/>
    <cellStyle name="40% - Accent1 4 2 5" xfId="5909" xr:uid="{00000000-0005-0000-0000-0000990A0000}"/>
    <cellStyle name="40% - Accent1 4 3" xfId="5910" xr:uid="{00000000-0005-0000-0000-00009A0A0000}"/>
    <cellStyle name="40% - Accent1 4 3 2" xfId="5911" xr:uid="{00000000-0005-0000-0000-00009B0A0000}"/>
    <cellStyle name="40% - Accent1 4 3 2 2" xfId="5912" xr:uid="{00000000-0005-0000-0000-00009C0A0000}"/>
    <cellStyle name="40% - Accent1 4 3 2 3" xfId="5913" xr:uid="{00000000-0005-0000-0000-00009D0A0000}"/>
    <cellStyle name="40% - Accent1 4 3 3" xfId="5914" xr:uid="{00000000-0005-0000-0000-00009E0A0000}"/>
    <cellStyle name="40% - Accent1 4 3 4" xfId="5915" xr:uid="{00000000-0005-0000-0000-00009F0A0000}"/>
    <cellStyle name="40% - Accent1 4 3 4 2" xfId="5916" xr:uid="{00000000-0005-0000-0000-0000A00A0000}"/>
    <cellStyle name="40% - Accent1 4 3 5" xfId="5917" xr:uid="{00000000-0005-0000-0000-0000A10A0000}"/>
    <cellStyle name="40% - Accent1 4 4" xfId="5918" xr:uid="{00000000-0005-0000-0000-0000A20A0000}"/>
    <cellStyle name="40% - Accent1 4 4 2" xfId="5919" xr:uid="{00000000-0005-0000-0000-0000A30A0000}"/>
    <cellStyle name="40% - Accent1 4 4 2 2" xfId="5920" xr:uid="{00000000-0005-0000-0000-0000A40A0000}"/>
    <cellStyle name="40% - Accent1 4 4 2 3" xfId="5921" xr:uid="{00000000-0005-0000-0000-0000A50A0000}"/>
    <cellStyle name="40% - Accent1 4 4 3" xfId="5922" xr:uid="{00000000-0005-0000-0000-0000A60A0000}"/>
    <cellStyle name="40% - Accent1 4 4 3 2" xfId="5923" xr:uid="{00000000-0005-0000-0000-0000A70A0000}"/>
    <cellStyle name="40% - Accent1 4 4 4" xfId="5924" xr:uid="{00000000-0005-0000-0000-0000A80A0000}"/>
    <cellStyle name="40% - Accent1 4 5" xfId="5925" xr:uid="{00000000-0005-0000-0000-0000A90A0000}"/>
    <cellStyle name="40% - Accent1 4 5 2" xfId="5926" xr:uid="{00000000-0005-0000-0000-0000AA0A0000}"/>
    <cellStyle name="40% - Accent1 4 5 2 2" xfId="5927" xr:uid="{00000000-0005-0000-0000-0000AB0A0000}"/>
    <cellStyle name="40% - Accent1 4 5 2 3" xfId="5928" xr:uid="{00000000-0005-0000-0000-0000AC0A0000}"/>
    <cellStyle name="40% - Accent1 4 5 3" xfId="5929" xr:uid="{00000000-0005-0000-0000-0000AD0A0000}"/>
    <cellStyle name="40% - Accent1 4 5 3 2" xfId="5930" xr:uid="{00000000-0005-0000-0000-0000AE0A0000}"/>
    <cellStyle name="40% - Accent1 4 5 4" xfId="5931" xr:uid="{00000000-0005-0000-0000-0000AF0A0000}"/>
    <cellStyle name="40% - Accent1 4 6" xfId="5932" xr:uid="{00000000-0005-0000-0000-0000B00A0000}"/>
    <cellStyle name="40% - Accent1 4 6 2" xfId="5933" xr:uid="{00000000-0005-0000-0000-0000B10A0000}"/>
    <cellStyle name="40% - Accent1 4 6 3" xfId="5934" xr:uid="{00000000-0005-0000-0000-0000B20A0000}"/>
    <cellStyle name="40% - Accent1 4 7" xfId="5935" xr:uid="{00000000-0005-0000-0000-0000B30A0000}"/>
    <cellStyle name="40% - Accent1 4 8" xfId="5936" xr:uid="{00000000-0005-0000-0000-0000B40A0000}"/>
    <cellStyle name="40% - Accent1 4 8 2" xfId="5937" xr:uid="{00000000-0005-0000-0000-0000B50A0000}"/>
    <cellStyle name="40% - Accent1 4 9" xfId="5938" xr:uid="{00000000-0005-0000-0000-0000B60A0000}"/>
    <cellStyle name="40% - Accent1 5" xfId="224" xr:uid="{00000000-0005-0000-0000-00003F000000}"/>
    <cellStyle name="40% - Accent1 5 2" xfId="5940" xr:uid="{00000000-0005-0000-0000-0000B80A0000}"/>
    <cellStyle name="40% - Accent1 5 2 2" xfId="5941" xr:uid="{00000000-0005-0000-0000-0000B90A0000}"/>
    <cellStyle name="40% - Accent1 5 2 2 2" xfId="5942" xr:uid="{00000000-0005-0000-0000-0000BA0A0000}"/>
    <cellStyle name="40% - Accent1 5 2 2 2 2" xfId="5943" xr:uid="{00000000-0005-0000-0000-0000BB0A0000}"/>
    <cellStyle name="40% - Accent1 5 2 2 2 2 2" xfId="5944" xr:uid="{00000000-0005-0000-0000-0000BC0A0000}"/>
    <cellStyle name="40% - Accent1 5 2 2 2 2 3" xfId="5945" xr:uid="{00000000-0005-0000-0000-0000BD0A0000}"/>
    <cellStyle name="40% - Accent1 5 2 2 2 3" xfId="5946" xr:uid="{00000000-0005-0000-0000-0000BE0A0000}"/>
    <cellStyle name="40% - Accent1 5 2 2 2 3 2" xfId="5947" xr:uid="{00000000-0005-0000-0000-0000BF0A0000}"/>
    <cellStyle name="40% - Accent1 5 2 2 2 4" xfId="5948" xr:uid="{00000000-0005-0000-0000-0000C00A0000}"/>
    <cellStyle name="40% - Accent1 5 2 2 3" xfId="5949" xr:uid="{00000000-0005-0000-0000-0000C10A0000}"/>
    <cellStyle name="40% - Accent1 5 2 2 3 2" xfId="5950" xr:uid="{00000000-0005-0000-0000-0000C20A0000}"/>
    <cellStyle name="40% - Accent1 5 2 2 3 3" xfId="5951" xr:uid="{00000000-0005-0000-0000-0000C30A0000}"/>
    <cellStyle name="40% - Accent1 5 2 2 4" xfId="5952" xr:uid="{00000000-0005-0000-0000-0000C40A0000}"/>
    <cellStyle name="40% - Accent1 5 2 2 5" xfId="5953" xr:uid="{00000000-0005-0000-0000-0000C50A0000}"/>
    <cellStyle name="40% - Accent1 5 2 2 5 2" xfId="5954" xr:uid="{00000000-0005-0000-0000-0000C60A0000}"/>
    <cellStyle name="40% - Accent1 5 2 2 6" xfId="5955" xr:uid="{00000000-0005-0000-0000-0000C70A0000}"/>
    <cellStyle name="40% - Accent1 5 2 3" xfId="5956" xr:uid="{00000000-0005-0000-0000-0000C80A0000}"/>
    <cellStyle name="40% - Accent1 5 2 3 2" xfId="5957" xr:uid="{00000000-0005-0000-0000-0000C90A0000}"/>
    <cellStyle name="40% - Accent1 5 2 3 2 2" xfId="5958" xr:uid="{00000000-0005-0000-0000-0000CA0A0000}"/>
    <cellStyle name="40% - Accent1 5 2 3 2 3" xfId="5959" xr:uid="{00000000-0005-0000-0000-0000CB0A0000}"/>
    <cellStyle name="40% - Accent1 5 2 3 3" xfId="5960" xr:uid="{00000000-0005-0000-0000-0000CC0A0000}"/>
    <cellStyle name="40% - Accent1 5 2 3 3 2" xfId="5961" xr:uid="{00000000-0005-0000-0000-0000CD0A0000}"/>
    <cellStyle name="40% - Accent1 5 2 3 4" xfId="5962" xr:uid="{00000000-0005-0000-0000-0000CE0A0000}"/>
    <cellStyle name="40% - Accent1 5 2 4" xfId="5963" xr:uid="{00000000-0005-0000-0000-0000CF0A0000}"/>
    <cellStyle name="40% - Accent1 5 2 5" xfId="5964" xr:uid="{00000000-0005-0000-0000-0000D00A0000}"/>
    <cellStyle name="40% - Accent1 5 3" xfId="5965" xr:uid="{00000000-0005-0000-0000-0000D10A0000}"/>
    <cellStyle name="40% - Accent1 5 3 2" xfId="5966" xr:uid="{00000000-0005-0000-0000-0000D20A0000}"/>
    <cellStyle name="40% - Accent1 5 3 2 2" xfId="5967" xr:uid="{00000000-0005-0000-0000-0000D30A0000}"/>
    <cellStyle name="40% - Accent1 5 3 2 3" xfId="5968" xr:uid="{00000000-0005-0000-0000-0000D40A0000}"/>
    <cellStyle name="40% - Accent1 5 3 3" xfId="5969" xr:uid="{00000000-0005-0000-0000-0000D50A0000}"/>
    <cellStyle name="40% - Accent1 5 3 4" xfId="5970" xr:uid="{00000000-0005-0000-0000-0000D60A0000}"/>
    <cellStyle name="40% - Accent1 5 3 4 2" xfId="5971" xr:uid="{00000000-0005-0000-0000-0000D70A0000}"/>
    <cellStyle name="40% - Accent1 5 3 5" xfId="5972" xr:uid="{00000000-0005-0000-0000-0000D80A0000}"/>
    <cellStyle name="40% - Accent1 5 4" xfId="5973" xr:uid="{00000000-0005-0000-0000-0000D90A0000}"/>
    <cellStyle name="40% - Accent1 5 4 2" xfId="5974" xr:uid="{00000000-0005-0000-0000-0000DA0A0000}"/>
    <cellStyle name="40% - Accent1 5 4 2 2" xfId="5975" xr:uid="{00000000-0005-0000-0000-0000DB0A0000}"/>
    <cellStyle name="40% - Accent1 5 4 2 3" xfId="5976" xr:uid="{00000000-0005-0000-0000-0000DC0A0000}"/>
    <cellStyle name="40% - Accent1 5 4 3" xfId="5977" xr:uid="{00000000-0005-0000-0000-0000DD0A0000}"/>
    <cellStyle name="40% - Accent1 5 4 3 2" xfId="5978" xr:uid="{00000000-0005-0000-0000-0000DE0A0000}"/>
    <cellStyle name="40% - Accent1 5 4 4" xfId="5979" xr:uid="{00000000-0005-0000-0000-0000DF0A0000}"/>
    <cellStyle name="40% - Accent1 5 5" xfId="5980" xr:uid="{00000000-0005-0000-0000-0000E00A0000}"/>
    <cellStyle name="40% - Accent1 5 5 2" xfId="5981" xr:uid="{00000000-0005-0000-0000-0000E10A0000}"/>
    <cellStyle name="40% - Accent1 5 5 3" xfId="5982" xr:uid="{00000000-0005-0000-0000-0000E20A0000}"/>
    <cellStyle name="40% - Accent1 5 6" xfId="5983" xr:uid="{00000000-0005-0000-0000-0000E30A0000}"/>
    <cellStyle name="40% - Accent1 5 7" xfId="5984" xr:uid="{00000000-0005-0000-0000-0000E40A0000}"/>
    <cellStyle name="40% - Accent1 5 7 2" xfId="5985" xr:uid="{00000000-0005-0000-0000-0000E50A0000}"/>
    <cellStyle name="40% - Accent1 5 8" xfId="5986" xr:uid="{00000000-0005-0000-0000-0000E60A0000}"/>
    <cellStyle name="40% - Accent1 5 9" xfId="5939" xr:uid="{00000000-0005-0000-0000-0000B70A0000}"/>
    <cellStyle name="40% - Accent1 6" xfId="225" xr:uid="{00000000-0005-0000-0000-000040000000}"/>
    <cellStyle name="40% - Accent1 6 2" xfId="5987" xr:uid="{00000000-0005-0000-0000-0000E80A0000}"/>
    <cellStyle name="40% - Accent1 6 2 2" xfId="5988" xr:uid="{00000000-0005-0000-0000-0000E90A0000}"/>
    <cellStyle name="40% - Accent1 6 2 2 2" xfId="5989" xr:uid="{00000000-0005-0000-0000-0000EA0A0000}"/>
    <cellStyle name="40% - Accent1 6 2 2 2 2" xfId="5990" xr:uid="{00000000-0005-0000-0000-0000EB0A0000}"/>
    <cellStyle name="40% - Accent1 6 2 2 2 3" xfId="5991" xr:uid="{00000000-0005-0000-0000-0000EC0A0000}"/>
    <cellStyle name="40% - Accent1 6 2 2 3" xfId="5992" xr:uid="{00000000-0005-0000-0000-0000ED0A0000}"/>
    <cellStyle name="40% - Accent1 6 2 2 3 2" xfId="5993" xr:uid="{00000000-0005-0000-0000-0000EE0A0000}"/>
    <cellStyle name="40% - Accent1 6 2 2 4" xfId="5994" xr:uid="{00000000-0005-0000-0000-0000EF0A0000}"/>
    <cellStyle name="40% - Accent1 6 2 3" xfId="5995" xr:uid="{00000000-0005-0000-0000-0000F00A0000}"/>
    <cellStyle name="40% - Accent1 6 2 3 2" xfId="5996" xr:uid="{00000000-0005-0000-0000-0000F10A0000}"/>
    <cellStyle name="40% - Accent1 6 2 3 3" xfId="5997" xr:uid="{00000000-0005-0000-0000-0000F20A0000}"/>
    <cellStyle name="40% - Accent1 6 2 4" xfId="5998" xr:uid="{00000000-0005-0000-0000-0000F30A0000}"/>
    <cellStyle name="40% - Accent1 6 2 5" xfId="5999" xr:uid="{00000000-0005-0000-0000-0000F40A0000}"/>
    <cellStyle name="40% - Accent1 6 2 5 2" xfId="6000" xr:uid="{00000000-0005-0000-0000-0000F50A0000}"/>
    <cellStyle name="40% - Accent1 6 2 6" xfId="6001" xr:uid="{00000000-0005-0000-0000-0000F60A0000}"/>
    <cellStyle name="40% - Accent1 6 3" xfId="6002" xr:uid="{00000000-0005-0000-0000-0000F70A0000}"/>
    <cellStyle name="40% - Accent1 6 3 2" xfId="6003" xr:uid="{00000000-0005-0000-0000-0000F80A0000}"/>
    <cellStyle name="40% - Accent1 6 3 2 2" xfId="6004" xr:uid="{00000000-0005-0000-0000-0000F90A0000}"/>
    <cellStyle name="40% - Accent1 6 3 2 3" xfId="6005" xr:uid="{00000000-0005-0000-0000-0000FA0A0000}"/>
    <cellStyle name="40% - Accent1 6 3 3" xfId="6006" xr:uid="{00000000-0005-0000-0000-0000FB0A0000}"/>
    <cellStyle name="40% - Accent1 6 3 3 2" xfId="6007" xr:uid="{00000000-0005-0000-0000-0000FC0A0000}"/>
    <cellStyle name="40% - Accent1 6 3 4" xfId="6008" xr:uid="{00000000-0005-0000-0000-0000FD0A0000}"/>
    <cellStyle name="40% - Accent1 6 4" xfId="6009" xr:uid="{00000000-0005-0000-0000-0000FE0A0000}"/>
    <cellStyle name="40% - Accent1 6 5" xfId="6010" xr:uid="{00000000-0005-0000-0000-0000FF0A0000}"/>
    <cellStyle name="40% - Accent1 7" xfId="226" xr:uid="{00000000-0005-0000-0000-000041000000}"/>
    <cellStyle name="40% - Accent1 7 2" xfId="6011" xr:uid="{00000000-0005-0000-0000-0000010B0000}"/>
    <cellStyle name="40% - Accent1 7 3" xfId="6012" xr:uid="{00000000-0005-0000-0000-0000020B0000}"/>
    <cellStyle name="40% - Accent1 7 4" xfId="6013" xr:uid="{00000000-0005-0000-0000-0000030B0000}"/>
    <cellStyle name="40% - Accent1 8" xfId="6014" xr:uid="{00000000-0005-0000-0000-0000040B0000}"/>
    <cellStyle name="40% - Accent1 8 2" xfId="6015" xr:uid="{00000000-0005-0000-0000-0000050B0000}"/>
    <cellStyle name="40% - Accent1 8 2 2" xfId="6016" xr:uid="{00000000-0005-0000-0000-0000060B0000}"/>
    <cellStyle name="40% - Accent1 8 2 3" xfId="6017" xr:uid="{00000000-0005-0000-0000-0000070B0000}"/>
    <cellStyle name="40% - Accent1 8 2 3 2" xfId="6018" xr:uid="{00000000-0005-0000-0000-0000080B0000}"/>
    <cellStyle name="40% - Accent1 8 3" xfId="6019" xr:uid="{00000000-0005-0000-0000-0000090B0000}"/>
    <cellStyle name="40% - Accent1 8 4" xfId="6020" xr:uid="{00000000-0005-0000-0000-00000A0B0000}"/>
    <cellStyle name="40% - Accent1 8 4 2" xfId="6021" xr:uid="{00000000-0005-0000-0000-00000B0B0000}"/>
    <cellStyle name="40% - Accent1 8 5" xfId="6022" xr:uid="{00000000-0005-0000-0000-00000C0B0000}"/>
    <cellStyle name="40% - Accent1 9" xfId="6023" xr:uid="{00000000-0005-0000-0000-00000D0B0000}"/>
    <cellStyle name="40% - Accent1 9 2" xfId="6024" xr:uid="{00000000-0005-0000-0000-00000E0B0000}"/>
    <cellStyle name="40% - Accent1 9 2 2" xfId="6025" xr:uid="{00000000-0005-0000-0000-00000F0B0000}"/>
    <cellStyle name="40% - Accent1 9 2 3" xfId="6026" xr:uid="{00000000-0005-0000-0000-0000100B0000}"/>
    <cellStyle name="40% - Accent1 9 3" xfId="6027" xr:uid="{00000000-0005-0000-0000-0000110B0000}"/>
    <cellStyle name="40% - Accent1 9 4" xfId="6028" xr:uid="{00000000-0005-0000-0000-0000120B0000}"/>
    <cellStyle name="40% - Accent1 9 4 2" xfId="6029" xr:uid="{00000000-0005-0000-0000-0000130B0000}"/>
    <cellStyle name="40% - Accent1 9 5" xfId="6030" xr:uid="{00000000-0005-0000-0000-0000140B0000}"/>
    <cellStyle name="40% - Accent2" xfId="87" builtinId="35" customBuiltin="1"/>
    <cellStyle name="40% - Accent2 10" xfId="6031" xr:uid="{00000000-0005-0000-0000-0000150B0000}"/>
    <cellStyle name="40% - Accent2 10 2" xfId="6032" xr:uid="{00000000-0005-0000-0000-0000160B0000}"/>
    <cellStyle name="40% - Accent2 10 2 2" xfId="6033" xr:uid="{00000000-0005-0000-0000-0000170B0000}"/>
    <cellStyle name="40% - Accent2 10 2 3" xfId="6034" xr:uid="{00000000-0005-0000-0000-0000180B0000}"/>
    <cellStyle name="40% - Accent2 10 3" xfId="6035" xr:uid="{00000000-0005-0000-0000-0000190B0000}"/>
    <cellStyle name="40% - Accent2 10 4" xfId="6036" xr:uid="{00000000-0005-0000-0000-00001A0B0000}"/>
    <cellStyle name="40% - Accent2 11" xfId="6037" xr:uid="{00000000-0005-0000-0000-00001B0B0000}"/>
    <cellStyle name="40% - Accent2 11 2" xfId="6038" xr:uid="{00000000-0005-0000-0000-00001C0B0000}"/>
    <cellStyle name="40% - Accent2 11 3" xfId="6039" xr:uid="{00000000-0005-0000-0000-00001D0B0000}"/>
    <cellStyle name="40% - Accent2 12" xfId="6040" xr:uid="{00000000-0005-0000-0000-00001E0B0000}"/>
    <cellStyle name="40% - Accent2 12 2" xfId="6041" xr:uid="{00000000-0005-0000-0000-00001F0B0000}"/>
    <cellStyle name="40% - Accent2 12 3" xfId="6042" xr:uid="{00000000-0005-0000-0000-0000200B0000}"/>
    <cellStyle name="40% - Accent2 13" xfId="6043" xr:uid="{00000000-0005-0000-0000-0000210B0000}"/>
    <cellStyle name="40% - Accent2 13 2" xfId="6044" xr:uid="{00000000-0005-0000-0000-0000220B0000}"/>
    <cellStyle name="40% - Accent2 13 3" xfId="6045" xr:uid="{00000000-0005-0000-0000-0000230B0000}"/>
    <cellStyle name="40% - Accent2 14" xfId="6046" xr:uid="{00000000-0005-0000-0000-0000240B0000}"/>
    <cellStyle name="40% - Accent2 14 2" xfId="6047" xr:uid="{00000000-0005-0000-0000-0000250B0000}"/>
    <cellStyle name="40% - Accent2 15" xfId="6048" xr:uid="{00000000-0005-0000-0000-0000260B0000}"/>
    <cellStyle name="40% - Accent2 16" xfId="6049" xr:uid="{00000000-0005-0000-0000-0000270B0000}"/>
    <cellStyle name="40% - Accent2 2" xfId="227" xr:uid="{00000000-0005-0000-0000-000042000000}"/>
    <cellStyle name="40% - Accent2 2 2" xfId="6050" xr:uid="{00000000-0005-0000-0000-0000290B0000}"/>
    <cellStyle name="40% - Accent2 2 3" xfId="6051" xr:uid="{00000000-0005-0000-0000-00002A0B0000}"/>
    <cellStyle name="40% - Accent2 2 3 2" xfId="6052" xr:uid="{00000000-0005-0000-0000-00002B0B0000}"/>
    <cellStyle name="40% - Accent2 2 3 2 2" xfId="6053" xr:uid="{00000000-0005-0000-0000-00002C0B0000}"/>
    <cellStyle name="40% - Accent2 2 3 2 2 2" xfId="6054" xr:uid="{00000000-0005-0000-0000-00002D0B0000}"/>
    <cellStyle name="40% - Accent2 2 3 2 2 2 2" xfId="6055" xr:uid="{00000000-0005-0000-0000-00002E0B0000}"/>
    <cellStyle name="40% - Accent2 2 3 2 2 2 3" xfId="6056" xr:uid="{00000000-0005-0000-0000-00002F0B0000}"/>
    <cellStyle name="40% - Accent2 2 3 2 2 3" xfId="6057" xr:uid="{00000000-0005-0000-0000-0000300B0000}"/>
    <cellStyle name="40% - Accent2 2 3 2 2 4" xfId="6058" xr:uid="{00000000-0005-0000-0000-0000310B0000}"/>
    <cellStyle name="40% - Accent2 2 3 2 3" xfId="6059" xr:uid="{00000000-0005-0000-0000-0000320B0000}"/>
    <cellStyle name="40% - Accent2 2 3 2 3 2" xfId="6060" xr:uid="{00000000-0005-0000-0000-0000330B0000}"/>
    <cellStyle name="40% - Accent2 2 3 2 3 2 2" xfId="6061" xr:uid="{00000000-0005-0000-0000-0000340B0000}"/>
    <cellStyle name="40% - Accent2 2 3 2 3 2 3" xfId="6062" xr:uid="{00000000-0005-0000-0000-0000350B0000}"/>
    <cellStyle name="40% - Accent2 2 3 2 3 3" xfId="6063" xr:uid="{00000000-0005-0000-0000-0000360B0000}"/>
    <cellStyle name="40% - Accent2 2 3 2 3 4" xfId="6064" xr:uid="{00000000-0005-0000-0000-0000370B0000}"/>
    <cellStyle name="40% - Accent2 2 3 2 4" xfId="6065" xr:uid="{00000000-0005-0000-0000-0000380B0000}"/>
    <cellStyle name="40% - Accent2 2 3 2 4 2" xfId="6066" xr:uid="{00000000-0005-0000-0000-0000390B0000}"/>
    <cellStyle name="40% - Accent2 2 3 2 4 3" xfId="6067" xr:uid="{00000000-0005-0000-0000-00003A0B0000}"/>
    <cellStyle name="40% - Accent2 2 3 2 5" xfId="6068" xr:uid="{00000000-0005-0000-0000-00003B0B0000}"/>
    <cellStyle name="40% - Accent2 2 3 2 6" xfId="6069" xr:uid="{00000000-0005-0000-0000-00003C0B0000}"/>
    <cellStyle name="40% - Accent2 2 3 3" xfId="6070" xr:uid="{00000000-0005-0000-0000-00003D0B0000}"/>
    <cellStyle name="40% - Accent2 2 3 3 2" xfId="6071" xr:uid="{00000000-0005-0000-0000-00003E0B0000}"/>
    <cellStyle name="40% - Accent2 2 3 3 2 2" xfId="6072" xr:uid="{00000000-0005-0000-0000-00003F0B0000}"/>
    <cellStyle name="40% - Accent2 2 3 3 2 3" xfId="6073" xr:uid="{00000000-0005-0000-0000-0000400B0000}"/>
    <cellStyle name="40% - Accent2 2 3 3 3" xfId="6074" xr:uid="{00000000-0005-0000-0000-0000410B0000}"/>
    <cellStyle name="40% - Accent2 2 3 3 4" xfId="6075" xr:uid="{00000000-0005-0000-0000-0000420B0000}"/>
    <cellStyle name="40% - Accent2 2 3 4" xfId="6076" xr:uid="{00000000-0005-0000-0000-0000430B0000}"/>
    <cellStyle name="40% - Accent2 2 3 4 2" xfId="6077" xr:uid="{00000000-0005-0000-0000-0000440B0000}"/>
    <cellStyle name="40% - Accent2 2 3 4 2 2" xfId="6078" xr:uid="{00000000-0005-0000-0000-0000450B0000}"/>
    <cellStyle name="40% - Accent2 2 3 4 2 3" xfId="6079" xr:uid="{00000000-0005-0000-0000-0000460B0000}"/>
    <cellStyle name="40% - Accent2 2 3 4 3" xfId="6080" xr:uid="{00000000-0005-0000-0000-0000470B0000}"/>
    <cellStyle name="40% - Accent2 2 3 4 4" xfId="6081" xr:uid="{00000000-0005-0000-0000-0000480B0000}"/>
    <cellStyle name="40% - Accent2 2 3 5" xfId="6082" xr:uid="{00000000-0005-0000-0000-0000490B0000}"/>
    <cellStyle name="40% - Accent2 2 3 5 2" xfId="6083" xr:uid="{00000000-0005-0000-0000-00004A0B0000}"/>
    <cellStyle name="40% - Accent2 2 3 5 3" xfId="6084" xr:uid="{00000000-0005-0000-0000-00004B0B0000}"/>
    <cellStyle name="40% - Accent2 2 3 6" xfId="6085" xr:uid="{00000000-0005-0000-0000-00004C0B0000}"/>
    <cellStyle name="40% - Accent2 2 3 7" xfId="6086" xr:uid="{00000000-0005-0000-0000-00004D0B0000}"/>
    <cellStyle name="40% - Accent2 2 4" xfId="6087" xr:uid="{00000000-0005-0000-0000-00004E0B0000}"/>
    <cellStyle name="40% - Accent2 2 4 2" xfId="6088" xr:uid="{00000000-0005-0000-0000-00004F0B0000}"/>
    <cellStyle name="40% - Accent2 2 4 2 2" xfId="6089" xr:uid="{00000000-0005-0000-0000-0000500B0000}"/>
    <cellStyle name="40% - Accent2 2 4 2 2 2" xfId="6090" xr:uid="{00000000-0005-0000-0000-0000510B0000}"/>
    <cellStyle name="40% - Accent2 2 4 2 2 2 2" xfId="6091" xr:uid="{00000000-0005-0000-0000-0000520B0000}"/>
    <cellStyle name="40% - Accent2 2 4 2 2 2 3" xfId="6092" xr:uid="{00000000-0005-0000-0000-0000530B0000}"/>
    <cellStyle name="40% - Accent2 2 4 2 2 3" xfId="6093" xr:uid="{00000000-0005-0000-0000-0000540B0000}"/>
    <cellStyle name="40% - Accent2 2 4 2 2 4" xfId="6094" xr:uid="{00000000-0005-0000-0000-0000550B0000}"/>
    <cellStyle name="40% - Accent2 2 4 2 3" xfId="6095" xr:uid="{00000000-0005-0000-0000-0000560B0000}"/>
    <cellStyle name="40% - Accent2 2 4 2 3 2" xfId="6096" xr:uid="{00000000-0005-0000-0000-0000570B0000}"/>
    <cellStyle name="40% - Accent2 2 4 2 3 2 2" xfId="6097" xr:uid="{00000000-0005-0000-0000-0000580B0000}"/>
    <cellStyle name="40% - Accent2 2 4 2 3 2 3" xfId="6098" xr:uid="{00000000-0005-0000-0000-0000590B0000}"/>
    <cellStyle name="40% - Accent2 2 4 2 3 3" xfId="6099" xr:uid="{00000000-0005-0000-0000-00005A0B0000}"/>
    <cellStyle name="40% - Accent2 2 4 2 3 4" xfId="6100" xr:uid="{00000000-0005-0000-0000-00005B0B0000}"/>
    <cellStyle name="40% - Accent2 2 4 2 4" xfId="6101" xr:uid="{00000000-0005-0000-0000-00005C0B0000}"/>
    <cellStyle name="40% - Accent2 2 4 2 4 2" xfId="6102" xr:uid="{00000000-0005-0000-0000-00005D0B0000}"/>
    <cellStyle name="40% - Accent2 2 4 2 4 3" xfId="6103" xr:uid="{00000000-0005-0000-0000-00005E0B0000}"/>
    <cellStyle name="40% - Accent2 2 4 2 5" xfId="6104" xr:uid="{00000000-0005-0000-0000-00005F0B0000}"/>
    <cellStyle name="40% - Accent2 2 4 2 6" xfId="6105" xr:uid="{00000000-0005-0000-0000-0000600B0000}"/>
    <cellStyle name="40% - Accent2 2 4 3" xfId="6106" xr:uid="{00000000-0005-0000-0000-0000610B0000}"/>
    <cellStyle name="40% - Accent2 2 4 3 2" xfId="6107" xr:uid="{00000000-0005-0000-0000-0000620B0000}"/>
    <cellStyle name="40% - Accent2 2 4 3 2 2" xfId="6108" xr:uid="{00000000-0005-0000-0000-0000630B0000}"/>
    <cellStyle name="40% - Accent2 2 4 3 2 3" xfId="6109" xr:uid="{00000000-0005-0000-0000-0000640B0000}"/>
    <cellStyle name="40% - Accent2 2 4 3 3" xfId="6110" xr:uid="{00000000-0005-0000-0000-0000650B0000}"/>
    <cellStyle name="40% - Accent2 2 4 3 4" xfId="6111" xr:uid="{00000000-0005-0000-0000-0000660B0000}"/>
    <cellStyle name="40% - Accent2 2 4 4" xfId="6112" xr:uid="{00000000-0005-0000-0000-0000670B0000}"/>
    <cellStyle name="40% - Accent2 2 4 4 2" xfId="6113" xr:uid="{00000000-0005-0000-0000-0000680B0000}"/>
    <cellStyle name="40% - Accent2 2 4 4 2 2" xfId="6114" xr:uid="{00000000-0005-0000-0000-0000690B0000}"/>
    <cellStyle name="40% - Accent2 2 4 4 2 3" xfId="6115" xr:uid="{00000000-0005-0000-0000-00006A0B0000}"/>
    <cellStyle name="40% - Accent2 2 4 4 3" xfId="6116" xr:uid="{00000000-0005-0000-0000-00006B0B0000}"/>
    <cellStyle name="40% - Accent2 2 4 4 4" xfId="6117" xr:uid="{00000000-0005-0000-0000-00006C0B0000}"/>
    <cellStyle name="40% - Accent2 2 4 5" xfId="6118" xr:uid="{00000000-0005-0000-0000-00006D0B0000}"/>
    <cellStyle name="40% - Accent2 2 4 5 2" xfId="6119" xr:uid="{00000000-0005-0000-0000-00006E0B0000}"/>
    <cellStyle name="40% - Accent2 2 4 5 3" xfId="6120" xr:uid="{00000000-0005-0000-0000-00006F0B0000}"/>
    <cellStyle name="40% - Accent2 2 4 6" xfId="6121" xr:uid="{00000000-0005-0000-0000-0000700B0000}"/>
    <cellStyle name="40% - Accent2 2 4 7" xfId="6122" xr:uid="{00000000-0005-0000-0000-0000710B0000}"/>
    <cellStyle name="40% - Accent2 2 5" xfId="6123" xr:uid="{00000000-0005-0000-0000-0000720B0000}"/>
    <cellStyle name="40% - Accent2 2 5 2" xfId="6124" xr:uid="{00000000-0005-0000-0000-0000730B0000}"/>
    <cellStyle name="40% - Accent2 2 5 2 2" xfId="6125" xr:uid="{00000000-0005-0000-0000-0000740B0000}"/>
    <cellStyle name="40% - Accent2 2 5 2 2 2" xfId="6126" xr:uid="{00000000-0005-0000-0000-0000750B0000}"/>
    <cellStyle name="40% - Accent2 2 5 2 2 2 2" xfId="6127" xr:uid="{00000000-0005-0000-0000-0000760B0000}"/>
    <cellStyle name="40% - Accent2 2 5 2 2 2 3" xfId="6128" xr:uid="{00000000-0005-0000-0000-0000770B0000}"/>
    <cellStyle name="40% - Accent2 2 5 2 2 3" xfId="6129" xr:uid="{00000000-0005-0000-0000-0000780B0000}"/>
    <cellStyle name="40% - Accent2 2 5 2 2 4" xfId="6130" xr:uid="{00000000-0005-0000-0000-0000790B0000}"/>
    <cellStyle name="40% - Accent2 2 5 2 3" xfId="6131" xr:uid="{00000000-0005-0000-0000-00007A0B0000}"/>
    <cellStyle name="40% - Accent2 2 5 2 3 2" xfId="6132" xr:uid="{00000000-0005-0000-0000-00007B0B0000}"/>
    <cellStyle name="40% - Accent2 2 5 2 3 2 2" xfId="6133" xr:uid="{00000000-0005-0000-0000-00007C0B0000}"/>
    <cellStyle name="40% - Accent2 2 5 2 3 2 3" xfId="6134" xr:uid="{00000000-0005-0000-0000-00007D0B0000}"/>
    <cellStyle name="40% - Accent2 2 5 2 3 3" xfId="6135" xr:uid="{00000000-0005-0000-0000-00007E0B0000}"/>
    <cellStyle name="40% - Accent2 2 5 2 3 4" xfId="6136" xr:uid="{00000000-0005-0000-0000-00007F0B0000}"/>
    <cellStyle name="40% - Accent2 2 5 2 4" xfId="6137" xr:uid="{00000000-0005-0000-0000-0000800B0000}"/>
    <cellStyle name="40% - Accent2 2 5 2 4 2" xfId="6138" xr:uid="{00000000-0005-0000-0000-0000810B0000}"/>
    <cellStyle name="40% - Accent2 2 5 2 4 3" xfId="6139" xr:uid="{00000000-0005-0000-0000-0000820B0000}"/>
    <cellStyle name="40% - Accent2 2 5 2 5" xfId="6140" xr:uid="{00000000-0005-0000-0000-0000830B0000}"/>
    <cellStyle name="40% - Accent2 2 5 2 6" xfId="6141" xr:uid="{00000000-0005-0000-0000-0000840B0000}"/>
    <cellStyle name="40% - Accent2 2 5 3" xfId="6142" xr:uid="{00000000-0005-0000-0000-0000850B0000}"/>
    <cellStyle name="40% - Accent2 2 5 3 2" xfId="6143" xr:uid="{00000000-0005-0000-0000-0000860B0000}"/>
    <cellStyle name="40% - Accent2 2 5 3 2 2" xfId="6144" xr:uid="{00000000-0005-0000-0000-0000870B0000}"/>
    <cellStyle name="40% - Accent2 2 5 3 2 3" xfId="6145" xr:uid="{00000000-0005-0000-0000-0000880B0000}"/>
    <cellStyle name="40% - Accent2 2 5 3 3" xfId="6146" xr:uid="{00000000-0005-0000-0000-0000890B0000}"/>
    <cellStyle name="40% - Accent2 2 5 3 4" xfId="6147" xr:uid="{00000000-0005-0000-0000-00008A0B0000}"/>
    <cellStyle name="40% - Accent2 2 5 4" xfId="6148" xr:uid="{00000000-0005-0000-0000-00008B0B0000}"/>
    <cellStyle name="40% - Accent2 2 5 4 2" xfId="6149" xr:uid="{00000000-0005-0000-0000-00008C0B0000}"/>
    <cellStyle name="40% - Accent2 2 5 4 2 2" xfId="6150" xr:uid="{00000000-0005-0000-0000-00008D0B0000}"/>
    <cellStyle name="40% - Accent2 2 5 4 2 3" xfId="6151" xr:uid="{00000000-0005-0000-0000-00008E0B0000}"/>
    <cellStyle name="40% - Accent2 2 5 4 3" xfId="6152" xr:uid="{00000000-0005-0000-0000-00008F0B0000}"/>
    <cellStyle name="40% - Accent2 2 5 4 4" xfId="6153" xr:uid="{00000000-0005-0000-0000-0000900B0000}"/>
    <cellStyle name="40% - Accent2 2 5 5" xfId="6154" xr:uid="{00000000-0005-0000-0000-0000910B0000}"/>
    <cellStyle name="40% - Accent2 2 5 5 2" xfId="6155" xr:uid="{00000000-0005-0000-0000-0000920B0000}"/>
    <cellStyle name="40% - Accent2 2 5 5 3" xfId="6156" xr:uid="{00000000-0005-0000-0000-0000930B0000}"/>
    <cellStyle name="40% - Accent2 2 5 6" xfId="6157" xr:uid="{00000000-0005-0000-0000-0000940B0000}"/>
    <cellStyle name="40% - Accent2 2 5 7" xfId="6158" xr:uid="{00000000-0005-0000-0000-0000950B0000}"/>
    <cellStyle name="40% - Accent2 2 6" xfId="6159" xr:uid="{00000000-0005-0000-0000-0000960B0000}"/>
    <cellStyle name="40% - Accent2 2 6 2" xfId="6160" xr:uid="{00000000-0005-0000-0000-0000970B0000}"/>
    <cellStyle name="40% - Accent2 2 6 2 2" xfId="6161" xr:uid="{00000000-0005-0000-0000-0000980B0000}"/>
    <cellStyle name="40% - Accent2 2 6 2 2 2" xfId="6162" xr:uid="{00000000-0005-0000-0000-0000990B0000}"/>
    <cellStyle name="40% - Accent2 2 6 2 2 2 2" xfId="6163" xr:uid="{00000000-0005-0000-0000-00009A0B0000}"/>
    <cellStyle name="40% - Accent2 2 6 2 2 2 3" xfId="6164" xr:uid="{00000000-0005-0000-0000-00009B0B0000}"/>
    <cellStyle name="40% - Accent2 2 6 2 2 3" xfId="6165" xr:uid="{00000000-0005-0000-0000-00009C0B0000}"/>
    <cellStyle name="40% - Accent2 2 6 2 2 4" xfId="6166" xr:uid="{00000000-0005-0000-0000-00009D0B0000}"/>
    <cellStyle name="40% - Accent2 2 6 2 3" xfId="6167" xr:uid="{00000000-0005-0000-0000-00009E0B0000}"/>
    <cellStyle name="40% - Accent2 2 6 2 3 2" xfId="6168" xr:uid="{00000000-0005-0000-0000-00009F0B0000}"/>
    <cellStyle name="40% - Accent2 2 6 2 3 2 2" xfId="6169" xr:uid="{00000000-0005-0000-0000-0000A00B0000}"/>
    <cellStyle name="40% - Accent2 2 6 2 3 2 3" xfId="6170" xr:uid="{00000000-0005-0000-0000-0000A10B0000}"/>
    <cellStyle name="40% - Accent2 2 6 2 3 3" xfId="6171" xr:uid="{00000000-0005-0000-0000-0000A20B0000}"/>
    <cellStyle name="40% - Accent2 2 6 2 3 4" xfId="6172" xr:uid="{00000000-0005-0000-0000-0000A30B0000}"/>
    <cellStyle name="40% - Accent2 2 6 2 4" xfId="6173" xr:uid="{00000000-0005-0000-0000-0000A40B0000}"/>
    <cellStyle name="40% - Accent2 2 6 2 4 2" xfId="6174" xr:uid="{00000000-0005-0000-0000-0000A50B0000}"/>
    <cellStyle name="40% - Accent2 2 6 2 4 3" xfId="6175" xr:uid="{00000000-0005-0000-0000-0000A60B0000}"/>
    <cellStyle name="40% - Accent2 2 6 2 5" xfId="6176" xr:uid="{00000000-0005-0000-0000-0000A70B0000}"/>
    <cellStyle name="40% - Accent2 2 6 2 6" xfId="6177" xr:uid="{00000000-0005-0000-0000-0000A80B0000}"/>
    <cellStyle name="40% - Accent2 2 6 3" xfId="6178" xr:uid="{00000000-0005-0000-0000-0000A90B0000}"/>
    <cellStyle name="40% - Accent2 2 6 3 2" xfId="6179" xr:uid="{00000000-0005-0000-0000-0000AA0B0000}"/>
    <cellStyle name="40% - Accent2 2 6 3 2 2" xfId="6180" xr:uid="{00000000-0005-0000-0000-0000AB0B0000}"/>
    <cellStyle name="40% - Accent2 2 6 3 2 3" xfId="6181" xr:uid="{00000000-0005-0000-0000-0000AC0B0000}"/>
    <cellStyle name="40% - Accent2 2 6 3 3" xfId="6182" xr:uid="{00000000-0005-0000-0000-0000AD0B0000}"/>
    <cellStyle name="40% - Accent2 2 6 3 4" xfId="6183" xr:uid="{00000000-0005-0000-0000-0000AE0B0000}"/>
    <cellStyle name="40% - Accent2 2 6 4" xfId="6184" xr:uid="{00000000-0005-0000-0000-0000AF0B0000}"/>
    <cellStyle name="40% - Accent2 2 6 4 2" xfId="6185" xr:uid="{00000000-0005-0000-0000-0000B00B0000}"/>
    <cellStyle name="40% - Accent2 2 6 4 2 2" xfId="6186" xr:uid="{00000000-0005-0000-0000-0000B10B0000}"/>
    <cellStyle name="40% - Accent2 2 6 4 2 3" xfId="6187" xr:uid="{00000000-0005-0000-0000-0000B20B0000}"/>
    <cellStyle name="40% - Accent2 2 6 4 3" xfId="6188" xr:uid="{00000000-0005-0000-0000-0000B30B0000}"/>
    <cellStyle name="40% - Accent2 2 6 4 4" xfId="6189" xr:uid="{00000000-0005-0000-0000-0000B40B0000}"/>
    <cellStyle name="40% - Accent2 2 6 5" xfId="6190" xr:uid="{00000000-0005-0000-0000-0000B50B0000}"/>
    <cellStyle name="40% - Accent2 2 6 5 2" xfId="6191" xr:uid="{00000000-0005-0000-0000-0000B60B0000}"/>
    <cellStyle name="40% - Accent2 2 6 5 3" xfId="6192" xr:uid="{00000000-0005-0000-0000-0000B70B0000}"/>
    <cellStyle name="40% - Accent2 2 6 6" xfId="6193" xr:uid="{00000000-0005-0000-0000-0000B80B0000}"/>
    <cellStyle name="40% - Accent2 2 6 7" xfId="6194" xr:uid="{00000000-0005-0000-0000-0000B90B0000}"/>
    <cellStyle name="40% - Accent2 2 7" xfId="6195" xr:uid="{00000000-0005-0000-0000-0000BA0B0000}"/>
    <cellStyle name="40% - Accent2 2 7 2" xfId="6196" xr:uid="{00000000-0005-0000-0000-0000BB0B0000}"/>
    <cellStyle name="40% - Accent2 2 7 2 2" xfId="6197" xr:uid="{00000000-0005-0000-0000-0000BC0B0000}"/>
    <cellStyle name="40% - Accent2 2 7 2 3" xfId="6198" xr:uid="{00000000-0005-0000-0000-0000BD0B0000}"/>
    <cellStyle name="40% - Accent2 2 7 3" xfId="6199" xr:uid="{00000000-0005-0000-0000-0000BE0B0000}"/>
    <cellStyle name="40% - Accent2 2 7 4" xfId="6200" xr:uid="{00000000-0005-0000-0000-0000BF0B0000}"/>
    <cellStyle name="40% - Accent2 3" xfId="228" xr:uid="{00000000-0005-0000-0000-000043000000}"/>
    <cellStyle name="40% - Accent2 3 2" xfId="6202" xr:uid="{00000000-0005-0000-0000-0000C10B0000}"/>
    <cellStyle name="40% - Accent2 3 2 2" xfId="6203" xr:uid="{00000000-0005-0000-0000-0000C20B0000}"/>
    <cellStyle name="40% - Accent2 3 2 2 2" xfId="6204" xr:uid="{00000000-0005-0000-0000-0000C30B0000}"/>
    <cellStyle name="40% - Accent2 3 2 2 2 2" xfId="6205" xr:uid="{00000000-0005-0000-0000-0000C40B0000}"/>
    <cellStyle name="40% - Accent2 3 2 2 2 2 2" xfId="6206" xr:uid="{00000000-0005-0000-0000-0000C50B0000}"/>
    <cellStyle name="40% - Accent2 3 2 2 2 2 3" xfId="6207" xr:uid="{00000000-0005-0000-0000-0000C60B0000}"/>
    <cellStyle name="40% - Accent2 3 2 2 2 3" xfId="6208" xr:uid="{00000000-0005-0000-0000-0000C70B0000}"/>
    <cellStyle name="40% - Accent2 3 2 2 2 4" xfId="6209" xr:uid="{00000000-0005-0000-0000-0000C80B0000}"/>
    <cellStyle name="40% - Accent2 3 2 2 3" xfId="6210" xr:uid="{00000000-0005-0000-0000-0000C90B0000}"/>
    <cellStyle name="40% - Accent2 3 2 2 3 2" xfId="6211" xr:uid="{00000000-0005-0000-0000-0000CA0B0000}"/>
    <cellStyle name="40% - Accent2 3 2 2 3 3" xfId="6212" xr:uid="{00000000-0005-0000-0000-0000CB0B0000}"/>
    <cellStyle name="40% - Accent2 3 2 2 4" xfId="6213" xr:uid="{00000000-0005-0000-0000-0000CC0B0000}"/>
    <cellStyle name="40% - Accent2 3 2 2 5" xfId="6214" xr:uid="{00000000-0005-0000-0000-0000CD0B0000}"/>
    <cellStyle name="40% - Accent2 3 2 3" xfId="6215" xr:uid="{00000000-0005-0000-0000-0000CE0B0000}"/>
    <cellStyle name="40% - Accent2 3 2 3 2" xfId="6216" xr:uid="{00000000-0005-0000-0000-0000CF0B0000}"/>
    <cellStyle name="40% - Accent2 3 2 3 2 2" xfId="6217" xr:uid="{00000000-0005-0000-0000-0000D00B0000}"/>
    <cellStyle name="40% - Accent2 3 2 3 2 3" xfId="6218" xr:uid="{00000000-0005-0000-0000-0000D10B0000}"/>
    <cellStyle name="40% - Accent2 3 2 3 3" xfId="6219" xr:uid="{00000000-0005-0000-0000-0000D20B0000}"/>
    <cellStyle name="40% - Accent2 3 2 3 4" xfId="6220" xr:uid="{00000000-0005-0000-0000-0000D30B0000}"/>
    <cellStyle name="40% - Accent2 3 2 4" xfId="6221" xr:uid="{00000000-0005-0000-0000-0000D40B0000}"/>
    <cellStyle name="40% - Accent2 3 3" xfId="6222" xr:uid="{00000000-0005-0000-0000-0000D50B0000}"/>
    <cellStyle name="40% - Accent2 3 3 2" xfId="6223" xr:uid="{00000000-0005-0000-0000-0000D60B0000}"/>
    <cellStyle name="40% - Accent2 3 3 2 2" xfId="6224" xr:uid="{00000000-0005-0000-0000-0000D70B0000}"/>
    <cellStyle name="40% - Accent2 3 3 2 3" xfId="6225" xr:uid="{00000000-0005-0000-0000-0000D80B0000}"/>
    <cellStyle name="40% - Accent2 3 3 3" xfId="6226" xr:uid="{00000000-0005-0000-0000-0000D90B0000}"/>
    <cellStyle name="40% - Accent2 3 3 4" xfId="6227" xr:uid="{00000000-0005-0000-0000-0000DA0B0000}"/>
    <cellStyle name="40% - Accent2 3 4" xfId="6228" xr:uid="{00000000-0005-0000-0000-0000DB0B0000}"/>
    <cellStyle name="40% - Accent2 3 4 2" xfId="6229" xr:uid="{00000000-0005-0000-0000-0000DC0B0000}"/>
    <cellStyle name="40% - Accent2 3 4 2 2" xfId="6230" xr:uid="{00000000-0005-0000-0000-0000DD0B0000}"/>
    <cellStyle name="40% - Accent2 3 4 2 3" xfId="6231" xr:uid="{00000000-0005-0000-0000-0000DE0B0000}"/>
    <cellStyle name="40% - Accent2 3 4 3" xfId="6232" xr:uid="{00000000-0005-0000-0000-0000DF0B0000}"/>
    <cellStyle name="40% - Accent2 3 4 4" xfId="6233" xr:uid="{00000000-0005-0000-0000-0000E00B0000}"/>
    <cellStyle name="40% - Accent2 3 5" xfId="6234" xr:uid="{00000000-0005-0000-0000-0000E10B0000}"/>
    <cellStyle name="40% - Accent2 3 5 2" xfId="6235" xr:uid="{00000000-0005-0000-0000-0000E20B0000}"/>
    <cellStyle name="40% - Accent2 3 5 2 2" xfId="6236" xr:uid="{00000000-0005-0000-0000-0000E30B0000}"/>
    <cellStyle name="40% - Accent2 3 5 2 3" xfId="6237" xr:uid="{00000000-0005-0000-0000-0000E40B0000}"/>
    <cellStyle name="40% - Accent2 3 5 3" xfId="6238" xr:uid="{00000000-0005-0000-0000-0000E50B0000}"/>
    <cellStyle name="40% - Accent2 3 5 4" xfId="6239" xr:uid="{00000000-0005-0000-0000-0000E60B0000}"/>
    <cellStyle name="40% - Accent2 3 6" xfId="6240" xr:uid="{00000000-0005-0000-0000-0000E70B0000}"/>
    <cellStyle name="40% - Accent2 3 6 2" xfId="6241" xr:uid="{00000000-0005-0000-0000-0000E80B0000}"/>
    <cellStyle name="40% - Accent2 3 6 3" xfId="6242" xr:uid="{00000000-0005-0000-0000-0000E90B0000}"/>
    <cellStyle name="40% - Accent2 3 7" xfId="6243" xr:uid="{00000000-0005-0000-0000-0000EA0B0000}"/>
    <cellStyle name="40% - Accent2 3 8" xfId="6244" xr:uid="{00000000-0005-0000-0000-0000EB0B0000}"/>
    <cellStyle name="40% - Accent2 3 9" xfId="6201" xr:uid="{00000000-0005-0000-0000-0000C00B0000}"/>
    <cellStyle name="40% - Accent2 4" xfId="229" xr:uid="{00000000-0005-0000-0000-000044000000}"/>
    <cellStyle name="40% - Accent2 4 2" xfId="6246" xr:uid="{00000000-0005-0000-0000-0000ED0B0000}"/>
    <cellStyle name="40% - Accent2 4 2 2" xfId="6247" xr:uid="{00000000-0005-0000-0000-0000EE0B0000}"/>
    <cellStyle name="40% - Accent2 4 2 2 2" xfId="6248" xr:uid="{00000000-0005-0000-0000-0000EF0B0000}"/>
    <cellStyle name="40% - Accent2 4 2 2 2 2" xfId="6249" xr:uid="{00000000-0005-0000-0000-0000F00B0000}"/>
    <cellStyle name="40% - Accent2 4 2 2 2 2 2" xfId="6250" xr:uid="{00000000-0005-0000-0000-0000F10B0000}"/>
    <cellStyle name="40% - Accent2 4 2 2 2 2 3" xfId="6251" xr:uid="{00000000-0005-0000-0000-0000F20B0000}"/>
    <cellStyle name="40% - Accent2 4 2 2 2 3" xfId="6252" xr:uid="{00000000-0005-0000-0000-0000F30B0000}"/>
    <cellStyle name="40% - Accent2 4 2 2 2 4" xfId="6253" xr:uid="{00000000-0005-0000-0000-0000F40B0000}"/>
    <cellStyle name="40% - Accent2 4 2 2 3" xfId="6254" xr:uid="{00000000-0005-0000-0000-0000F50B0000}"/>
    <cellStyle name="40% - Accent2 4 2 2 3 2" xfId="6255" xr:uid="{00000000-0005-0000-0000-0000F60B0000}"/>
    <cellStyle name="40% - Accent2 4 2 2 3 3" xfId="6256" xr:uid="{00000000-0005-0000-0000-0000F70B0000}"/>
    <cellStyle name="40% - Accent2 4 2 2 4" xfId="6257" xr:uid="{00000000-0005-0000-0000-0000F80B0000}"/>
    <cellStyle name="40% - Accent2 4 2 2 5" xfId="6258" xr:uid="{00000000-0005-0000-0000-0000F90B0000}"/>
    <cellStyle name="40% - Accent2 4 2 3" xfId="6259" xr:uid="{00000000-0005-0000-0000-0000FA0B0000}"/>
    <cellStyle name="40% - Accent2 4 2 3 2" xfId="6260" xr:uid="{00000000-0005-0000-0000-0000FB0B0000}"/>
    <cellStyle name="40% - Accent2 4 2 3 2 2" xfId="6261" xr:uid="{00000000-0005-0000-0000-0000FC0B0000}"/>
    <cellStyle name="40% - Accent2 4 2 3 2 3" xfId="6262" xr:uid="{00000000-0005-0000-0000-0000FD0B0000}"/>
    <cellStyle name="40% - Accent2 4 2 3 3" xfId="6263" xr:uid="{00000000-0005-0000-0000-0000FE0B0000}"/>
    <cellStyle name="40% - Accent2 4 2 3 4" xfId="6264" xr:uid="{00000000-0005-0000-0000-0000FF0B0000}"/>
    <cellStyle name="40% - Accent2 4 2 4" xfId="6265" xr:uid="{00000000-0005-0000-0000-0000000C0000}"/>
    <cellStyle name="40% - Accent2 4 3" xfId="6266" xr:uid="{00000000-0005-0000-0000-0000010C0000}"/>
    <cellStyle name="40% - Accent2 4 3 2" xfId="6267" xr:uid="{00000000-0005-0000-0000-0000020C0000}"/>
    <cellStyle name="40% - Accent2 4 3 2 2" xfId="6268" xr:uid="{00000000-0005-0000-0000-0000030C0000}"/>
    <cellStyle name="40% - Accent2 4 3 2 3" xfId="6269" xr:uid="{00000000-0005-0000-0000-0000040C0000}"/>
    <cellStyle name="40% - Accent2 4 3 3" xfId="6270" xr:uid="{00000000-0005-0000-0000-0000050C0000}"/>
    <cellStyle name="40% - Accent2 4 3 4" xfId="6271" xr:uid="{00000000-0005-0000-0000-0000060C0000}"/>
    <cellStyle name="40% - Accent2 4 4" xfId="6272" xr:uid="{00000000-0005-0000-0000-0000070C0000}"/>
    <cellStyle name="40% - Accent2 4 4 2" xfId="6273" xr:uid="{00000000-0005-0000-0000-0000080C0000}"/>
    <cellStyle name="40% - Accent2 4 4 2 2" xfId="6274" xr:uid="{00000000-0005-0000-0000-0000090C0000}"/>
    <cellStyle name="40% - Accent2 4 4 2 3" xfId="6275" xr:uid="{00000000-0005-0000-0000-00000A0C0000}"/>
    <cellStyle name="40% - Accent2 4 4 3" xfId="6276" xr:uid="{00000000-0005-0000-0000-00000B0C0000}"/>
    <cellStyle name="40% - Accent2 4 4 4" xfId="6277" xr:uid="{00000000-0005-0000-0000-00000C0C0000}"/>
    <cellStyle name="40% - Accent2 4 5" xfId="6278" xr:uid="{00000000-0005-0000-0000-00000D0C0000}"/>
    <cellStyle name="40% - Accent2 4 5 2" xfId="6279" xr:uid="{00000000-0005-0000-0000-00000E0C0000}"/>
    <cellStyle name="40% - Accent2 4 5 2 2" xfId="6280" xr:uid="{00000000-0005-0000-0000-00000F0C0000}"/>
    <cellStyle name="40% - Accent2 4 5 2 3" xfId="6281" xr:uid="{00000000-0005-0000-0000-0000100C0000}"/>
    <cellStyle name="40% - Accent2 4 5 3" xfId="6282" xr:uid="{00000000-0005-0000-0000-0000110C0000}"/>
    <cellStyle name="40% - Accent2 4 5 4" xfId="6283" xr:uid="{00000000-0005-0000-0000-0000120C0000}"/>
    <cellStyle name="40% - Accent2 4 6" xfId="6284" xr:uid="{00000000-0005-0000-0000-0000130C0000}"/>
    <cellStyle name="40% - Accent2 4 6 2" xfId="6285" xr:uid="{00000000-0005-0000-0000-0000140C0000}"/>
    <cellStyle name="40% - Accent2 4 6 3" xfId="6286" xr:uid="{00000000-0005-0000-0000-0000150C0000}"/>
    <cellStyle name="40% - Accent2 4 7" xfId="6287" xr:uid="{00000000-0005-0000-0000-0000160C0000}"/>
    <cellStyle name="40% - Accent2 4 8" xfId="6288" xr:uid="{00000000-0005-0000-0000-0000170C0000}"/>
    <cellStyle name="40% - Accent2 4 9" xfId="6245" xr:uid="{00000000-0005-0000-0000-0000EC0B0000}"/>
    <cellStyle name="40% - Accent2 5" xfId="230" xr:uid="{00000000-0005-0000-0000-000045000000}"/>
    <cellStyle name="40% - Accent2 5 2" xfId="6290" xr:uid="{00000000-0005-0000-0000-0000190C0000}"/>
    <cellStyle name="40% - Accent2 5 2 2" xfId="6291" xr:uid="{00000000-0005-0000-0000-00001A0C0000}"/>
    <cellStyle name="40% - Accent2 5 2 2 2" xfId="6292" xr:uid="{00000000-0005-0000-0000-00001B0C0000}"/>
    <cellStyle name="40% - Accent2 5 2 2 2 2" xfId="6293" xr:uid="{00000000-0005-0000-0000-00001C0C0000}"/>
    <cellStyle name="40% - Accent2 5 2 2 2 2 2" xfId="6294" xr:uid="{00000000-0005-0000-0000-00001D0C0000}"/>
    <cellStyle name="40% - Accent2 5 2 2 2 2 3" xfId="6295" xr:uid="{00000000-0005-0000-0000-00001E0C0000}"/>
    <cellStyle name="40% - Accent2 5 2 2 2 3" xfId="6296" xr:uid="{00000000-0005-0000-0000-00001F0C0000}"/>
    <cellStyle name="40% - Accent2 5 2 2 2 4" xfId="6297" xr:uid="{00000000-0005-0000-0000-0000200C0000}"/>
    <cellStyle name="40% - Accent2 5 2 2 3" xfId="6298" xr:uid="{00000000-0005-0000-0000-0000210C0000}"/>
    <cellStyle name="40% - Accent2 5 2 2 3 2" xfId="6299" xr:uid="{00000000-0005-0000-0000-0000220C0000}"/>
    <cellStyle name="40% - Accent2 5 2 2 3 3" xfId="6300" xr:uid="{00000000-0005-0000-0000-0000230C0000}"/>
    <cellStyle name="40% - Accent2 5 2 2 4" xfId="6301" xr:uid="{00000000-0005-0000-0000-0000240C0000}"/>
    <cellStyle name="40% - Accent2 5 2 2 5" xfId="6302" xr:uid="{00000000-0005-0000-0000-0000250C0000}"/>
    <cellStyle name="40% - Accent2 5 2 3" xfId="6303" xr:uid="{00000000-0005-0000-0000-0000260C0000}"/>
    <cellStyle name="40% - Accent2 5 2 3 2" xfId="6304" xr:uid="{00000000-0005-0000-0000-0000270C0000}"/>
    <cellStyle name="40% - Accent2 5 2 3 2 2" xfId="6305" xr:uid="{00000000-0005-0000-0000-0000280C0000}"/>
    <cellStyle name="40% - Accent2 5 2 3 2 3" xfId="6306" xr:uid="{00000000-0005-0000-0000-0000290C0000}"/>
    <cellStyle name="40% - Accent2 5 2 3 3" xfId="6307" xr:uid="{00000000-0005-0000-0000-00002A0C0000}"/>
    <cellStyle name="40% - Accent2 5 2 3 4" xfId="6308" xr:uid="{00000000-0005-0000-0000-00002B0C0000}"/>
    <cellStyle name="40% - Accent2 5 2 4" xfId="6309" xr:uid="{00000000-0005-0000-0000-00002C0C0000}"/>
    <cellStyle name="40% - Accent2 5 3" xfId="6310" xr:uid="{00000000-0005-0000-0000-00002D0C0000}"/>
    <cellStyle name="40% - Accent2 5 3 2" xfId="6311" xr:uid="{00000000-0005-0000-0000-00002E0C0000}"/>
    <cellStyle name="40% - Accent2 5 3 2 2" xfId="6312" xr:uid="{00000000-0005-0000-0000-00002F0C0000}"/>
    <cellStyle name="40% - Accent2 5 3 2 3" xfId="6313" xr:uid="{00000000-0005-0000-0000-0000300C0000}"/>
    <cellStyle name="40% - Accent2 5 3 3" xfId="6314" xr:uid="{00000000-0005-0000-0000-0000310C0000}"/>
    <cellStyle name="40% - Accent2 5 3 4" xfId="6315" xr:uid="{00000000-0005-0000-0000-0000320C0000}"/>
    <cellStyle name="40% - Accent2 5 4" xfId="6316" xr:uid="{00000000-0005-0000-0000-0000330C0000}"/>
    <cellStyle name="40% - Accent2 5 4 2" xfId="6317" xr:uid="{00000000-0005-0000-0000-0000340C0000}"/>
    <cellStyle name="40% - Accent2 5 4 2 2" xfId="6318" xr:uid="{00000000-0005-0000-0000-0000350C0000}"/>
    <cellStyle name="40% - Accent2 5 4 2 3" xfId="6319" xr:uid="{00000000-0005-0000-0000-0000360C0000}"/>
    <cellStyle name="40% - Accent2 5 4 3" xfId="6320" xr:uid="{00000000-0005-0000-0000-0000370C0000}"/>
    <cellStyle name="40% - Accent2 5 4 4" xfId="6321" xr:uid="{00000000-0005-0000-0000-0000380C0000}"/>
    <cellStyle name="40% - Accent2 5 5" xfId="6322" xr:uid="{00000000-0005-0000-0000-0000390C0000}"/>
    <cellStyle name="40% - Accent2 5 5 2" xfId="6323" xr:uid="{00000000-0005-0000-0000-00003A0C0000}"/>
    <cellStyle name="40% - Accent2 5 5 3" xfId="6324" xr:uid="{00000000-0005-0000-0000-00003B0C0000}"/>
    <cellStyle name="40% - Accent2 5 6" xfId="6325" xr:uid="{00000000-0005-0000-0000-00003C0C0000}"/>
    <cellStyle name="40% - Accent2 5 7" xfId="6326" xr:uid="{00000000-0005-0000-0000-00003D0C0000}"/>
    <cellStyle name="40% - Accent2 5 8" xfId="6289" xr:uid="{00000000-0005-0000-0000-0000180C0000}"/>
    <cellStyle name="40% - Accent2 6" xfId="231" xr:uid="{00000000-0005-0000-0000-000046000000}"/>
    <cellStyle name="40% - Accent2 6 2" xfId="6327" xr:uid="{00000000-0005-0000-0000-00003F0C0000}"/>
    <cellStyle name="40% - Accent2 6 2 2" xfId="6328" xr:uid="{00000000-0005-0000-0000-0000400C0000}"/>
    <cellStyle name="40% - Accent2 6 2 2 2" xfId="6329" xr:uid="{00000000-0005-0000-0000-0000410C0000}"/>
    <cellStyle name="40% - Accent2 6 2 2 2 2" xfId="6330" xr:uid="{00000000-0005-0000-0000-0000420C0000}"/>
    <cellStyle name="40% - Accent2 6 2 2 2 3" xfId="6331" xr:uid="{00000000-0005-0000-0000-0000430C0000}"/>
    <cellStyle name="40% - Accent2 6 2 2 3" xfId="6332" xr:uid="{00000000-0005-0000-0000-0000440C0000}"/>
    <cellStyle name="40% - Accent2 6 2 2 4" xfId="6333" xr:uid="{00000000-0005-0000-0000-0000450C0000}"/>
    <cellStyle name="40% - Accent2 6 2 3" xfId="6334" xr:uid="{00000000-0005-0000-0000-0000460C0000}"/>
    <cellStyle name="40% - Accent2 6 2 3 2" xfId="6335" xr:uid="{00000000-0005-0000-0000-0000470C0000}"/>
    <cellStyle name="40% - Accent2 6 2 3 3" xfId="6336" xr:uid="{00000000-0005-0000-0000-0000480C0000}"/>
    <cellStyle name="40% - Accent2 6 2 4" xfId="6337" xr:uid="{00000000-0005-0000-0000-0000490C0000}"/>
    <cellStyle name="40% - Accent2 6 2 5" xfId="6338" xr:uid="{00000000-0005-0000-0000-00004A0C0000}"/>
    <cellStyle name="40% - Accent2 6 3" xfId="6339" xr:uid="{00000000-0005-0000-0000-00004B0C0000}"/>
    <cellStyle name="40% - Accent2 6 3 2" xfId="6340" xr:uid="{00000000-0005-0000-0000-00004C0C0000}"/>
    <cellStyle name="40% - Accent2 6 3 2 2" xfId="6341" xr:uid="{00000000-0005-0000-0000-00004D0C0000}"/>
    <cellStyle name="40% - Accent2 6 3 2 3" xfId="6342" xr:uid="{00000000-0005-0000-0000-00004E0C0000}"/>
    <cellStyle name="40% - Accent2 6 3 3" xfId="6343" xr:uid="{00000000-0005-0000-0000-00004F0C0000}"/>
    <cellStyle name="40% - Accent2 6 3 4" xfId="6344" xr:uid="{00000000-0005-0000-0000-0000500C0000}"/>
    <cellStyle name="40% - Accent2 6 4" xfId="6345" xr:uid="{00000000-0005-0000-0000-0000510C0000}"/>
    <cellStyle name="40% - Accent2 7" xfId="232" xr:uid="{00000000-0005-0000-0000-000047000000}"/>
    <cellStyle name="40% - Accent2 7 2" xfId="6346" xr:uid="{00000000-0005-0000-0000-0000530C0000}"/>
    <cellStyle name="40% - Accent2 7 3" xfId="6347" xr:uid="{00000000-0005-0000-0000-0000540C0000}"/>
    <cellStyle name="40% - Accent2 7 4" xfId="6348" xr:uid="{00000000-0005-0000-0000-0000550C0000}"/>
    <cellStyle name="40% - Accent2 8" xfId="6349" xr:uid="{00000000-0005-0000-0000-0000560C0000}"/>
    <cellStyle name="40% - Accent2 8 2" xfId="6350" xr:uid="{00000000-0005-0000-0000-0000570C0000}"/>
    <cellStyle name="40% - Accent2 8 2 2" xfId="6351" xr:uid="{00000000-0005-0000-0000-0000580C0000}"/>
    <cellStyle name="40% - Accent2 8 2 3" xfId="6352" xr:uid="{00000000-0005-0000-0000-0000590C0000}"/>
    <cellStyle name="40% - Accent2 8 3" xfId="6353" xr:uid="{00000000-0005-0000-0000-00005A0C0000}"/>
    <cellStyle name="40% - Accent2 8 4" xfId="6354" xr:uid="{00000000-0005-0000-0000-00005B0C0000}"/>
    <cellStyle name="40% - Accent2 9" xfId="6355" xr:uid="{00000000-0005-0000-0000-00005C0C0000}"/>
    <cellStyle name="40% - Accent2 9 2" xfId="6356" xr:uid="{00000000-0005-0000-0000-00005D0C0000}"/>
    <cellStyle name="40% - Accent2 9 2 2" xfId="6357" xr:uid="{00000000-0005-0000-0000-00005E0C0000}"/>
    <cellStyle name="40% - Accent2 9 2 3" xfId="6358" xr:uid="{00000000-0005-0000-0000-00005F0C0000}"/>
    <cellStyle name="40% - Accent2 9 3" xfId="6359" xr:uid="{00000000-0005-0000-0000-0000600C0000}"/>
    <cellStyle name="40% - Accent2 9 4" xfId="6360" xr:uid="{00000000-0005-0000-0000-0000610C0000}"/>
    <cellStyle name="40% - Accent3" xfId="91" builtinId="39" customBuiltin="1"/>
    <cellStyle name="40% - Accent3 10" xfId="6361" xr:uid="{00000000-0005-0000-0000-0000620C0000}"/>
    <cellStyle name="40% - Accent3 10 2" xfId="6362" xr:uid="{00000000-0005-0000-0000-0000630C0000}"/>
    <cellStyle name="40% - Accent3 10 2 2" xfId="6363" xr:uid="{00000000-0005-0000-0000-0000640C0000}"/>
    <cellStyle name="40% - Accent3 10 2 3" xfId="6364" xr:uid="{00000000-0005-0000-0000-0000650C0000}"/>
    <cellStyle name="40% - Accent3 10 3" xfId="6365" xr:uid="{00000000-0005-0000-0000-0000660C0000}"/>
    <cellStyle name="40% - Accent3 10 4" xfId="6366" xr:uid="{00000000-0005-0000-0000-0000670C0000}"/>
    <cellStyle name="40% - Accent3 10 4 2" xfId="6367" xr:uid="{00000000-0005-0000-0000-0000680C0000}"/>
    <cellStyle name="40% - Accent3 10 5" xfId="6368" xr:uid="{00000000-0005-0000-0000-0000690C0000}"/>
    <cellStyle name="40% - Accent3 11" xfId="6369" xr:uid="{00000000-0005-0000-0000-00006A0C0000}"/>
    <cellStyle name="40% - Accent3 11 2" xfId="6370" xr:uid="{00000000-0005-0000-0000-00006B0C0000}"/>
    <cellStyle name="40% - Accent3 11 3" xfId="6371" xr:uid="{00000000-0005-0000-0000-00006C0C0000}"/>
    <cellStyle name="40% - Accent3 11 3 2" xfId="6372" xr:uid="{00000000-0005-0000-0000-00006D0C0000}"/>
    <cellStyle name="40% - Accent3 12" xfId="6373" xr:uid="{00000000-0005-0000-0000-00006E0C0000}"/>
    <cellStyle name="40% - Accent3 12 2" xfId="6374" xr:uid="{00000000-0005-0000-0000-00006F0C0000}"/>
    <cellStyle name="40% - Accent3 12 3" xfId="6375" xr:uid="{00000000-0005-0000-0000-0000700C0000}"/>
    <cellStyle name="40% - Accent3 13" xfId="6376" xr:uid="{00000000-0005-0000-0000-0000710C0000}"/>
    <cellStyle name="40% - Accent3 13 2" xfId="6377" xr:uid="{00000000-0005-0000-0000-0000720C0000}"/>
    <cellStyle name="40% - Accent3 13 3" xfId="6378" xr:uid="{00000000-0005-0000-0000-0000730C0000}"/>
    <cellStyle name="40% - Accent3 14" xfId="6379" xr:uid="{00000000-0005-0000-0000-0000740C0000}"/>
    <cellStyle name="40% - Accent3 14 2" xfId="6380" xr:uid="{00000000-0005-0000-0000-0000750C0000}"/>
    <cellStyle name="40% - Accent3 15" xfId="6381" xr:uid="{00000000-0005-0000-0000-0000760C0000}"/>
    <cellStyle name="40% - Accent3 16" xfId="6382" xr:uid="{00000000-0005-0000-0000-0000770C0000}"/>
    <cellStyle name="40% - Accent3 2" xfId="233" xr:uid="{00000000-0005-0000-0000-000048000000}"/>
    <cellStyle name="40% - Accent3 2 2" xfId="6383" xr:uid="{00000000-0005-0000-0000-0000790C0000}"/>
    <cellStyle name="40% - Accent3 2 3" xfId="6384" xr:uid="{00000000-0005-0000-0000-00007A0C0000}"/>
    <cellStyle name="40% - Accent3 2 3 2" xfId="6385" xr:uid="{00000000-0005-0000-0000-00007B0C0000}"/>
    <cellStyle name="40% - Accent3 2 3 2 2" xfId="6386" xr:uid="{00000000-0005-0000-0000-00007C0C0000}"/>
    <cellStyle name="40% - Accent3 2 3 2 2 2" xfId="6387" xr:uid="{00000000-0005-0000-0000-00007D0C0000}"/>
    <cellStyle name="40% - Accent3 2 3 2 2 2 2" xfId="6388" xr:uid="{00000000-0005-0000-0000-00007E0C0000}"/>
    <cellStyle name="40% - Accent3 2 3 2 2 2 3" xfId="6389" xr:uid="{00000000-0005-0000-0000-00007F0C0000}"/>
    <cellStyle name="40% - Accent3 2 3 2 2 3" xfId="6390" xr:uid="{00000000-0005-0000-0000-0000800C0000}"/>
    <cellStyle name="40% - Accent3 2 3 2 2 3 2" xfId="6391" xr:uid="{00000000-0005-0000-0000-0000810C0000}"/>
    <cellStyle name="40% - Accent3 2 3 2 2 4" xfId="6392" xr:uid="{00000000-0005-0000-0000-0000820C0000}"/>
    <cellStyle name="40% - Accent3 2 3 2 3" xfId="6393" xr:uid="{00000000-0005-0000-0000-0000830C0000}"/>
    <cellStyle name="40% - Accent3 2 3 2 3 2" xfId="6394" xr:uid="{00000000-0005-0000-0000-0000840C0000}"/>
    <cellStyle name="40% - Accent3 2 3 2 3 2 2" xfId="6395" xr:uid="{00000000-0005-0000-0000-0000850C0000}"/>
    <cellStyle name="40% - Accent3 2 3 2 3 2 3" xfId="6396" xr:uid="{00000000-0005-0000-0000-0000860C0000}"/>
    <cellStyle name="40% - Accent3 2 3 2 3 3" xfId="6397" xr:uid="{00000000-0005-0000-0000-0000870C0000}"/>
    <cellStyle name="40% - Accent3 2 3 2 3 3 2" xfId="6398" xr:uid="{00000000-0005-0000-0000-0000880C0000}"/>
    <cellStyle name="40% - Accent3 2 3 2 3 4" xfId="6399" xr:uid="{00000000-0005-0000-0000-0000890C0000}"/>
    <cellStyle name="40% - Accent3 2 3 2 4" xfId="6400" xr:uid="{00000000-0005-0000-0000-00008A0C0000}"/>
    <cellStyle name="40% - Accent3 2 3 2 4 2" xfId="6401" xr:uid="{00000000-0005-0000-0000-00008B0C0000}"/>
    <cellStyle name="40% - Accent3 2 3 2 4 3" xfId="6402" xr:uid="{00000000-0005-0000-0000-00008C0C0000}"/>
    <cellStyle name="40% - Accent3 2 3 2 5" xfId="6403" xr:uid="{00000000-0005-0000-0000-00008D0C0000}"/>
    <cellStyle name="40% - Accent3 2 3 2 6" xfId="6404" xr:uid="{00000000-0005-0000-0000-00008E0C0000}"/>
    <cellStyle name="40% - Accent3 2 3 2 6 2" xfId="6405" xr:uid="{00000000-0005-0000-0000-00008F0C0000}"/>
    <cellStyle name="40% - Accent3 2 3 2 7" xfId="6406" xr:uid="{00000000-0005-0000-0000-0000900C0000}"/>
    <cellStyle name="40% - Accent3 2 3 3" xfId="6407" xr:uid="{00000000-0005-0000-0000-0000910C0000}"/>
    <cellStyle name="40% - Accent3 2 3 3 2" xfId="6408" xr:uid="{00000000-0005-0000-0000-0000920C0000}"/>
    <cellStyle name="40% - Accent3 2 3 3 2 2" xfId="6409" xr:uid="{00000000-0005-0000-0000-0000930C0000}"/>
    <cellStyle name="40% - Accent3 2 3 3 2 3" xfId="6410" xr:uid="{00000000-0005-0000-0000-0000940C0000}"/>
    <cellStyle name="40% - Accent3 2 3 3 3" xfId="6411" xr:uid="{00000000-0005-0000-0000-0000950C0000}"/>
    <cellStyle name="40% - Accent3 2 3 3 3 2" xfId="6412" xr:uid="{00000000-0005-0000-0000-0000960C0000}"/>
    <cellStyle name="40% - Accent3 2 3 3 4" xfId="6413" xr:uid="{00000000-0005-0000-0000-0000970C0000}"/>
    <cellStyle name="40% - Accent3 2 3 4" xfId="6414" xr:uid="{00000000-0005-0000-0000-0000980C0000}"/>
    <cellStyle name="40% - Accent3 2 3 4 2" xfId="6415" xr:uid="{00000000-0005-0000-0000-0000990C0000}"/>
    <cellStyle name="40% - Accent3 2 3 4 2 2" xfId="6416" xr:uid="{00000000-0005-0000-0000-00009A0C0000}"/>
    <cellStyle name="40% - Accent3 2 3 4 2 3" xfId="6417" xr:uid="{00000000-0005-0000-0000-00009B0C0000}"/>
    <cellStyle name="40% - Accent3 2 3 4 3" xfId="6418" xr:uid="{00000000-0005-0000-0000-00009C0C0000}"/>
    <cellStyle name="40% - Accent3 2 3 4 3 2" xfId="6419" xr:uid="{00000000-0005-0000-0000-00009D0C0000}"/>
    <cellStyle name="40% - Accent3 2 3 4 4" xfId="6420" xr:uid="{00000000-0005-0000-0000-00009E0C0000}"/>
    <cellStyle name="40% - Accent3 2 3 5" xfId="6421" xr:uid="{00000000-0005-0000-0000-00009F0C0000}"/>
    <cellStyle name="40% - Accent3 2 3 5 2" xfId="6422" xr:uid="{00000000-0005-0000-0000-0000A00C0000}"/>
    <cellStyle name="40% - Accent3 2 3 5 3" xfId="6423" xr:uid="{00000000-0005-0000-0000-0000A10C0000}"/>
    <cellStyle name="40% - Accent3 2 3 6" xfId="6424" xr:uid="{00000000-0005-0000-0000-0000A20C0000}"/>
    <cellStyle name="40% - Accent3 2 3 7" xfId="6425" xr:uid="{00000000-0005-0000-0000-0000A30C0000}"/>
    <cellStyle name="40% - Accent3 2 3 7 2" xfId="6426" xr:uid="{00000000-0005-0000-0000-0000A40C0000}"/>
    <cellStyle name="40% - Accent3 2 3 8" xfId="6427" xr:uid="{00000000-0005-0000-0000-0000A50C0000}"/>
    <cellStyle name="40% - Accent3 2 4" xfId="6428" xr:uid="{00000000-0005-0000-0000-0000A60C0000}"/>
    <cellStyle name="40% - Accent3 2 4 2" xfId="6429" xr:uid="{00000000-0005-0000-0000-0000A70C0000}"/>
    <cellStyle name="40% - Accent3 2 4 2 2" xfId="6430" xr:uid="{00000000-0005-0000-0000-0000A80C0000}"/>
    <cellStyle name="40% - Accent3 2 4 2 2 2" xfId="6431" xr:uid="{00000000-0005-0000-0000-0000A90C0000}"/>
    <cellStyle name="40% - Accent3 2 4 2 2 2 2" xfId="6432" xr:uid="{00000000-0005-0000-0000-0000AA0C0000}"/>
    <cellStyle name="40% - Accent3 2 4 2 2 2 3" xfId="6433" xr:uid="{00000000-0005-0000-0000-0000AB0C0000}"/>
    <cellStyle name="40% - Accent3 2 4 2 2 3" xfId="6434" xr:uid="{00000000-0005-0000-0000-0000AC0C0000}"/>
    <cellStyle name="40% - Accent3 2 4 2 2 3 2" xfId="6435" xr:uid="{00000000-0005-0000-0000-0000AD0C0000}"/>
    <cellStyle name="40% - Accent3 2 4 2 2 4" xfId="6436" xr:uid="{00000000-0005-0000-0000-0000AE0C0000}"/>
    <cellStyle name="40% - Accent3 2 4 2 3" xfId="6437" xr:uid="{00000000-0005-0000-0000-0000AF0C0000}"/>
    <cellStyle name="40% - Accent3 2 4 2 3 2" xfId="6438" xr:uid="{00000000-0005-0000-0000-0000B00C0000}"/>
    <cellStyle name="40% - Accent3 2 4 2 3 2 2" xfId="6439" xr:uid="{00000000-0005-0000-0000-0000B10C0000}"/>
    <cellStyle name="40% - Accent3 2 4 2 3 2 3" xfId="6440" xr:uid="{00000000-0005-0000-0000-0000B20C0000}"/>
    <cellStyle name="40% - Accent3 2 4 2 3 3" xfId="6441" xr:uid="{00000000-0005-0000-0000-0000B30C0000}"/>
    <cellStyle name="40% - Accent3 2 4 2 3 3 2" xfId="6442" xr:uid="{00000000-0005-0000-0000-0000B40C0000}"/>
    <cellStyle name="40% - Accent3 2 4 2 3 4" xfId="6443" xr:uid="{00000000-0005-0000-0000-0000B50C0000}"/>
    <cellStyle name="40% - Accent3 2 4 2 4" xfId="6444" xr:uid="{00000000-0005-0000-0000-0000B60C0000}"/>
    <cellStyle name="40% - Accent3 2 4 2 4 2" xfId="6445" xr:uid="{00000000-0005-0000-0000-0000B70C0000}"/>
    <cellStyle name="40% - Accent3 2 4 2 4 3" xfId="6446" xr:uid="{00000000-0005-0000-0000-0000B80C0000}"/>
    <cellStyle name="40% - Accent3 2 4 2 5" xfId="6447" xr:uid="{00000000-0005-0000-0000-0000B90C0000}"/>
    <cellStyle name="40% - Accent3 2 4 2 6" xfId="6448" xr:uid="{00000000-0005-0000-0000-0000BA0C0000}"/>
    <cellStyle name="40% - Accent3 2 4 2 6 2" xfId="6449" xr:uid="{00000000-0005-0000-0000-0000BB0C0000}"/>
    <cellStyle name="40% - Accent3 2 4 2 7" xfId="6450" xr:uid="{00000000-0005-0000-0000-0000BC0C0000}"/>
    <cellStyle name="40% - Accent3 2 4 3" xfId="6451" xr:uid="{00000000-0005-0000-0000-0000BD0C0000}"/>
    <cellStyle name="40% - Accent3 2 4 3 2" xfId="6452" xr:uid="{00000000-0005-0000-0000-0000BE0C0000}"/>
    <cellStyle name="40% - Accent3 2 4 3 2 2" xfId="6453" xr:uid="{00000000-0005-0000-0000-0000BF0C0000}"/>
    <cellStyle name="40% - Accent3 2 4 3 2 3" xfId="6454" xr:uid="{00000000-0005-0000-0000-0000C00C0000}"/>
    <cellStyle name="40% - Accent3 2 4 3 3" xfId="6455" xr:uid="{00000000-0005-0000-0000-0000C10C0000}"/>
    <cellStyle name="40% - Accent3 2 4 3 3 2" xfId="6456" xr:uid="{00000000-0005-0000-0000-0000C20C0000}"/>
    <cellStyle name="40% - Accent3 2 4 3 4" xfId="6457" xr:uid="{00000000-0005-0000-0000-0000C30C0000}"/>
    <cellStyle name="40% - Accent3 2 4 4" xfId="6458" xr:uid="{00000000-0005-0000-0000-0000C40C0000}"/>
    <cellStyle name="40% - Accent3 2 4 4 2" xfId="6459" xr:uid="{00000000-0005-0000-0000-0000C50C0000}"/>
    <cellStyle name="40% - Accent3 2 4 4 2 2" xfId="6460" xr:uid="{00000000-0005-0000-0000-0000C60C0000}"/>
    <cellStyle name="40% - Accent3 2 4 4 2 3" xfId="6461" xr:uid="{00000000-0005-0000-0000-0000C70C0000}"/>
    <cellStyle name="40% - Accent3 2 4 4 3" xfId="6462" xr:uid="{00000000-0005-0000-0000-0000C80C0000}"/>
    <cellStyle name="40% - Accent3 2 4 4 3 2" xfId="6463" xr:uid="{00000000-0005-0000-0000-0000C90C0000}"/>
    <cellStyle name="40% - Accent3 2 4 4 4" xfId="6464" xr:uid="{00000000-0005-0000-0000-0000CA0C0000}"/>
    <cellStyle name="40% - Accent3 2 4 5" xfId="6465" xr:uid="{00000000-0005-0000-0000-0000CB0C0000}"/>
    <cellStyle name="40% - Accent3 2 4 5 2" xfId="6466" xr:uid="{00000000-0005-0000-0000-0000CC0C0000}"/>
    <cellStyle name="40% - Accent3 2 4 5 3" xfId="6467" xr:uid="{00000000-0005-0000-0000-0000CD0C0000}"/>
    <cellStyle name="40% - Accent3 2 4 6" xfId="6468" xr:uid="{00000000-0005-0000-0000-0000CE0C0000}"/>
    <cellStyle name="40% - Accent3 2 4 7" xfId="6469" xr:uid="{00000000-0005-0000-0000-0000CF0C0000}"/>
    <cellStyle name="40% - Accent3 2 4 7 2" xfId="6470" xr:uid="{00000000-0005-0000-0000-0000D00C0000}"/>
    <cellStyle name="40% - Accent3 2 4 8" xfId="6471" xr:uid="{00000000-0005-0000-0000-0000D10C0000}"/>
    <cellStyle name="40% - Accent3 2 5" xfId="6472" xr:uid="{00000000-0005-0000-0000-0000D20C0000}"/>
    <cellStyle name="40% - Accent3 2 5 2" xfId="6473" xr:uid="{00000000-0005-0000-0000-0000D30C0000}"/>
    <cellStyle name="40% - Accent3 2 5 2 2" xfId="6474" xr:uid="{00000000-0005-0000-0000-0000D40C0000}"/>
    <cellStyle name="40% - Accent3 2 5 2 2 2" xfId="6475" xr:uid="{00000000-0005-0000-0000-0000D50C0000}"/>
    <cellStyle name="40% - Accent3 2 5 2 2 2 2" xfId="6476" xr:uid="{00000000-0005-0000-0000-0000D60C0000}"/>
    <cellStyle name="40% - Accent3 2 5 2 2 2 3" xfId="6477" xr:uid="{00000000-0005-0000-0000-0000D70C0000}"/>
    <cellStyle name="40% - Accent3 2 5 2 2 3" xfId="6478" xr:uid="{00000000-0005-0000-0000-0000D80C0000}"/>
    <cellStyle name="40% - Accent3 2 5 2 2 3 2" xfId="6479" xr:uid="{00000000-0005-0000-0000-0000D90C0000}"/>
    <cellStyle name="40% - Accent3 2 5 2 2 4" xfId="6480" xr:uid="{00000000-0005-0000-0000-0000DA0C0000}"/>
    <cellStyle name="40% - Accent3 2 5 2 3" xfId="6481" xr:uid="{00000000-0005-0000-0000-0000DB0C0000}"/>
    <cellStyle name="40% - Accent3 2 5 2 3 2" xfId="6482" xr:uid="{00000000-0005-0000-0000-0000DC0C0000}"/>
    <cellStyle name="40% - Accent3 2 5 2 3 2 2" xfId="6483" xr:uid="{00000000-0005-0000-0000-0000DD0C0000}"/>
    <cellStyle name="40% - Accent3 2 5 2 3 2 3" xfId="6484" xr:uid="{00000000-0005-0000-0000-0000DE0C0000}"/>
    <cellStyle name="40% - Accent3 2 5 2 3 3" xfId="6485" xr:uid="{00000000-0005-0000-0000-0000DF0C0000}"/>
    <cellStyle name="40% - Accent3 2 5 2 3 3 2" xfId="6486" xr:uid="{00000000-0005-0000-0000-0000E00C0000}"/>
    <cellStyle name="40% - Accent3 2 5 2 3 4" xfId="6487" xr:uid="{00000000-0005-0000-0000-0000E10C0000}"/>
    <cellStyle name="40% - Accent3 2 5 2 4" xfId="6488" xr:uid="{00000000-0005-0000-0000-0000E20C0000}"/>
    <cellStyle name="40% - Accent3 2 5 2 4 2" xfId="6489" xr:uid="{00000000-0005-0000-0000-0000E30C0000}"/>
    <cellStyle name="40% - Accent3 2 5 2 4 3" xfId="6490" xr:uid="{00000000-0005-0000-0000-0000E40C0000}"/>
    <cellStyle name="40% - Accent3 2 5 2 5" xfId="6491" xr:uid="{00000000-0005-0000-0000-0000E50C0000}"/>
    <cellStyle name="40% - Accent3 2 5 2 6" xfId="6492" xr:uid="{00000000-0005-0000-0000-0000E60C0000}"/>
    <cellStyle name="40% - Accent3 2 5 2 6 2" xfId="6493" xr:uid="{00000000-0005-0000-0000-0000E70C0000}"/>
    <cellStyle name="40% - Accent3 2 5 2 7" xfId="6494" xr:uid="{00000000-0005-0000-0000-0000E80C0000}"/>
    <cellStyle name="40% - Accent3 2 5 3" xfId="6495" xr:uid="{00000000-0005-0000-0000-0000E90C0000}"/>
    <cellStyle name="40% - Accent3 2 5 3 2" xfId="6496" xr:uid="{00000000-0005-0000-0000-0000EA0C0000}"/>
    <cellStyle name="40% - Accent3 2 5 3 2 2" xfId="6497" xr:uid="{00000000-0005-0000-0000-0000EB0C0000}"/>
    <cellStyle name="40% - Accent3 2 5 3 2 3" xfId="6498" xr:uid="{00000000-0005-0000-0000-0000EC0C0000}"/>
    <cellStyle name="40% - Accent3 2 5 3 3" xfId="6499" xr:uid="{00000000-0005-0000-0000-0000ED0C0000}"/>
    <cellStyle name="40% - Accent3 2 5 3 3 2" xfId="6500" xr:uid="{00000000-0005-0000-0000-0000EE0C0000}"/>
    <cellStyle name="40% - Accent3 2 5 3 4" xfId="6501" xr:uid="{00000000-0005-0000-0000-0000EF0C0000}"/>
    <cellStyle name="40% - Accent3 2 5 4" xfId="6502" xr:uid="{00000000-0005-0000-0000-0000F00C0000}"/>
    <cellStyle name="40% - Accent3 2 5 4 2" xfId="6503" xr:uid="{00000000-0005-0000-0000-0000F10C0000}"/>
    <cellStyle name="40% - Accent3 2 5 4 2 2" xfId="6504" xr:uid="{00000000-0005-0000-0000-0000F20C0000}"/>
    <cellStyle name="40% - Accent3 2 5 4 2 3" xfId="6505" xr:uid="{00000000-0005-0000-0000-0000F30C0000}"/>
    <cellStyle name="40% - Accent3 2 5 4 3" xfId="6506" xr:uid="{00000000-0005-0000-0000-0000F40C0000}"/>
    <cellStyle name="40% - Accent3 2 5 4 3 2" xfId="6507" xr:uid="{00000000-0005-0000-0000-0000F50C0000}"/>
    <cellStyle name="40% - Accent3 2 5 4 4" xfId="6508" xr:uid="{00000000-0005-0000-0000-0000F60C0000}"/>
    <cellStyle name="40% - Accent3 2 5 5" xfId="6509" xr:uid="{00000000-0005-0000-0000-0000F70C0000}"/>
    <cellStyle name="40% - Accent3 2 5 5 2" xfId="6510" xr:uid="{00000000-0005-0000-0000-0000F80C0000}"/>
    <cellStyle name="40% - Accent3 2 5 5 3" xfId="6511" xr:uid="{00000000-0005-0000-0000-0000F90C0000}"/>
    <cellStyle name="40% - Accent3 2 5 6" xfId="6512" xr:uid="{00000000-0005-0000-0000-0000FA0C0000}"/>
    <cellStyle name="40% - Accent3 2 5 7" xfId="6513" xr:uid="{00000000-0005-0000-0000-0000FB0C0000}"/>
    <cellStyle name="40% - Accent3 2 5 7 2" xfId="6514" xr:uid="{00000000-0005-0000-0000-0000FC0C0000}"/>
    <cellStyle name="40% - Accent3 2 5 8" xfId="6515" xr:uid="{00000000-0005-0000-0000-0000FD0C0000}"/>
    <cellStyle name="40% - Accent3 2 6" xfId="6516" xr:uid="{00000000-0005-0000-0000-0000FE0C0000}"/>
    <cellStyle name="40% - Accent3 2 6 2" xfId="6517" xr:uid="{00000000-0005-0000-0000-0000FF0C0000}"/>
    <cellStyle name="40% - Accent3 2 6 2 2" xfId="6518" xr:uid="{00000000-0005-0000-0000-0000000D0000}"/>
    <cellStyle name="40% - Accent3 2 6 2 2 2" xfId="6519" xr:uid="{00000000-0005-0000-0000-0000010D0000}"/>
    <cellStyle name="40% - Accent3 2 6 2 2 2 2" xfId="6520" xr:uid="{00000000-0005-0000-0000-0000020D0000}"/>
    <cellStyle name="40% - Accent3 2 6 2 2 2 3" xfId="6521" xr:uid="{00000000-0005-0000-0000-0000030D0000}"/>
    <cellStyle name="40% - Accent3 2 6 2 2 3" xfId="6522" xr:uid="{00000000-0005-0000-0000-0000040D0000}"/>
    <cellStyle name="40% - Accent3 2 6 2 2 3 2" xfId="6523" xr:uid="{00000000-0005-0000-0000-0000050D0000}"/>
    <cellStyle name="40% - Accent3 2 6 2 2 4" xfId="6524" xr:uid="{00000000-0005-0000-0000-0000060D0000}"/>
    <cellStyle name="40% - Accent3 2 6 2 3" xfId="6525" xr:uid="{00000000-0005-0000-0000-0000070D0000}"/>
    <cellStyle name="40% - Accent3 2 6 2 3 2" xfId="6526" xr:uid="{00000000-0005-0000-0000-0000080D0000}"/>
    <cellStyle name="40% - Accent3 2 6 2 3 2 2" xfId="6527" xr:uid="{00000000-0005-0000-0000-0000090D0000}"/>
    <cellStyle name="40% - Accent3 2 6 2 3 2 3" xfId="6528" xr:uid="{00000000-0005-0000-0000-00000A0D0000}"/>
    <cellStyle name="40% - Accent3 2 6 2 3 3" xfId="6529" xr:uid="{00000000-0005-0000-0000-00000B0D0000}"/>
    <cellStyle name="40% - Accent3 2 6 2 3 3 2" xfId="6530" xr:uid="{00000000-0005-0000-0000-00000C0D0000}"/>
    <cellStyle name="40% - Accent3 2 6 2 3 4" xfId="6531" xr:uid="{00000000-0005-0000-0000-00000D0D0000}"/>
    <cellStyle name="40% - Accent3 2 6 2 4" xfId="6532" xr:uid="{00000000-0005-0000-0000-00000E0D0000}"/>
    <cellStyle name="40% - Accent3 2 6 2 4 2" xfId="6533" xr:uid="{00000000-0005-0000-0000-00000F0D0000}"/>
    <cellStyle name="40% - Accent3 2 6 2 4 3" xfId="6534" xr:uid="{00000000-0005-0000-0000-0000100D0000}"/>
    <cellStyle name="40% - Accent3 2 6 2 5" xfId="6535" xr:uid="{00000000-0005-0000-0000-0000110D0000}"/>
    <cellStyle name="40% - Accent3 2 6 2 6" xfId="6536" xr:uid="{00000000-0005-0000-0000-0000120D0000}"/>
    <cellStyle name="40% - Accent3 2 6 2 6 2" xfId="6537" xr:uid="{00000000-0005-0000-0000-0000130D0000}"/>
    <cellStyle name="40% - Accent3 2 6 2 7" xfId="6538" xr:uid="{00000000-0005-0000-0000-0000140D0000}"/>
    <cellStyle name="40% - Accent3 2 6 3" xfId="6539" xr:uid="{00000000-0005-0000-0000-0000150D0000}"/>
    <cellStyle name="40% - Accent3 2 6 3 2" xfId="6540" xr:uid="{00000000-0005-0000-0000-0000160D0000}"/>
    <cellStyle name="40% - Accent3 2 6 3 2 2" xfId="6541" xr:uid="{00000000-0005-0000-0000-0000170D0000}"/>
    <cellStyle name="40% - Accent3 2 6 3 2 3" xfId="6542" xr:uid="{00000000-0005-0000-0000-0000180D0000}"/>
    <cellStyle name="40% - Accent3 2 6 3 3" xfId="6543" xr:uid="{00000000-0005-0000-0000-0000190D0000}"/>
    <cellStyle name="40% - Accent3 2 6 3 3 2" xfId="6544" xr:uid="{00000000-0005-0000-0000-00001A0D0000}"/>
    <cellStyle name="40% - Accent3 2 6 3 4" xfId="6545" xr:uid="{00000000-0005-0000-0000-00001B0D0000}"/>
    <cellStyle name="40% - Accent3 2 6 4" xfId="6546" xr:uid="{00000000-0005-0000-0000-00001C0D0000}"/>
    <cellStyle name="40% - Accent3 2 6 4 2" xfId="6547" xr:uid="{00000000-0005-0000-0000-00001D0D0000}"/>
    <cellStyle name="40% - Accent3 2 6 4 2 2" xfId="6548" xr:uid="{00000000-0005-0000-0000-00001E0D0000}"/>
    <cellStyle name="40% - Accent3 2 6 4 2 3" xfId="6549" xr:uid="{00000000-0005-0000-0000-00001F0D0000}"/>
    <cellStyle name="40% - Accent3 2 6 4 3" xfId="6550" xr:uid="{00000000-0005-0000-0000-0000200D0000}"/>
    <cellStyle name="40% - Accent3 2 6 4 3 2" xfId="6551" xr:uid="{00000000-0005-0000-0000-0000210D0000}"/>
    <cellStyle name="40% - Accent3 2 6 4 4" xfId="6552" xr:uid="{00000000-0005-0000-0000-0000220D0000}"/>
    <cellStyle name="40% - Accent3 2 6 5" xfId="6553" xr:uid="{00000000-0005-0000-0000-0000230D0000}"/>
    <cellStyle name="40% - Accent3 2 6 5 2" xfId="6554" xr:uid="{00000000-0005-0000-0000-0000240D0000}"/>
    <cellStyle name="40% - Accent3 2 6 5 3" xfId="6555" xr:uid="{00000000-0005-0000-0000-0000250D0000}"/>
    <cellStyle name="40% - Accent3 2 6 6" xfId="6556" xr:uid="{00000000-0005-0000-0000-0000260D0000}"/>
    <cellStyle name="40% - Accent3 2 6 7" xfId="6557" xr:uid="{00000000-0005-0000-0000-0000270D0000}"/>
    <cellStyle name="40% - Accent3 2 6 7 2" xfId="6558" xr:uid="{00000000-0005-0000-0000-0000280D0000}"/>
    <cellStyle name="40% - Accent3 2 6 8" xfId="6559" xr:uid="{00000000-0005-0000-0000-0000290D0000}"/>
    <cellStyle name="40% - Accent3 2 7" xfId="6560" xr:uid="{00000000-0005-0000-0000-00002A0D0000}"/>
    <cellStyle name="40% - Accent3 2 7 2" xfId="6561" xr:uid="{00000000-0005-0000-0000-00002B0D0000}"/>
    <cellStyle name="40% - Accent3 2 7 2 2" xfId="6562" xr:uid="{00000000-0005-0000-0000-00002C0D0000}"/>
    <cellStyle name="40% - Accent3 2 7 2 3" xfId="6563" xr:uid="{00000000-0005-0000-0000-00002D0D0000}"/>
    <cellStyle name="40% - Accent3 2 7 3" xfId="6564" xr:uid="{00000000-0005-0000-0000-00002E0D0000}"/>
    <cellStyle name="40% - Accent3 2 7 3 2" xfId="6565" xr:uid="{00000000-0005-0000-0000-00002F0D0000}"/>
    <cellStyle name="40% - Accent3 2 7 4" xfId="6566" xr:uid="{00000000-0005-0000-0000-0000300D0000}"/>
    <cellStyle name="40% - Accent3 3" xfId="234" xr:uid="{00000000-0005-0000-0000-000049000000}"/>
    <cellStyle name="40% - Accent3 3 10" xfId="6567" xr:uid="{00000000-0005-0000-0000-0000310D0000}"/>
    <cellStyle name="40% - Accent3 3 2" xfId="6568" xr:uid="{00000000-0005-0000-0000-0000320D0000}"/>
    <cellStyle name="40% - Accent3 3 2 2" xfId="6569" xr:uid="{00000000-0005-0000-0000-0000330D0000}"/>
    <cellStyle name="40% - Accent3 3 2 2 2" xfId="6570" xr:uid="{00000000-0005-0000-0000-0000340D0000}"/>
    <cellStyle name="40% - Accent3 3 2 2 2 2" xfId="6571" xr:uid="{00000000-0005-0000-0000-0000350D0000}"/>
    <cellStyle name="40% - Accent3 3 2 2 2 2 2" xfId="6572" xr:uid="{00000000-0005-0000-0000-0000360D0000}"/>
    <cellStyle name="40% - Accent3 3 2 2 2 2 3" xfId="6573" xr:uid="{00000000-0005-0000-0000-0000370D0000}"/>
    <cellStyle name="40% - Accent3 3 2 2 2 3" xfId="6574" xr:uid="{00000000-0005-0000-0000-0000380D0000}"/>
    <cellStyle name="40% - Accent3 3 2 2 2 3 2" xfId="6575" xr:uid="{00000000-0005-0000-0000-0000390D0000}"/>
    <cellStyle name="40% - Accent3 3 2 2 2 4" xfId="6576" xr:uid="{00000000-0005-0000-0000-00003A0D0000}"/>
    <cellStyle name="40% - Accent3 3 2 2 3" xfId="6577" xr:uid="{00000000-0005-0000-0000-00003B0D0000}"/>
    <cellStyle name="40% - Accent3 3 2 2 3 2" xfId="6578" xr:uid="{00000000-0005-0000-0000-00003C0D0000}"/>
    <cellStyle name="40% - Accent3 3 2 2 3 3" xfId="6579" xr:uid="{00000000-0005-0000-0000-00003D0D0000}"/>
    <cellStyle name="40% - Accent3 3 2 2 4" xfId="6580" xr:uid="{00000000-0005-0000-0000-00003E0D0000}"/>
    <cellStyle name="40% - Accent3 3 2 2 5" xfId="6581" xr:uid="{00000000-0005-0000-0000-00003F0D0000}"/>
    <cellStyle name="40% - Accent3 3 2 2 5 2" xfId="6582" xr:uid="{00000000-0005-0000-0000-0000400D0000}"/>
    <cellStyle name="40% - Accent3 3 2 2 6" xfId="6583" xr:uid="{00000000-0005-0000-0000-0000410D0000}"/>
    <cellStyle name="40% - Accent3 3 2 3" xfId="6584" xr:uid="{00000000-0005-0000-0000-0000420D0000}"/>
    <cellStyle name="40% - Accent3 3 2 3 2" xfId="6585" xr:uid="{00000000-0005-0000-0000-0000430D0000}"/>
    <cellStyle name="40% - Accent3 3 2 3 2 2" xfId="6586" xr:uid="{00000000-0005-0000-0000-0000440D0000}"/>
    <cellStyle name="40% - Accent3 3 2 3 2 3" xfId="6587" xr:uid="{00000000-0005-0000-0000-0000450D0000}"/>
    <cellStyle name="40% - Accent3 3 2 3 3" xfId="6588" xr:uid="{00000000-0005-0000-0000-0000460D0000}"/>
    <cellStyle name="40% - Accent3 3 2 3 3 2" xfId="6589" xr:uid="{00000000-0005-0000-0000-0000470D0000}"/>
    <cellStyle name="40% - Accent3 3 2 3 4" xfId="6590" xr:uid="{00000000-0005-0000-0000-0000480D0000}"/>
    <cellStyle name="40% - Accent3 3 2 4" xfId="6591" xr:uid="{00000000-0005-0000-0000-0000490D0000}"/>
    <cellStyle name="40% - Accent3 3 2 5" xfId="6592" xr:uid="{00000000-0005-0000-0000-00004A0D0000}"/>
    <cellStyle name="40% - Accent3 3 3" xfId="6593" xr:uid="{00000000-0005-0000-0000-00004B0D0000}"/>
    <cellStyle name="40% - Accent3 3 3 2" xfId="6594" xr:uid="{00000000-0005-0000-0000-00004C0D0000}"/>
    <cellStyle name="40% - Accent3 3 3 2 2" xfId="6595" xr:uid="{00000000-0005-0000-0000-00004D0D0000}"/>
    <cellStyle name="40% - Accent3 3 3 2 3" xfId="6596" xr:uid="{00000000-0005-0000-0000-00004E0D0000}"/>
    <cellStyle name="40% - Accent3 3 3 2 3 2" xfId="6597" xr:uid="{00000000-0005-0000-0000-00004F0D0000}"/>
    <cellStyle name="40% - Accent3 3 3 3" xfId="6598" xr:uid="{00000000-0005-0000-0000-0000500D0000}"/>
    <cellStyle name="40% - Accent3 3 3 4" xfId="6599" xr:uid="{00000000-0005-0000-0000-0000510D0000}"/>
    <cellStyle name="40% - Accent3 3 3 4 2" xfId="6600" xr:uid="{00000000-0005-0000-0000-0000520D0000}"/>
    <cellStyle name="40% - Accent3 3 3 5" xfId="6601" xr:uid="{00000000-0005-0000-0000-0000530D0000}"/>
    <cellStyle name="40% - Accent3 3 4" xfId="6602" xr:uid="{00000000-0005-0000-0000-0000540D0000}"/>
    <cellStyle name="40% - Accent3 3 4 2" xfId="6603" xr:uid="{00000000-0005-0000-0000-0000550D0000}"/>
    <cellStyle name="40% - Accent3 3 4 2 2" xfId="6604" xr:uid="{00000000-0005-0000-0000-0000560D0000}"/>
    <cellStyle name="40% - Accent3 3 4 2 3" xfId="6605" xr:uid="{00000000-0005-0000-0000-0000570D0000}"/>
    <cellStyle name="40% - Accent3 3 4 3" xfId="6606" xr:uid="{00000000-0005-0000-0000-0000580D0000}"/>
    <cellStyle name="40% - Accent3 3 4 4" xfId="6607" xr:uid="{00000000-0005-0000-0000-0000590D0000}"/>
    <cellStyle name="40% - Accent3 3 4 4 2" xfId="6608" xr:uid="{00000000-0005-0000-0000-00005A0D0000}"/>
    <cellStyle name="40% - Accent3 3 4 5" xfId="6609" xr:uid="{00000000-0005-0000-0000-00005B0D0000}"/>
    <cellStyle name="40% - Accent3 3 5" xfId="6610" xr:uid="{00000000-0005-0000-0000-00005C0D0000}"/>
    <cellStyle name="40% - Accent3 3 5 2" xfId="6611" xr:uid="{00000000-0005-0000-0000-00005D0D0000}"/>
    <cellStyle name="40% - Accent3 3 5 2 2" xfId="6612" xr:uid="{00000000-0005-0000-0000-00005E0D0000}"/>
    <cellStyle name="40% - Accent3 3 5 2 3" xfId="6613" xr:uid="{00000000-0005-0000-0000-00005F0D0000}"/>
    <cellStyle name="40% - Accent3 3 5 3" xfId="6614" xr:uid="{00000000-0005-0000-0000-0000600D0000}"/>
    <cellStyle name="40% - Accent3 3 5 3 2" xfId="6615" xr:uid="{00000000-0005-0000-0000-0000610D0000}"/>
    <cellStyle name="40% - Accent3 3 5 4" xfId="6616" xr:uid="{00000000-0005-0000-0000-0000620D0000}"/>
    <cellStyle name="40% - Accent3 3 6" xfId="6617" xr:uid="{00000000-0005-0000-0000-0000630D0000}"/>
    <cellStyle name="40% - Accent3 3 6 2" xfId="6618" xr:uid="{00000000-0005-0000-0000-0000640D0000}"/>
    <cellStyle name="40% - Accent3 3 6 3" xfId="6619" xr:uid="{00000000-0005-0000-0000-0000650D0000}"/>
    <cellStyle name="40% - Accent3 3 7" xfId="6620" xr:uid="{00000000-0005-0000-0000-0000660D0000}"/>
    <cellStyle name="40% - Accent3 3 8" xfId="6621" xr:uid="{00000000-0005-0000-0000-0000670D0000}"/>
    <cellStyle name="40% - Accent3 3 8 2" xfId="6622" xr:uid="{00000000-0005-0000-0000-0000680D0000}"/>
    <cellStyle name="40% - Accent3 3 9" xfId="6623" xr:uid="{00000000-0005-0000-0000-0000690D0000}"/>
    <cellStyle name="40% - Accent3 4" xfId="235" xr:uid="{00000000-0005-0000-0000-00004A000000}"/>
    <cellStyle name="40% - Accent3 4 10" xfId="6624" xr:uid="{00000000-0005-0000-0000-00006A0D0000}"/>
    <cellStyle name="40% - Accent3 4 2" xfId="6625" xr:uid="{00000000-0005-0000-0000-00006B0D0000}"/>
    <cellStyle name="40% - Accent3 4 2 2" xfId="6626" xr:uid="{00000000-0005-0000-0000-00006C0D0000}"/>
    <cellStyle name="40% - Accent3 4 2 2 2" xfId="6627" xr:uid="{00000000-0005-0000-0000-00006D0D0000}"/>
    <cellStyle name="40% - Accent3 4 2 2 2 2" xfId="6628" xr:uid="{00000000-0005-0000-0000-00006E0D0000}"/>
    <cellStyle name="40% - Accent3 4 2 2 2 2 2" xfId="6629" xr:uid="{00000000-0005-0000-0000-00006F0D0000}"/>
    <cellStyle name="40% - Accent3 4 2 2 2 2 3" xfId="6630" xr:uid="{00000000-0005-0000-0000-0000700D0000}"/>
    <cellStyle name="40% - Accent3 4 2 2 2 3" xfId="6631" xr:uid="{00000000-0005-0000-0000-0000710D0000}"/>
    <cellStyle name="40% - Accent3 4 2 2 2 3 2" xfId="6632" xr:uid="{00000000-0005-0000-0000-0000720D0000}"/>
    <cellStyle name="40% - Accent3 4 2 2 2 4" xfId="6633" xr:uid="{00000000-0005-0000-0000-0000730D0000}"/>
    <cellStyle name="40% - Accent3 4 2 2 3" xfId="6634" xr:uid="{00000000-0005-0000-0000-0000740D0000}"/>
    <cellStyle name="40% - Accent3 4 2 2 3 2" xfId="6635" xr:uid="{00000000-0005-0000-0000-0000750D0000}"/>
    <cellStyle name="40% - Accent3 4 2 2 3 3" xfId="6636" xr:uid="{00000000-0005-0000-0000-0000760D0000}"/>
    <cellStyle name="40% - Accent3 4 2 2 4" xfId="6637" xr:uid="{00000000-0005-0000-0000-0000770D0000}"/>
    <cellStyle name="40% - Accent3 4 2 2 5" xfId="6638" xr:uid="{00000000-0005-0000-0000-0000780D0000}"/>
    <cellStyle name="40% - Accent3 4 2 2 5 2" xfId="6639" xr:uid="{00000000-0005-0000-0000-0000790D0000}"/>
    <cellStyle name="40% - Accent3 4 2 2 6" xfId="6640" xr:uid="{00000000-0005-0000-0000-00007A0D0000}"/>
    <cellStyle name="40% - Accent3 4 2 3" xfId="6641" xr:uid="{00000000-0005-0000-0000-00007B0D0000}"/>
    <cellStyle name="40% - Accent3 4 2 3 2" xfId="6642" xr:uid="{00000000-0005-0000-0000-00007C0D0000}"/>
    <cellStyle name="40% - Accent3 4 2 3 2 2" xfId="6643" xr:uid="{00000000-0005-0000-0000-00007D0D0000}"/>
    <cellStyle name="40% - Accent3 4 2 3 2 3" xfId="6644" xr:uid="{00000000-0005-0000-0000-00007E0D0000}"/>
    <cellStyle name="40% - Accent3 4 2 3 3" xfId="6645" xr:uid="{00000000-0005-0000-0000-00007F0D0000}"/>
    <cellStyle name="40% - Accent3 4 2 3 3 2" xfId="6646" xr:uid="{00000000-0005-0000-0000-0000800D0000}"/>
    <cellStyle name="40% - Accent3 4 2 3 4" xfId="6647" xr:uid="{00000000-0005-0000-0000-0000810D0000}"/>
    <cellStyle name="40% - Accent3 4 2 4" xfId="6648" xr:uid="{00000000-0005-0000-0000-0000820D0000}"/>
    <cellStyle name="40% - Accent3 4 2 5" xfId="6649" xr:uid="{00000000-0005-0000-0000-0000830D0000}"/>
    <cellStyle name="40% - Accent3 4 3" xfId="6650" xr:uid="{00000000-0005-0000-0000-0000840D0000}"/>
    <cellStyle name="40% - Accent3 4 3 2" xfId="6651" xr:uid="{00000000-0005-0000-0000-0000850D0000}"/>
    <cellStyle name="40% - Accent3 4 3 2 2" xfId="6652" xr:uid="{00000000-0005-0000-0000-0000860D0000}"/>
    <cellStyle name="40% - Accent3 4 3 2 3" xfId="6653" xr:uid="{00000000-0005-0000-0000-0000870D0000}"/>
    <cellStyle name="40% - Accent3 4 3 3" xfId="6654" xr:uid="{00000000-0005-0000-0000-0000880D0000}"/>
    <cellStyle name="40% - Accent3 4 3 4" xfId="6655" xr:uid="{00000000-0005-0000-0000-0000890D0000}"/>
    <cellStyle name="40% - Accent3 4 3 4 2" xfId="6656" xr:uid="{00000000-0005-0000-0000-00008A0D0000}"/>
    <cellStyle name="40% - Accent3 4 3 5" xfId="6657" xr:uid="{00000000-0005-0000-0000-00008B0D0000}"/>
    <cellStyle name="40% - Accent3 4 4" xfId="6658" xr:uid="{00000000-0005-0000-0000-00008C0D0000}"/>
    <cellStyle name="40% - Accent3 4 4 2" xfId="6659" xr:uid="{00000000-0005-0000-0000-00008D0D0000}"/>
    <cellStyle name="40% - Accent3 4 4 2 2" xfId="6660" xr:uid="{00000000-0005-0000-0000-00008E0D0000}"/>
    <cellStyle name="40% - Accent3 4 4 2 3" xfId="6661" xr:uid="{00000000-0005-0000-0000-00008F0D0000}"/>
    <cellStyle name="40% - Accent3 4 4 3" xfId="6662" xr:uid="{00000000-0005-0000-0000-0000900D0000}"/>
    <cellStyle name="40% - Accent3 4 4 3 2" xfId="6663" xr:uid="{00000000-0005-0000-0000-0000910D0000}"/>
    <cellStyle name="40% - Accent3 4 4 4" xfId="6664" xr:uid="{00000000-0005-0000-0000-0000920D0000}"/>
    <cellStyle name="40% - Accent3 4 5" xfId="6665" xr:uid="{00000000-0005-0000-0000-0000930D0000}"/>
    <cellStyle name="40% - Accent3 4 5 2" xfId="6666" xr:uid="{00000000-0005-0000-0000-0000940D0000}"/>
    <cellStyle name="40% - Accent3 4 5 2 2" xfId="6667" xr:uid="{00000000-0005-0000-0000-0000950D0000}"/>
    <cellStyle name="40% - Accent3 4 5 2 3" xfId="6668" xr:uid="{00000000-0005-0000-0000-0000960D0000}"/>
    <cellStyle name="40% - Accent3 4 5 3" xfId="6669" xr:uid="{00000000-0005-0000-0000-0000970D0000}"/>
    <cellStyle name="40% - Accent3 4 5 3 2" xfId="6670" xr:uid="{00000000-0005-0000-0000-0000980D0000}"/>
    <cellStyle name="40% - Accent3 4 5 4" xfId="6671" xr:uid="{00000000-0005-0000-0000-0000990D0000}"/>
    <cellStyle name="40% - Accent3 4 6" xfId="6672" xr:uid="{00000000-0005-0000-0000-00009A0D0000}"/>
    <cellStyle name="40% - Accent3 4 6 2" xfId="6673" xr:uid="{00000000-0005-0000-0000-00009B0D0000}"/>
    <cellStyle name="40% - Accent3 4 6 3" xfId="6674" xr:uid="{00000000-0005-0000-0000-00009C0D0000}"/>
    <cellStyle name="40% - Accent3 4 7" xfId="6675" xr:uid="{00000000-0005-0000-0000-00009D0D0000}"/>
    <cellStyle name="40% - Accent3 4 8" xfId="6676" xr:uid="{00000000-0005-0000-0000-00009E0D0000}"/>
    <cellStyle name="40% - Accent3 4 8 2" xfId="6677" xr:uid="{00000000-0005-0000-0000-00009F0D0000}"/>
    <cellStyle name="40% - Accent3 4 9" xfId="6678" xr:uid="{00000000-0005-0000-0000-0000A00D0000}"/>
    <cellStyle name="40% - Accent3 5" xfId="236" xr:uid="{00000000-0005-0000-0000-00004B000000}"/>
    <cellStyle name="40% - Accent3 5 2" xfId="6680" xr:uid="{00000000-0005-0000-0000-0000A20D0000}"/>
    <cellStyle name="40% - Accent3 5 2 2" xfId="6681" xr:uid="{00000000-0005-0000-0000-0000A30D0000}"/>
    <cellStyle name="40% - Accent3 5 2 2 2" xfId="6682" xr:uid="{00000000-0005-0000-0000-0000A40D0000}"/>
    <cellStyle name="40% - Accent3 5 2 2 2 2" xfId="6683" xr:uid="{00000000-0005-0000-0000-0000A50D0000}"/>
    <cellStyle name="40% - Accent3 5 2 2 2 2 2" xfId="6684" xr:uid="{00000000-0005-0000-0000-0000A60D0000}"/>
    <cellStyle name="40% - Accent3 5 2 2 2 2 3" xfId="6685" xr:uid="{00000000-0005-0000-0000-0000A70D0000}"/>
    <cellStyle name="40% - Accent3 5 2 2 2 3" xfId="6686" xr:uid="{00000000-0005-0000-0000-0000A80D0000}"/>
    <cellStyle name="40% - Accent3 5 2 2 2 3 2" xfId="6687" xr:uid="{00000000-0005-0000-0000-0000A90D0000}"/>
    <cellStyle name="40% - Accent3 5 2 2 2 4" xfId="6688" xr:uid="{00000000-0005-0000-0000-0000AA0D0000}"/>
    <cellStyle name="40% - Accent3 5 2 2 3" xfId="6689" xr:uid="{00000000-0005-0000-0000-0000AB0D0000}"/>
    <cellStyle name="40% - Accent3 5 2 2 3 2" xfId="6690" xr:uid="{00000000-0005-0000-0000-0000AC0D0000}"/>
    <cellStyle name="40% - Accent3 5 2 2 3 3" xfId="6691" xr:uid="{00000000-0005-0000-0000-0000AD0D0000}"/>
    <cellStyle name="40% - Accent3 5 2 2 4" xfId="6692" xr:uid="{00000000-0005-0000-0000-0000AE0D0000}"/>
    <cellStyle name="40% - Accent3 5 2 2 5" xfId="6693" xr:uid="{00000000-0005-0000-0000-0000AF0D0000}"/>
    <cellStyle name="40% - Accent3 5 2 2 5 2" xfId="6694" xr:uid="{00000000-0005-0000-0000-0000B00D0000}"/>
    <cellStyle name="40% - Accent3 5 2 2 6" xfId="6695" xr:uid="{00000000-0005-0000-0000-0000B10D0000}"/>
    <cellStyle name="40% - Accent3 5 2 3" xfId="6696" xr:uid="{00000000-0005-0000-0000-0000B20D0000}"/>
    <cellStyle name="40% - Accent3 5 2 3 2" xfId="6697" xr:uid="{00000000-0005-0000-0000-0000B30D0000}"/>
    <cellStyle name="40% - Accent3 5 2 3 2 2" xfId="6698" xr:uid="{00000000-0005-0000-0000-0000B40D0000}"/>
    <cellStyle name="40% - Accent3 5 2 3 2 3" xfId="6699" xr:uid="{00000000-0005-0000-0000-0000B50D0000}"/>
    <cellStyle name="40% - Accent3 5 2 3 3" xfId="6700" xr:uid="{00000000-0005-0000-0000-0000B60D0000}"/>
    <cellStyle name="40% - Accent3 5 2 3 3 2" xfId="6701" xr:uid="{00000000-0005-0000-0000-0000B70D0000}"/>
    <cellStyle name="40% - Accent3 5 2 3 4" xfId="6702" xr:uid="{00000000-0005-0000-0000-0000B80D0000}"/>
    <cellStyle name="40% - Accent3 5 2 4" xfId="6703" xr:uid="{00000000-0005-0000-0000-0000B90D0000}"/>
    <cellStyle name="40% - Accent3 5 2 5" xfId="6704" xr:uid="{00000000-0005-0000-0000-0000BA0D0000}"/>
    <cellStyle name="40% - Accent3 5 3" xfId="6705" xr:uid="{00000000-0005-0000-0000-0000BB0D0000}"/>
    <cellStyle name="40% - Accent3 5 3 2" xfId="6706" xr:uid="{00000000-0005-0000-0000-0000BC0D0000}"/>
    <cellStyle name="40% - Accent3 5 3 2 2" xfId="6707" xr:uid="{00000000-0005-0000-0000-0000BD0D0000}"/>
    <cellStyle name="40% - Accent3 5 3 2 3" xfId="6708" xr:uid="{00000000-0005-0000-0000-0000BE0D0000}"/>
    <cellStyle name="40% - Accent3 5 3 3" xfId="6709" xr:uid="{00000000-0005-0000-0000-0000BF0D0000}"/>
    <cellStyle name="40% - Accent3 5 3 4" xfId="6710" xr:uid="{00000000-0005-0000-0000-0000C00D0000}"/>
    <cellStyle name="40% - Accent3 5 3 4 2" xfId="6711" xr:uid="{00000000-0005-0000-0000-0000C10D0000}"/>
    <cellStyle name="40% - Accent3 5 3 5" xfId="6712" xr:uid="{00000000-0005-0000-0000-0000C20D0000}"/>
    <cellStyle name="40% - Accent3 5 4" xfId="6713" xr:uid="{00000000-0005-0000-0000-0000C30D0000}"/>
    <cellStyle name="40% - Accent3 5 4 2" xfId="6714" xr:uid="{00000000-0005-0000-0000-0000C40D0000}"/>
    <cellStyle name="40% - Accent3 5 4 2 2" xfId="6715" xr:uid="{00000000-0005-0000-0000-0000C50D0000}"/>
    <cellStyle name="40% - Accent3 5 4 2 3" xfId="6716" xr:uid="{00000000-0005-0000-0000-0000C60D0000}"/>
    <cellStyle name="40% - Accent3 5 4 3" xfId="6717" xr:uid="{00000000-0005-0000-0000-0000C70D0000}"/>
    <cellStyle name="40% - Accent3 5 4 3 2" xfId="6718" xr:uid="{00000000-0005-0000-0000-0000C80D0000}"/>
    <cellStyle name="40% - Accent3 5 4 4" xfId="6719" xr:uid="{00000000-0005-0000-0000-0000C90D0000}"/>
    <cellStyle name="40% - Accent3 5 5" xfId="6720" xr:uid="{00000000-0005-0000-0000-0000CA0D0000}"/>
    <cellStyle name="40% - Accent3 5 5 2" xfId="6721" xr:uid="{00000000-0005-0000-0000-0000CB0D0000}"/>
    <cellStyle name="40% - Accent3 5 5 3" xfId="6722" xr:uid="{00000000-0005-0000-0000-0000CC0D0000}"/>
    <cellStyle name="40% - Accent3 5 6" xfId="6723" xr:uid="{00000000-0005-0000-0000-0000CD0D0000}"/>
    <cellStyle name="40% - Accent3 5 7" xfId="6724" xr:uid="{00000000-0005-0000-0000-0000CE0D0000}"/>
    <cellStyle name="40% - Accent3 5 7 2" xfId="6725" xr:uid="{00000000-0005-0000-0000-0000CF0D0000}"/>
    <cellStyle name="40% - Accent3 5 8" xfId="6726" xr:uid="{00000000-0005-0000-0000-0000D00D0000}"/>
    <cellStyle name="40% - Accent3 5 9" xfId="6679" xr:uid="{00000000-0005-0000-0000-0000A10D0000}"/>
    <cellStyle name="40% - Accent3 6" xfId="237" xr:uid="{00000000-0005-0000-0000-00004C000000}"/>
    <cellStyle name="40% - Accent3 6 2" xfId="6727" xr:uid="{00000000-0005-0000-0000-0000D20D0000}"/>
    <cellStyle name="40% - Accent3 6 2 2" xfId="6728" xr:uid="{00000000-0005-0000-0000-0000D30D0000}"/>
    <cellStyle name="40% - Accent3 6 2 2 2" xfId="6729" xr:uid="{00000000-0005-0000-0000-0000D40D0000}"/>
    <cellStyle name="40% - Accent3 6 2 2 2 2" xfId="6730" xr:uid="{00000000-0005-0000-0000-0000D50D0000}"/>
    <cellStyle name="40% - Accent3 6 2 2 2 3" xfId="6731" xr:uid="{00000000-0005-0000-0000-0000D60D0000}"/>
    <cellStyle name="40% - Accent3 6 2 2 3" xfId="6732" xr:uid="{00000000-0005-0000-0000-0000D70D0000}"/>
    <cellStyle name="40% - Accent3 6 2 2 3 2" xfId="6733" xr:uid="{00000000-0005-0000-0000-0000D80D0000}"/>
    <cellStyle name="40% - Accent3 6 2 2 4" xfId="6734" xr:uid="{00000000-0005-0000-0000-0000D90D0000}"/>
    <cellStyle name="40% - Accent3 6 2 3" xfId="6735" xr:uid="{00000000-0005-0000-0000-0000DA0D0000}"/>
    <cellStyle name="40% - Accent3 6 2 3 2" xfId="6736" xr:uid="{00000000-0005-0000-0000-0000DB0D0000}"/>
    <cellStyle name="40% - Accent3 6 2 3 3" xfId="6737" xr:uid="{00000000-0005-0000-0000-0000DC0D0000}"/>
    <cellStyle name="40% - Accent3 6 2 4" xfId="6738" xr:uid="{00000000-0005-0000-0000-0000DD0D0000}"/>
    <cellStyle name="40% - Accent3 6 2 5" xfId="6739" xr:uid="{00000000-0005-0000-0000-0000DE0D0000}"/>
    <cellStyle name="40% - Accent3 6 2 5 2" xfId="6740" xr:uid="{00000000-0005-0000-0000-0000DF0D0000}"/>
    <cellStyle name="40% - Accent3 6 2 6" xfId="6741" xr:uid="{00000000-0005-0000-0000-0000E00D0000}"/>
    <cellStyle name="40% - Accent3 6 3" xfId="6742" xr:uid="{00000000-0005-0000-0000-0000E10D0000}"/>
    <cellStyle name="40% - Accent3 6 3 2" xfId="6743" xr:uid="{00000000-0005-0000-0000-0000E20D0000}"/>
    <cellStyle name="40% - Accent3 6 3 2 2" xfId="6744" xr:uid="{00000000-0005-0000-0000-0000E30D0000}"/>
    <cellStyle name="40% - Accent3 6 3 2 3" xfId="6745" xr:uid="{00000000-0005-0000-0000-0000E40D0000}"/>
    <cellStyle name="40% - Accent3 6 3 3" xfId="6746" xr:uid="{00000000-0005-0000-0000-0000E50D0000}"/>
    <cellStyle name="40% - Accent3 6 3 3 2" xfId="6747" xr:uid="{00000000-0005-0000-0000-0000E60D0000}"/>
    <cellStyle name="40% - Accent3 6 3 4" xfId="6748" xr:uid="{00000000-0005-0000-0000-0000E70D0000}"/>
    <cellStyle name="40% - Accent3 6 4" xfId="6749" xr:uid="{00000000-0005-0000-0000-0000E80D0000}"/>
    <cellStyle name="40% - Accent3 6 5" xfId="6750" xr:uid="{00000000-0005-0000-0000-0000E90D0000}"/>
    <cellStyle name="40% - Accent3 7" xfId="238" xr:uid="{00000000-0005-0000-0000-00004D000000}"/>
    <cellStyle name="40% - Accent3 7 2" xfId="6751" xr:uid="{00000000-0005-0000-0000-0000EB0D0000}"/>
    <cellStyle name="40% - Accent3 7 3" xfId="6752" xr:uid="{00000000-0005-0000-0000-0000EC0D0000}"/>
    <cellStyle name="40% - Accent3 7 4" xfId="6753" xr:uid="{00000000-0005-0000-0000-0000ED0D0000}"/>
    <cellStyle name="40% - Accent3 8" xfId="6754" xr:uid="{00000000-0005-0000-0000-0000EE0D0000}"/>
    <cellStyle name="40% - Accent3 8 2" xfId="6755" xr:uid="{00000000-0005-0000-0000-0000EF0D0000}"/>
    <cellStyle name="40% - Accent3 8 2 2" xfId="6756" xr:uid="{00000000-0005-0000-0000-0000F00D0000}"/>
    <cellStyle name="40% - Accent3 8 2 3" xfId="6757" xr:uid="{00000000-0005-0000-0000-0000F10D0000}"/>
    <cellStyle name="40% - Accent3 8 2 3 2" xfId="6758" xr:uid="{00000000-0005-0000-0000-0000F20D0000}"/>
    <cellStyle name="40% - Accent3 8 3" xfId="6759" xr:uid="{00000000-0005-0000-0000-0000F30D0000}"/>
    <cellStyle name="40% - Accent3 8 4" xfId="6760" xr:uid="{00000000-0005-0000-0000-0000F40D0000}"/>
    <cellStyle name="40% - Accent3 8 4 2" xfId="6761" xr:uid="{00000000-0005-0000-0000-0000F50D0000}"/>
    <cellStyle name="40% - Accent3 8 5" xfId="6762" xr:uid="{00000000-0005-0000-0000-0000F60D0000}"/>
    <cellStyle name="40% - Accent3 9" xfId="6763" xr:uid="{00000000-0005-0000-0000-0000F70D0000}"/>
    <cellStyle name="40% - Accent3 9 2" xfId="6764" xr:uid="{00000000-0005-0000-0000-0000F80D0000}"/>
    <cellStyle name="40% - Accent3 9 2 2" xfId="6765" xr:uid="{00000000-0005-0000-0000-0000F90D0000}"/>
    <cellStyle name="40% - Accent3 9 2 3" xfId="6766" xr:uid="{00000000-0005-0000-0000-0000FA0D0000}"/>
    <cellStyle name="40% - Accent3 9 3" xfId="6767" xr:uid="{00000000-0005-0000-0000-0000FB0D0000}"/>
    <cellStyle name="40% - Accent3 9 4" xfId="6768" xr:uid="{00000000-0005-0000-0000-0000FC0D0000}"/>
    <cellStyle name="40% - Accent3 9 4 2" xfId="6769" xr:uid="{00000000-0005-0000-0000-0000FD0D0000}"/>
    <cellStyle name="40% - Accent3 9 5" xfId="6770" xr:uid="{00000000-0005-0000-0000-0000FE0D0000}"/>
    <cellStyle name="40% - Accent4" xfId="95" builtinId="43" customBuiltin="1"/>
    <cellStyle name="40% - Accent4 10" xfId="6771" xr:uid="{00000000-0005-0000-0000-0000FF0D0000}"/>
    <cellStyle name="40% - Accent4 10 2" xfId="6772" xr:uid="{00000000-0005-0000-0000-0000000E0000}"/>
    <cellStyle name="40% - Accent4 10 2 2" xfId="6773" xr:uid="{00000000-0005-0000-0000-0000010E0000}"/>
    <cellStyle name="40% - Accent4 10 2 3" xfId="6774" xr:uid="{00000000-0005-0000-0000-0000020E0000}"/>
    <cellStyle name="40% - Accent4 10 3" xfId="6775" xr:uid="{00000000-0005-0000-0000-0000030E0000}"/>
    <cellStyle name="40% - Accent4 10 4" xfId="6776" xr:uid="{00000000-0005-0000-0000-0000040E0000}"/>
    <cellStyle name="40% - Accent4 10 4 2" xfId="6777" xr:uid="{00000000-0005-0000-0000-0000050E0000}"/>
    <cellStyle name="40% - Accent4 10 5" xfId="6778" xr:uid="{00000000-0005-0000-0000-0000060E0000}"/>
    <cellStyle name="40% - Accent4 11" xfId="6779" xr:uid="{00000000-0005-0000-0000-0000070E0000}"/>
    <cellStyle name="40% - Accent4 11 2" xfId="6780" xr:uid="{00000000-0005-0000-0000-0000080E0000}"/>
    <cellStyle name="40% - Accent4 11 3" xfId="6781" xr:uid="{00000000-0005-0000-0000-0000090E0000}"/>
    <cellStyle name="40% - Accent4 11 3 2" xfId="6782" xr:uid="{00000000-0005-0000-0000-00000A0E0000}"/>
    <cellStyle name="40% - Accent4 12" xfId="6783" xr:uid="{00000000-0005-0000-0000-00000B0E0000}"/>
    <cellStyle name="40% - Accent4 12 2" xfId="6784" xr:uid="{00000000-0005-0000-0000-00000C0E0000}"/>
    <cellStyle name="40% - Accent4 12 3" xfId="6785" xr:uid="{00000000-0005-0000-0000-00000D0E0000}"/>
    <cellStyle name="40% - Accent4 13" xfId="6786" xr:uid="{00000000-0005-0000-0000-00000E0E0000}"/>
    <cellStyle name="40% - Accent4 13 2" xfId="6787" xr:uid="{00000000-0005-0000-0000-00000F0E0000}"/>
    <cellStyle name="40% - Accent4 13 3" xfId="6788" xr:uid="{00000000-0005-0000-0000-0000100E0000}"/>
    <cellStyle name="40% - Accent4 14" xfId="6789" xr:uid="{00000000-0005-0000-0000-0000110E0000}"/>
    <cellStyle name="40% - Accent4 14 2" xfId="6790" xr:uid="{00000000-0005-0000-0000-0000120E0000}"/>
    <cellStyle name="40% - Accent4 15" xfId="6791" xr:uid="{00000000-0005-0000-0000-0000130E0000}"/>
    <cellStyle name="40% - Accent4 16" xfId="6792" xr:uid="{00000000-0005-0000-0000-0000140E0000}"/>
    <cellStyle name="40% - Accent4 2" xfId="239" xr:uid="{00000000-0005-0000-0000-00004E000000}"/>
    <cellStyle name="40% - Accent4 2 2" xfId="6793" xr:uid="{00000000-0005-0000-0000-0000160E0000}"/>
    <cellStyle name="40% - Accent4 2 3" xfId="6794" xr:uid="{00000000-0005-0000-0000-0000170E0000}"/>
    <cellStyle name="40% - Accent4 2 3 2" xfId="6795" xr:uid="{00000000-0005-0000-0000-0000180E0000}"/>
    <cellStyle name="40% - Accent4 2 3 2 2" xfId="6796" xr:uid="{00000000-0005-0000-0000-0000190E0000}"/>
    <cellStyle name="40% - Accent4 2 3 2 2 2" xfId="6797" xr:uid="{00000000-0005-0000-0000-00001A0E0000}"/>
    <cellStyle name="40% - Accent4 2 3 2 2 2 2" xfId="6798" xr:uid="{00000000-0005-0000-0000-00001B0E0000}"/>
    <cellStyle name="40% - Accent4 2 3 2 2 2 3" xfId="6799" xr:uid="{00000000-0005-0000-0000-00001C0E0000}"/>
    <cellStyle name="40% - Accent4 2 3 2 2 3" xfId="6800" xr:uid="{00000000-0005-0000-0000-00001D0E0000}"/>
    <cellStyle name="40% - Accent4 2 3 2 2 3 2" xfId="6801" xr:uid="{00000000-0005-0000-0000-00001E0E0000}"/>
    <cellStyle name="40% - Accent4 2 3 2 2 4" xfId="6802" xr:uid="{00000000-0005-0000-0000-00001F0E0000}"/>
    <cellStyle name="40% - Accent4 2 3 2 3" xfId="6803" xr:uid="{00000000-0005-0000-0000-0000200E0000}"/>
    <cellStyle name="40% - Accent4 2 3 2 3 2" xfId="6804" xr:uid="{00000000-0005-0000-0000-0000210E0000}"/>
    <cellStyle name="40% - Accent4 2 3 2 3 2 2" xfId="6805" xr:uid="{00000000-0005-0000-0000-0000220E0000}"/>
    <cellStyle name="40% - Accent4 2 3 2 3 2 3" xfId="6806" xr:uid="{00000000-0005-0000-0000-0000230E0000}"/>
    <cellStyle name="40% - Accent4 2 3 2 3 3" xfId="6807" xr:uid="{00000000-0005-0000-0000-0000240E0000}"/>
    <cellStyle name="40% - Accent4 2 3 2 3 3 2" xfId="6808" xr:uid="{00000000-0005-0000-0000-0000250E0000}"/>
    <cellStyle name="40% - Accent4 2 3 2 3 4" xfId="6809" xr:uid="{00000000-0005-0000-0000-0000260E0000}"/>
    <cellStyle name="40% - Accent4 2 3 2 4" xfId="6810" xr:uid="{00000000-0005-0000-0000-0000270E0000}"/>
    <cellStyle name="40% - Accent4 2 3 2 4 2" xfId="6811" xr:uid="{00000000-0005-0000-0000-0000280E0000}"/>
    <cellStyle name="40% - Accent4 2 3 2 4 3" xfId="6812" xr:uid="{00000000-0005-0000-0000-0000290E0000}"/>
    <cellStyle name="40% - Accent4 2 3 2 5" xfId="6813" xr:uid="{00000000-0005-0000-0000-00002A0E0000}"/>
    <cellStyle name="40% - Accent4 2 3 2 6" xfId="6814" xr:uid="{00000000-0005-0000-0000-00002B0E0000}"/>
    <cellStyle name="40% - Accent4 2 3 2 6 2" xfId="6815" xr:uid="{00000000-0005-0000-0000-00002C0E0000}"/>
    <cellStyle name="40% - Accent4 2 3 2 7" xfId="6816" xr:uid="{00000000-0005-0000-0000-00002D0E0000}"/>
    <cellStyle name="40% - Accent4 2 3 3" xfId="6817" xr:uid="{00000000-0005-0000-0000-00002E0E0000}"/>
    <cellStyle name="40% - Accent4 2 3 3 2" xfId="6818" xr:uid="{00000000-0005-0000-0000-00002F0E0000}"/>
    <cellStyle name="40% - Accent4 2 3 3 2 2" xfId="6819" xr:uid="{00000000-0005-0000-0000-0000300E0000}"/>
    <cellStyle name="40% - Accent4 2 3 3 2 3" xfId="6820" xr:uid="{00000000-0005-0000-0000-0000310E0000}"/>
    <cellStyle name="40% - Accent4 2 3 3 3" xfId="6821" xr:uid="{00000000-0005-0000-0000-0000320E0000}"/>
    <cellStyle name="40% - Accent4 2 3 3 3 2" xfId="6822" xr:uid="{00000000-0005-0000-0000-0000330E0000}"/>
    <cellStyle name="40% - Accent4 2 3 3 4" xfId="6823" xr:uid="{00000000-0005-0000-0000-0000340E0000}"/>
    <cellStyle name="40% - Accent4 2 3 4" xfId="6824" xr:uid="{00000000-0005-0000-0000-0000350E0000}"/>
    <cellStyle name="40% - Accent4 2 3 4 2" xfId="6825" xr:uid="{00000000-0005-0000-0000-0000360E0000}"/>
    <cellStyle name="40% - Accent4 2 3 4 2 2" xfId="6826" xr:uid="{00000000-0005-0000-0000-0000370E0000}"/>
    <cellStyle name="40% - Accent4 2 3 4 2 3" xfId="6827" xr:uid="{00000000-0005-0000-0000-0000380E0000}"/>
    <cellStyle name="40% - Accent4 2 3 4 3" xfId="6828" xr:uid="{00000000-0005-0000-0000-0000390E0000}"/>
    <cellStyle name="40% - Accent4 2 3 4 3 2" xfId="6829" xr:uid="{00000000-0005-0000-0000-00003A0E0000}"/>
    <cellStyle name="40% - Accent4 2 3 4 4" xfId="6830" xr:uid="{00000000-0005-0000-0000-00003B0E0000}"/>
    <cellStyle name="40% - Accent4 2 3 5" xfId="6831" xr:uid="{00000000-0005-0000-0000-00003C0E0000}"/>
    <cellStyle name="40% - Accent4 2 3 5 2" xfId="6832" xr:uid="{00000000-0005-0000-0000-00003D0E0000}"/>
    <cellStyle name="40% - Accent4 2 3 5 3" xfId="6833" xr:uid="{00000000-0005-0000-0000-00003E0E0000}"/>
    <cellStyle name="40% - Accent4 2 3 6" xfId="6834" xr:uid="{00000000-0005-0000-0000-00003F0E0000}"/>
    <cellStyle name="40% - Accent4 2 3 7" xfId="6835" xr:uid="{00000000-0005-0000-0000-0000400E0000}"/>
    <cellStyle name="40% - Accent4 2 3 7 2" xfId="6836" xr:uid="{00000000-0005-0000-0000-0000410E0000}"/>
    <cellStyle name="40% - Accent4 2 3 8" xfId="6837" xr:uid="{00000000-0005-0000-0000-0000420E0000}"/>
    <cellStyle name="40% - Accent4 2 4" xfId="6838" xr:uid="{00000000-0005-0000-0000-0000430E0000}"/>
    <cellStyle name="40% - Accent4 2 4 2" xfId="6839" xr:uid="{00000000-0005-0000-0000-0000440E0000}"/>
    <cellStyle name="40% - Accent4 2 4 2 2" xfId="6840" xr:uid="{00000000-0005-0000-0000-0000450E0000}"/>
    <cellStyle name="40% - Accent4 2 4 2 2 2" xfId="6841" xr:uid="{00000000-0005-0000-0000-0000460E0000}"/>
    <cellStyle name="40% - Accent4 2 4 2 2 2 2" xfId="6842" xr:uid="{00000000-0005-0000-0000-0000470E0000}"/>
    <cellStyle name="40% - Accent4 2 4 2 2 2 3" xfId="6843" xr:uid="{00000000-0005-0000-0000-0000480E0000}"/>
    <cellStyle name="40% - Accent4 2 4 2 2 3" xfId="6844" xr:uid="{00000000-0005-0000-0000-0000490E0000}"/>
    <cellStyle name="40% - Accent4 2 4 2 2 3 2" xfId="6845" xr:uid="{00000000-0005-0000-0000-00004A0E0000}"/>
    <cellStyle name="40% - Accent4 2 4 2 2 4" xfId="6846" xr:uid="{00000000-0005-0000-0000-00004B0E0000}"/>
    <cellStyle name="40% - Accent4 2 4 2 3" xfId="6847" xr:uid="{00000000-0005-0000-0000-00004C0E0000}"/>
    <cellStyle name="40% - Accent4 2 4 2 3 2" xfId="6848" xr:uid="{00000000-0005-0000-0000-00004D0E0000}"/>
    <cellStyle name="40% - Accent4 2 4 2 3 2 2" xfId="6849" xr:uid="{00000000-0005-0000-0000-00004E0E0000}"/>
    <cellStyle name="40% - Accent4 2 4 2 3 2 3" xfId="6850" xr:uid="{00000000-0005-0000-0000-00004F0E0000}"/>
    <cellStyle name="40% - Accent4 2 4 2 3 3" xfId="6851" xr:uid="{00000000-0005-0000-0000-0000500E0000}"/>
    <cellStyle name="40% - Accent4 2 4 2 3 3 2" xfId="6852" xr:uid="{00000000-0005-0000-0000-0000510E0000}"/>
    <cellStyle name="40% - Accent4 2 4 2 3 4" xfId="6853" xr:uid="{00000000-0005-0000-0000-0000520E0000}"/>
    <cellStyle name="40% - Accent4 2 4 2 4" xfId="6854" xr:uid="{00000000-0005-0000-0000-0000530E0000}"/>
    <cellStyle name="40% - Accent4 2 4 2 4 2" xfId="6855" xr:uid="{00000000-0005-0000-0000-0000540E0000}"/>
    <cellStyle name="40% - Accent4 2 4 2 4 3" xfId="6856" xr:uid="{00000000-0005-0000-0000-0000550E0000}"/>
    <cellStyle name="40% - Accent4 2 4 2 5" xfId="6857" xr:uid="{00000000-0005-0000-0000-0000560E0000}"/>
    <cellStyle name="40% - Accent4 2 4 2 6" xfId="6858" xr:uid="{00000000-0005-0000-0000-0000570E0000}"/>
    <cellStyle name="40% - Accent4 2 4 2 6 2" xfId="6859" xr:uid="{00000000-0005-0000-0000-0000580E0000}"/>
    <cellStyle name="40% - Accent4 2 4 2 7" xfId="6860" xr:uid="{00000000-0005-0000-0000-0000590E0000}"/>
    <cellStyle name="40% - Accent4 2 4 3" xfId="6861" xr:uid="{00000000-0005-0000-0000-00005A0E0000}"/>
    <cellStyle name="40% - Accent4 2 4 3 2" xfId="6862" xr:uid="{00000000-0005-0000-0000-00005B0E0000}"/>
    <cellStyle name="40% - Accent4 2 4 3 2 2" xfId="6863" xr:uid="{00000000-0005-0000-0000-00005C0E0000}"/>
    <cellStyle name="40% - Accent4 2 4 3 2 3" xfId="6864" xr:uid="{00000000-0005-0000-0000-00005D0E0000}"/>
    <cellStyle name="40% - Accent4 2 4 3 3" xfId="6865" xr:uid="{00000000-0005-0000-0000-00005E0E0000}"/>
    <cellStyle name="40% - Accent4 2 4 3 3 2" xfId="6866" xr:uid="{00000000-0005-0000-0000-00005F0E0000}"/>
    <cellStyle name="40% - Accent4 2 4 3 4" xfId="6867" xr:uid="{00000000-0005-0000-0000-0000600E0000}"/>
    <cellStyle name="40% - Accent4 2 4 4" xfId="6868" xr:uid="{00000000-0005-0000-0000-0000610E0000}"/>
    <cellStyle name="40% - Accent4 2 4 4 2" xfId="6869" xr:uid="{00000000-0005-0000-0000-0000620E0000}"/>
    <cellStyle name="40% - Accent4 2 4 4 2 2" xfId="6870" xr:uid="{00000000-0005-0000-0000-0000630E0000}"/>
    <cellStyle name="40% - Accent4 2 4 4 2 3" xfId="6871" xr:uid="{00000000-0005-0000-0000-0000640E0000}"/>
    <cellStyle name="40% - Accent4 2 4 4 3" xfId="6872" xr:uid="{00000000-0005-0000-0000-0000650E0000}"/>
    <cellStyle name="40% - Accent4 2 4 4 3 2" xfId="6873" xr:uid="{00000000-0005-0000-0000-0000660E0000}"/>
    <cellStyle name="40% - Accent4 2 4 4 4" xfId="6874" xr:uid="{00000000-0005-0000-0000-0000670E0000}"/>
    <cellStyle name="40% - Accent4 2 4 5" xfId="6875" xr:uid="{00000000-0005-0000-0000-0000680E0000}"/>
    <cellStyle name="40% - Accent4 2 4 5 2" xfId="6876" xr:uid="{00000000-0005-0000-0000-0000690E0000}"/>
    <cellStyle name="40% - Accent4 2 4 5 3" xfId="6877" xr:uid="{00000000-0005-0000-0000-00006A0E0000}"/>
    <cellStyle name="40% - Accent4 2 4 6" xfId="6878" xr:uid="{00000000-0005-0000-0000-00006B0E0000}"/>
    <cellStyle name="40% - Accent4 2 4 7" xfId="6879" xr:uid="{00000000-0005-0000-0000-00006C0E0000}"/>
    <cellStyle name="40% - Accent4 2 4 7 2" xfId="6880" xr:uid="{00000000-0005-0000-0000-00006D0E0000}"/>
    <cellStyle name="40% - Accent4 2 4 8" xfId="6881" xr:uid="{00000000-0005-0000-0000-00006E0E0000}"/>
    <cellStyle name="40% - Accent4 2 5" xfId="6882" xr:uid="{00000000-0005-0000-0000-00006F0E0000}"/>
    <cellStyle name="40% - Accent4 2 5 2" xfId="6883" xr:uid="{00000000-0005-0000-0000-0000700E0000}"/>
    <cellStyle name="40% - Accent4 2 5 2 2" xfId="6884" xr:uid="{00000000-0005-0000-0000-0000710E0000}"/>
    <cellStyle name="40% - Accent4 2 5 2 2 2" xfId="6885" xr:uid="{00000000-0005-0000-0000-0000720E0000}"/>
    <cellStyle name="40% - Accent4 2 5 2 2 2 2" xfId="6886" xr:uid="{00000000-0005-0000-0000-0000730E0000}"/>
    <cellStyle name="40% - Accent4 2 5 2 2 2 3" xfId="6887" xr:uid="{00000000-0005-0000-0000-0000740E0000}"/>
    <cellStyle name="40% - Accent4 2 5 2 2 3" xfId="6888" xr:uid="{00000000-0005-0000-0000-0000750E0000}"/>
    <cellStyle name="40% - Accent4 2 5 2 2 3 2" xfId="6889" xr:uid="{00000000-0005-0000-0000-0000760E0000}"/>
    <cellStyle name="40% - Accent4 2 5 2 2 4" xfId="6890" xr:uid="{00000000-0005-0000-0000-0000770E0000}"/>
    <cellStyle name="40% - Accent4 2 5 2 3" xfId="6891" xr:uid="{00000000-0005-0000-0000-0000780E0000}"/>
    <cellStyle name="40% - Accent4 2 5 2 3 2" xfId="6892" xr:uid="{00000000-0005-0000-0000-0000790E0000}"/>
    <cellStyle name="40% - Accent4 2 5 2 3 2 2" xfId="6893" xr:uid="{00000000-0005-0000-0000-00007A0E0000}"/>
    <cellStyle name="40% - Accent4 2 5 2 3 2 3" xfId="6894" xr:uid="{00000000-0005-0000-0000-00007B0E0000}"/>
    <cellStyle name="40% - Accent4 2 5 2 3 3" xfId="6895" xr:uid="{00000000-0005-0000-0000-00007C0E0000}"/>
    <cellStyle name="40% - Accent4 2 5 2 3 3 2" xfId="6896" xr:uid="{00000000-0005-0000-0000-00007D0E0000}"/>
    <cellStyle name="40% - Accent4 2 5 2 3 4" xfId="6897" xr:uid="{00000000-0005-0000-0000-00007E0E0000}"/>
    <cellStyle name="40% - Accent4 2 5 2 4" xfId="6898" xr:uid="{00000000-0005-0000-0000-00007F0E0000}"/>
    <cellStyle name="40% - Accent4 2 5 2 4 2" xfId="6899" xr:uid="{00000000-0005-0000-0000-0000800E0000}"/>
    <cellStyle name="40% - Accent4 2 5 2 4 3" xfId="6900" xr:uid="{00000000-0005-0000-0000-0000810E0000}"/>
    <cellStyle name="40% - Accent4 2 5 2 5" xfId="6901" xr:uid="{00000000-0005-0000-0000-0000820E0000}"/>
    <cellStyle name="40% - Accent4 2 5 2 6" xfId="6902" xr:uid="{00000000-0005-0000-0000-0000830E0000}"/>
    <cellStyle name="40% - Accent4 2 5 2 6 2" xfId="6903" xr:uid="{00000000-0005-0000-0000-0000840E0000}"/>
    <cellStyle name="40% - Accent4 2 5 2 7" xfId="6904" xr:uid="{00000000-0005-0000-0000-0000850E0000}"/>
    <cellStyle name="40% - Accent4 2 5 3" xfId="6905" xr:uid="{00000000-0005-0000-0000-0000860E0000}"/>
    <cellStyle name="40% - Accent4 2 5 3 2" xfId="6906" xr:uid="{00000000-0005-0000-0000-0000870E0000}"/>
    <cellStyle name="40% - Accent4 2 5 3 2 2" xfId="6907" xr:uid="{00000000-0005-0000-0000-0000880E0000}"/>
    <cellStyle name="40% - Accent4 2 5 3 2 3" xfId="6908" xr:uid="{00000000-0005-0000-0000-0000890E0000}"/>
    <cellStyle name="40% - Accent4 2 5 3 3" xfId="6909" xr:uid="{00000000-0005-0000-0000-00008A0E0000}"/>
    <cellStyle name="40% - Accent4 2 5 3 3 2" xfId="6910" xr:uid="{00000000-0005-0000-0000-00008B0E0000}"/>
    <cellStyle name="40% - Accent4 2 5 3 4" xfId="6911" xr:uid="{00000000-0005-0000-0000-00008C0E0000}"/>
    <cellStyle name="40% - Accent4 2 5 4" xfId="6912" xr:uid="{00000000-0005-0000-0000-00008D0E0000}"/>
    <cellStyle name="40% - Accent4 2 5 4 2" xfId="6913" xr:uid="{00000000-0005-0000-0000-00008E0E0000}"/>
    <cellStyle name="40% - Accent4 2 5 4 2 2" xfId="6914" xr:uid="{00000000-0005-0000-0000-00008F0E0000}"/>
    <cellStyle name="40% - Accent4 2 5 4 2 3" xfId="6915" xr:uid="{00000000-0005-0000-0000-0000900E0000}"/>
    <cellStyle name="40% - Accent4 2 5 4 3" xfId="6916" xr:uid="{00000000-0005-0000-0000-0000910E0000}"/>
    <cellStyle name="40% - Accent4 2 5 4 3 2" xfId="6917" xr:uid="{00000000-0005-0000-0000-0000920E0000}"/>
    <cellStyle name="40% - Accent4 2 5 4 4" xfId="6918" xr:uid="{00000000-0005-0000-0000-0000930E0000}"/>
    <cellStyle name="40% - Accent4 2 5 5" xfId="6919" xr:uid="{00000000-0005-0000-0000-0000940E0000}"/>
    <cellStyle name="40% - Accent4 2 5 5 2" xfId="6920" xr:uid="{00000000-0005-0000-0000-0000950E0000}"/>
    <cellStyle name="40% - Accent4 2 5 5 3" xfId="6921" xr:uid="{00000000-0005-0000-0000-0000960E0000}"/>
    <cellStyle name="40% - Accent4 2 5 6" xfId="6922" xr:uid="{00000000-0005-0000-0000-0000970E0000}"/>
    <cellStyle name="40% - Accent4 2 5 7" xfId="6923" xr:uid="{00000000-0005-0000-0000-0000980E0000}"/>
    <cellStyle name="40% - Accent4 2 5 7 2" xfId="6924" xr:uid="{00000000-0005-0000-0000-0000990E0000}"/>
    <cellStyle name="40% - Accent4 2 5 8" xfId="6925" xr:uid="{00000000-0005-0000-0000-00009A0E0000}"/>
    <cellStyle name="40% - Accent4 2 6" xfId="6926" xr:uid="{00000000-0005-0000-0000-00009B0E0000}"/>
    <cellStyle name="40% - Accent4 2 6 2" xfId="6927" xr:uid="{00000000-0005-0000-0000-00009C0E0000}"/>
    <cellStyle name="40% - Accent4 2 6 2 2" xfId="6928" xr:uid="{00000000-0005-0000-0000-00009D0E0000}"/>
    <cellStyle name="40% - Accent4 2 6 2 2 2" xfId="6929" xr:uid="{00000000-0005-0000-0000-00009E0E0000}"/>
    <cellStyle name="40% - Accent4 2 6 2 2 2 2" xfId="6930" xr:uid="{00000000-0005-0000-0000-00009F0E0000}"/>
    <cellStyle name="40% - Accent4 2 6 2 2 2 3" xfId="6931" xr:uid="{00000000-0005-0000-0000-0000A00E0000}"/>
    <cellStyle name="40% - Accent4 2 6 2 2 3" xfId="6932" xr:uid="{00000000-0005-0000-0000-0000A10E0000}"/>
    <cellStyle name="40% - Accent4 2 6 2 2 3 2" xfId="6933" xr:uid="{00000000-0005-0000-0000-0000A20E0000}"/>
    <cellStyle name="40% - Accent4 2 6 2 2 4" xfId="6934" xr:uid="{00000000-0005-0000-0000-0000A30E0000}"/>
    <cellStyle name="40% - Accent4 2 6 2 3" xfId="6935" xr:uid="{00000000-0005-0000-0000-0000A40E0000}"/>
    <cellStyle name="40% - Accent4 2 6 2 3 2" xfId="6936" xr:uid="{00000000-0005-0000-0000-0000A50E0000}"/>
    <cellStyle name="40% - Accent4 2 6 2 3 2 2" xfId="6937" xr:uid="{00000000-0005-0000-0000-0000A60E0000}"/>
    <cellStyle name="40% - Accent4 2 6 2 3 2 3" xfId="6938" xr:uid="{00000000-0005-0000-0000-0000A70E0000}"/>
    <cellStyle name="40% - Accent4 2 6 2 3 3" xfId="6939" xr:uid="{00000000-0005-0000-0000-0000A80E0000}"/>
    <cellStyle name="40% - Accent4 2 6 2 3 3 2" xfId="6940" xr:uid="{00000000-0005-0000-0000-0000A90E0000}"/>
    <cellStyle name="40% - Accent4 2 6 2 3 4" xfId="6941" xr:uid="{00000000-0005-0000-0000-0000AA0E0000}"/>
    <cellStyle name="40% - Accent4 2 6 2 4" xfId="6942" xr:uid="{00000000-0005-0000-0000-0000AB0E0000}"/>
    <cellStyle name="40% - Accent4 2 6 2 4 2" xfId="6943" xr:uid="{00000000-0005-0000-0000-0000AC0E0000}"/>
    <cellStyle name="40% - Accent4 2 6 2 4 3" xfId="6944" xr:uid="{00000000-0005-0000-0000-0000AD0E0000}"/>
    <cellStyle name="40% - Accent4 2 6 2 5" xfId="6945" xr:uid="{00000000-0005-0000-0000-0000AE0E0000}"/>
    <cellStyle name="40% - Accent4 2 6 2 6" xfId="6946" xr:uid="{00000000-0005-0000-0000-0000AF0E0000}"/>
    <cellStyle name="40% - Accent4 2 6 2 6 2" xfId="6947" xr:uid="{00000000-0005-0000-0000-0000B00E0000}"/>
    <cellStyle name="40% - Accent4 2 6 2 7" xfId="6948" xr:uid="{00000000-0005-0000-0000-0000B10E0000}"/>
    <cellStyle name="40% - Accent4 2 6 3" xfId="6949" xr:uid="{00000000-0005-0000-0000-0000B20E0000}"/>
    <cellStyle name="40% - Accent4 2 6 3 2" xfId="6950" xr:uid="{00000000-0005-0000-0000-0000B30E0000}"/>
    <cellStyle name="40% - Accent4 2 6 3 2 2" xfId="6951" xr:uid="{00000000-0005-0000-0000-0000B40E0000}"/>
    <cellStyle name="40% - Accent4 2 6 3 2 3" xfId="6952" xr:uid="{00000000-0005-0000-0000-0000B50E0000}"/>
    <cellStyle name="40% - Accent4 2 6 3 3" xfId="6953" xr:uid="{00000000-0005-0000-0000-0000B60E0000}"/>
    <cellStyle name="40% - Accent4 2 6 3 3 2" xfId="6954" xr:uid="{00000000-0005-0000-0000-0000B70E0000}"/>
    <cellStyle name="40% - Accent4 2 6 3 4" xfId="6955" xr:uid="{00000000-0005-0000-0000-0000B80E0000}"/>
    <cellStyle name="40% - Accent4 2 6 4" xfId="6956" xr:uid="{00000000-0005-0000-0000-0000B90E0000}"/>
    <cellStyle name="40% - Accent4 2 6 4 2" xfId="6957" xr:uid="{00000000-0005-0000-0000-0000BA0E0000}"/>
    <cellStyle name="40% - Accent4 2 6 4 2 2" xfId="6958" xr:uid="{00000000-0005-0000-0000-0000BB0E0000}"/>
    <cellStyle name="40% - Accent4 2 6 4 2 3" xfId="6959" xr:uid="{00000000-0005-0000-0000-0000BC0E0000}"/>
    <cellStyle name="40% - Accent4 2 6 4 3" xfId="6960" xr:uid="{00000000-0005-0000-0000-0000BD0E0000}"/>
    <cellStyle name="40% - Accent4 2 6 4 3 2" xfId="6961" xr:uid="{00000000-0005-0000-0000-0000BE0E0000}"/>
    <cellStyle name="40% - Accent4 2 6 4 4" xfId="6962" xr:uid="{00000000-0005-0000-0000-0000BF0E0000}"/>
    <cellStyle name="40% - Accent4 2 6 5" xfId="6963" xr:uid="{00000000-0005-0000-0000-0000C00E0000}"/>
    <cellStyle name="40% - Accent4 2 6 5 2" xfId="6964" xr:uid="{00000000-0005-0000-0000-0000C10E0000}"/>
    <cellStyle name="40% - Accent4 2 6 5 3" xfId="6965" xr:uid="{00000000-0005-0000-0000-0000C20E0000}"/>
    <cellStyle name="40% - Accent4 2 6 6" xfId="6966" xr:uid="{00000000-0005-0000-0000-0000C30E0000}"/>
    <cellStyle name="40% - Accent4 2 6 7" xfId="6967" xr:uid="{00000000-0005-0000-0000-0000C40E0000}"/>
    <cellStyle name="40% - Accent4 2 6 7 2" xfId="6968" xr:uid="{00000000-0005-0000-0000-0000C50E0000}"/>
    <cellStyle name="40% - Accent4 2 6 8" xfId="6969" xr:uid="{00000000-0005-0000-0000-0000C60E0000}"/>
    <cellStyle name="40% - Accent4 2 7" xfId="6970" xr:uid="{00000000-0005-0000-0000-0000C70E0000}"/>
    <cellStyle name="40% - Accent4 2 7 2" xfId="6971" xr:uid="{00000000-0005-0000-0000-0000C80E0000}"/>
    <cellStyle name="40% - Accent4 2 7 2 2" xfId="6972" xr:uid="{00000000-0005-0000-0000-0000C90E0000}"/>
    <cellStyle name="40% - Accent4 2 7 2 3" xfId="6973" xr:uid="{00000000-0005-0000-0000-0000CA0E0000}"/>
    <cellStyle name="40% - Accent4 2 7 3" xfId="6974" xr:uid="{00000000-0005-0000-0000-0000CB0E0000}"/>
    <cellStyle name="40% - Accent4 2 7 3 2" xfId="6975" xr:uid="{00000000-0005-0000-0000-0000CC0E0000}"/>
    <cellStyle name="40% - Accent4 2 7 4" xfId="6976" xr:uid="{00000000-0005-0000-0000-0000CD0E0000}"/>
    <cellStyle name="40% - Accent4 3" xfId="240" xr:uid="{00000000-0005-0000-0000-00004F000000}"/>
    <cellStyle name="40% - Accent4 3 10" xfId="6977" xr:uid="{00000000-0005-0000-0000-0000CE0E0000}"/>
    <cellStyle name="40% - Accent4 3 2" xfId="6978" xr:uid="{00000000-0005-0000-0000-0000CF0E0000}"/>
    <cellStyle name="40% - Accent4 3 2 2" xfId="6979" xr:uid="{00000000-0005-0000-0000-0000D00E0000}"/>
    <cellStyle name="40% - Accent4 3 2 2 2" xfId="6980" xr:uid="{00000000-0005-0000-0000-0000D10E0000}"/>
    <cellStyle name="40% - Accent4 3 2 2 2 2" xfId="6981" xr:uid="{00000000-0005-0000-0000-0000D20E0000}"/>
    <cellStyle name="40% - Accent4 3 2 2 2 2 2" xfId="6982" xr:uid="{00000000-0005-0000-0000-0000D30E0000}"/>
    <cellStyle name="40% - Accent4 3 2 2 2 2 3" xfId="6983" xr:uid="{00000000-0005-0000-0000-0000D40E0000}"/>
    <cellStyle name="40% - Accent4 3 2 2 2 3" xfId="6984" xr:uid="{00000000-0005-0000-0000-0000D50E0000}"/>
    <cellStyle name="40% - Accent4 3 2 2 2 3 2" xfId="6985" xr:uid="{00000000-0005-0000-0000-0000D60E0000}"/>
    <cellStyle name="40% - Accent4 3 2 2 2 4" xfId="6986" xr:uid="{00000000-0005-0000-0000-0000D70E0000}"/>
    <cellStyle name="40% - Accent4 3 2 2 3" xfId="6987" xr:uid="{00000000-0005-0000-0000-0000D80E0000}"/>
    <cellStyle name="40% - Accent4 3 2 2 3 2" xfId="6988" xr:uid="{00000000-0005-0000-0000-0000D90E0000}"/>
    <cellStyle name="40% - Accent4 3 2 2 3 3" xfId="6989" xr:uid="{00000000-0005-0000-0000-0000DA0E0000}"/>
    <cellStyle name="40% - Accent4 3 2 2 4" xfId="6990" xr:uid="{00000000-0005-0000-0000-0000DB0E0000}"/>
    <cellStyle name="40% - Accent4 3 2 2 5" xfId="6991" xr:uid="{00000000-0005-0000-0000-0000DC0E0000}"/>
    <cellStyle name="40% - Accent4 3 2 2 5 2" xfId="6992" xr:uid="{00000000-0005-0000-0000-0000DD0E0000}"/>
    <cellStyle name="40% - Accent4 3 2 2 6" xfId="6993" xr:uid="{00000000-0005-0000-0000-0000DE0E0000}"/>
    <cellStyle name="40% - Accent4 3 2 3" xfId="6994" xr:uid="{00000000-0005-0000-0000-0000DF0E0000}"/>
    <cellStyle name="40% - Accent4 3 2 3 2" xfId="6995" xr:uid="{00000000-0005-0000-0000-0000E00E0000}"/>
    <cellStyle name="40% - Accent4 3 2 3 2 2" xfId="6996" xr:uid="{00000000-0005-0000-0000-0000E10E0000}"/>
    <cellStyle name="40% - Accent4 3 2 3 2 3" xfId="6997" xr:uid="{00000000-0005-0000-0000-0000E20E0000}"/>
    <cellStyle name="40% - Accent4 3 2 3 3" xfId="6998" xr:uid="{00000000-0005-0000-0000-0000E30E0000}"/>
    <cellStyle name="40% - Accent4 3 2 3 3 2" xfId="6999" xr:uid="{00000000-0005-0000-0000-0000E40E0000}"/>
    <cellStyle name="40% - Accent4 3 2 3 4" xfId="7000" xr:uid="{00000000-0005-0000-0000-0000E50E0000}"/>
    <cellStyle name="40% - Accent4 3 2 4" xfId="7001" xr:uid="{00000000-0005-0000-0000-0000E60E0000}"/>
    <cellStyle name="40% - Accent4 3 2 5" xfId="7002" xr:uid="{00000000-0005-0000-0000-0000E70E0000}"/>
    <cellStyle name="40% - Accent4 3 3" xfId="7003" xr:uid="{00000000-0005-0000-0000-0000E80E0000}"/>
    <cellStyle name="40% - Accent4 3 3 2" xfId="7004" xr:uid="{00000000-0005-0000-0000-0000E90E0000}"/>
    <cellStyle name="40% - Accent4 3 3 2 2" xfId="7005" xr:uid="{00000000-0005-0000-0000-0000EA0E0000}"/>
    <cellStyle name="40% - Accent4 3 3 2 3" xfId="7006" xr:uid="{00000000-0005-0000-0000-0000EB0E0000}"/>
    <cellStyle name="40% - Accent4 3 3 2 3 2" xfId="7007" xr:uid="{00000000-0005-0000-0000-0000EC0E0000}"/>
    <cellStyle name="40% - Accent4 3 3 3" xfId="7008" xr:uid="{00000000-0005-0000-0000-0000ED0E0000}"/>
    <cellStyle name="40% - Accent4 3 3 4" xfId="7009" xr:uid="{00000000-0005-0000-0000-0000EE0E0000}"/>
    <cellStyle name="40% - Accent4 3 3 4 2" xfId="7010" xr:uid="{00000000-0005-0000-0000-0000EF0E0000}"/>
    <cellStyle name="40% - Accent4 3 3 5" xfId="7011" xr:uid="{00000000-0005-0000-0000-0000F00E0000}"/>
    <cellStyle name="40% - Accent4 3 4" xfId="7012" xr:uid="{00000000-0005-0000-0000-0000F10E0000}"/>
    <cellStyle name="40% - Accent4 3 4 2" xfId="7013" xr:uid="{00000000-0005-0000-0000-0000F20E0000}"/>
    <cellStyle name="40% - Accent4 3 4 2 2" xfId="7014" xr:uid="{00000000-0005-0000-0000-0000F30E0000}"/>
    <cellStyle name="40% - Accent4 3 4 2 3" xfId="7015" xr:uid="{00000000-0005-0000-0000-0000F40E0000}"/>
    <cellStyle name="40% - Accent4 3 4 3" xfId="7016" xr:uid="{00000000-0005-0000-0000-0000F50E0000}"/>
    <cellStyle name="40% - Accent4 3 4 4" xfId="7017" xr:uid="{00000000-0005-0000-0000-0000F60E0000}"/>
    <cellStyle name="40% - Accent4 3 4 4 2" xfId="7018" xr:uid="{00000000-0005-0000-0000-0000F70E0000}"/>
    <cellStyle name="40% - Accent4 3 4 5" xfId="7019" xr:uid="{00000000-0005-0000-0000-0000F80E0000}"/>
    <cellStyle name="40% - Accent4 3 5" xfId="7020" xr:uid="{00000000-0005-0000-0000-0000F90E0000}"/>
    <cellStyle name="40% - Accent4 3 5 2" xfId="7021" xr:uid="{00000000-0005-0000-0000-0000FA0E0000}"/>
    <cellStyle name="40% - Accent4 3 5 2 2" xfId="7022" xr:uid="{00000000-0005-0000-0000-0000FB0E0000}"/>
    <cellStyle name="40% - Accent4 3 5 2 3" xfId="7023" xr:uid="{00000000-0005-0000-0000-0000FC0E0000}"/>
    <cellStyle name="40% - Accent4 3 5 3" xfId="7024" xr:uid="{00000000-0005-0000-0000-0000FD0E0000}"/>
    <cellStyle name="40% - Accent4 3 5 3 2" xfId="7025" xr:uid="{00000000-0005-0000-0000-0000FE0E0000}"/>
    <cellStyle name="40% - Accent4 3 5 4" xfId="7026" xr:uid="{00000000-0005-0000-0000-0000FF0E0000}"/>
    <cellStyle name="40% - Accent4 3 6" xfId="7027" xr:uid="{00000000-0005-0000-0000-0000000F0000}"/>
    <cellStyle name="40% - Accent4 3 6 2" xfId="7028" xr:uid="{00000000-0005-0000-0000-0000010F0000}"/>
    <cellStyle name="40% - Accent4 3 6 3" xfId="7029" xr:uid="{00000000-0005-0000-0000-0000020F0000}"/>
    <cellStyle name="40% - Accent4 3 7" xfId="7030" xr:uid="{00000000-0005-0000-0000-0000030F0000}"/>
    <cellStyle name="40% - Accent4 3 8" xfId="7031" xr:uid="{00000000-0005-0000-0000-0000040F0000}"/>
    <cellStyle name="40% - Accent4 3 8 2" xfId="7032" xr:uid="{00000000-0005-0000-0000-0000050F0000}"/>
    <cellStyle name="40% - Accent4 3 9" xfId="7033" xr:uid="{00000000-0005-0000-0000-0000060F0000}"/>
    <cellStyle name="40% - Accent4 4" xfId="241" xr:uid="{00000000-0005-0000-0000-000050000000}"/>
    <cellStyle name="40% - Accent4 4 10" xfId="7034" xr:uid="{00000000-0005-0000-0000-0000070F0000}"/>
    <cellStyle name="40% - Accent4 4 2" xfId="7035" xr:uid="{00000000-0005-0000-0000-0000080F0000}"/>
    <cellStyle name="40% - Accent4 4 2 2" xfId="7036" xr:uid="{00000000-0005-0000-0000-0000090F0000}"/>
    <cellStyle name="40% - Accent4 4 2 2 2" xfId="7037" xr:uid="{00000000-0005-0000-0000-00000A0F0000}"/>
    <cellStyle name="40% - Accent4 4 2 2 2 2" xfId="7038" xr:uid="{00000000-0005-0000-0000-00000B0F0000}"/>
    <cellStyle name="40% - Accent4 4 2 2 2 2 2" xfId="7039" xr:uid="{00000000-0005-0000-0000-00000C0F0000}"/>
    <cellStyle name="40% - Accent4 4 2 2 2 2 3" xfId="7040" xr:uid="{00000000-0005-0000-0000-00000D0F0000}"/>
    <cellStyle name="40% - Accent4 4 2 2 2 3" xfId="7041" xr:uid="{00000000-0005-0000-0000-00000E0F0000}"/>
    <cellStyle name="40% - Accent4 4 2 2 2 3 2" xfId="7042" xr:uid="{00000000-0005-0000-0000-00000F0F0000}"/>
    <cellStyle name="40% - Accent4 4 2 2 2 4" xfId="7043" xr:uid="{00000000-0005-0000-0000-0000100F0000}"/>
    <cellStyle name="40% - Accent4 4 2 2 3" xfId="7044" xr:uid="{00000000-0005-0000-0000-0000110F0000}"/>
    <cellStyle name="40% - Accent4 4 2 2 3 2" xfId="7045" xr:uid="{00000000-0005-0000-0000-0000120F0000}"/>
    <cellStyle name="40% - Accent4 4 2 2 3 3" xfId="7046" xr:uid="{00000000-0005-0000-0000-0000130F0000}"/>
    <cellStyle name="40% - Accent4 4 2 2 4" xfId="7047" xr:uid="{00000000-0005-0000-0000-0000140F0000}"/>
    <cellStyle name="40% - Accent4 4 2 2 5" xfId="7048" xr:uid="{00000000-0005-0000-0000-0000150F0000}"/>
    <cellStyle name="40% - Accent4 4 2 2 5 2" xfId="7049" xr:uid="{00000000-0005-0000-0000-0000160F0000}"/>
    <cellStyle name="40% - Accent4 4 2 2 6" xfId="7050" xr:uid="{00000000-0005-0000-0000-0000170F0000}"/>
    <cellStyle name="40% - Accent4 4 2 3" xfId="7051" xr:uid="{00000000-0005-0000-0000-0000180F0000}"/>
    <cellStyle name="40% - Accent4 4 2 3 2" xfId="7052" xr:uid="{00000000-0005-0000-0000-0000190F0000}"/>
    <cellStyle name="40% - Accent4 4 2 3 2 2" xfId="7053" xr:uid="{00000000-0005-0000-0000-00001A0F0000}"/>
    <cellStyle name="40% - Accent4 4 2 3 2 3" xfId="7054" xr:uid="{00000000-0005-0000-0000-00001B0F0000}"/>
    <cellStyle name="40% - Accent4 4 2 3 3" xfId="7055" xr:uid="{00000000-0005-0000-0000-00001C0F0000}"/>
    <cellStyle name="40% - Accent4 4 2 3 3 2" xfId="7056" xr:uid="{00000000-0005-0000-0000-00001D0F0000}"/>
    <cellStyle name="40% - Accent4 4 2 3 4" xfId="7057" xr:uid="{00000000-0005-0000-0000-00001E0F0000}"/>
    <cellStyle name="40% - Accent4 4 2 4" xfId="7058" xr:uid="{00000000-0005-0000-0000-00001F0F0000}"/>
    <cellStyle name="40% - Accent4 4 2 5" xfId="7059" xr:uid="{00000000-0005-0000-0000-0000200F0000}"/>
    <cellStyle name="40% - Accent4 4 3" xfId="7060" xr:uid="{00000000-0005-0000-0000-0000210F0000}"/>
    <cellStyle name="40% - Accent4 4 3 2" xfId="7061" xr:uid="{00000000-0005-0000-0000-0000220F0000}"/>
    <cellStyle name="40% - Accent4 4 3 2 2" xfId="7062" xr:uid="{00000000-0005-0000-0000-0000230F0000}"/>
    <cellStyle name="40% - Accent4 4 3 2 3" xfId="7063" xr:uid="{00000000-0005-0000-0000-0000240F0000}"/>
    <cellStyle name="40% - Accent4 4 3 3" xfId="7064" xr:uid="{00000000-0005-0000-0000-0000250F0000}"/>
    <cellStyle name="40% - Accent4 4 3 4" xfId="7065" xr:uid="{00000000-0005-0000-0000-0000260F0000}"/>
    <cellStyle name="40% - Accent4 4 3 4 2" xfId="7066" xr:uid="{00000000-0005-0000-0000-0000270F0000}"/>
    <cellStyle name="40% - Accent4 4 3 5" xfId="7067" xr:uid="{00000000-0005-0000-0000-0000280F0000}"/>
    <cellStyle name="40% - Accent4 4 4" xfId="7068" xr:uid="{00000000-0005-0000-0000-0000290F0000}"/>
    <cellStyle name="40% - Accent4 4 4 2" xfId="7069" xr:uid="{00000000-0005-0000-0000-00002A0F0000}"/>
    <cellStyle name="40% - Accent4 4 4 2 2" xfId="7070" xr:uid="{00000000-0005-0000-0000-00002B0F0000}"/>
    <cellStyle name="40% - Accent4 4 4 2 3" xfId="7071" xr:uid="{00000000-0005-0000-0000-00002C0F0000}"/>
    <cellStyle name="40% - Accent4 4 4 3" xfId="7072" xr:uid="{00000000-0005-0000-0000-00002D0F0000}"/>
    <cellStyle name="40% - Accent4 4 4 3 2" xfId="7073" xr:uid="{00000000-0005-0000-0000-00002E0F0000}"/>
    <cellStyle name="40% - Accent4 4 4 4" xfId="7074" xr:uid="{00000000-0005-0000-0000-00002F0F0000}"/>
    <cellStyle name="40% - Accent4 4 5" xfId="7075" xr:uid="{00000000-0005-0000-0000-0000300F0000}"/>
    <cellStyle name="40% - Accent4 4 5 2" xfId="7076" xr:uid="{00000000-0005-0000-0000-0000310F0000}"/>
    <cellStyle name="40% - Accent4 4 5 2 2" xfId="7077" xr:uid="{00000000-0005-0000-0000-0000320F0000}"/>
    <cellStyle name="40% - Accent4 4 5 2 3" xfId="7078" xr:uid="{00000000-0005-0000-0000-0000330F0000}"/>
    <cellStyle name="40% - Accent4 4 5 3" xfId="7079" xr:uid="{00000000-0005-0000-0000-0000340F0000}"/>
    <cellStyle name="40% - Accent4 4 5 3 2" xfId="7080" xr:uid="{00000000-0005-0000-0000-0000350F0000}"/>
    <cellStyle name="40% - Accent4 4 5 4" xfId="7081" xr:uid="{00000000-0005-0000-0000-0000360F0000}"/>
    <cellStyle name="40% - Accent4 4 6" xfId="7082" xr:uid="{00000000-0005-0000-0000-0000370F0000}"/>
    <cellStyle name="40% - Accent4 4 6 2" xfId="7083" xr:uid="{00000000-0005-0000-0000-0000380F0000}"/>
    <cellStyle name="40% - Accent4 4 6 3" xfId="7084" xr:uid="{00000000-0005-0000-0000-0000390F0000}"/>
    <cellStyle name="40% - Accent4 4 7" xfId="7085" xr:uid="{00000000-0005-0000-0000-00003A0F0000}"/>
    <cellStyle name="40% - Accent4 4 8" xfId="7086" xr:uid="{00000000-0005-0000-0000-00003B0F0000}"/>
    <cellStyle name="40% - Accent4 4 8 2" xfId="7087" xr:uid="{00000000-0005-0000-0000-00003C0F0000}"/>
    <cellStyle name="40% - Accent4 4 9" xfId="7088" xr:uid="{00000000-0005-0000-0000-00003D0F0000}"/>
    <cellStyle name="40% - Accent4 5" xfId="242" xr:uid="{00000000-0005-0000-0000-000051000000}"/>
    <cellStyle name="40% - Accent4 5 2" xfId="7090" xr:uid="{00000000-0005-0000-0000-00003F0F0000}"/>
    <cellStyle name="40% - Accent4 5 2 2" xfId="7091" xr:uid="{00000000-0005-0000-0000-0000400F0000}"/>
    <cellStyle name="40% - Accent4 5 2 2 2" xfId="7092" xr:uid="{00000000-0005-0000-0000-0000410F0000}"/>
    <cellStyle name="40% - Accent4 5 2 2 2 2" xfId="7093" xr:uid="{00000000-0005-0000-0000-0000420F0000}"/>
    <cellStyle name="40% - Accent4 5 2 2 2 2 2" xfId="7094" xr:uid="{00000000-0005-0000-0000-0000430F0000}"/>
    <cellStyle name="40% - Accent4 5 2 2 2 2 3" xfId="7095" xr:uid="{00000000-0005-0000-0000-0000440F0000}"/>
    <cellStyle name="40% - Accent4 5 2 2 2 3" xfId="7096" xr:uid="{00000000-0005-0000-0000-0000450F0000}"/>
    <cellStyle name="40% - Accent4 5 2 2 2 3 2" xfId="7097" xr:uid="{00000000-0005-0000-0000-0000460F0000}"/>
    <cellStyle name="40% - Accent4 5 2 2 2 4" xfId="7098" xr:uid="{00000000-0005-0000-0000-0000470F0000}"/>
    <cellStyle name="40% - Accent4 5 2 2 3" xfId="7099" xr:uid="{00000000-0005-0000-0000-0000480F0000}"/>
    <cellStyle name="40% - Accent4 5 2 2 3 2" xfId="7100" xr:uid="{00000000-0005-0000-0000-0000490F0000}"/>
    <cellStyle name="40% - Accent4 5 2 2 3 3" xfId="7101" xr:uid="{00000000-0005-0000-0000-00004A0F0000}"/>
    <cellStyle name="40% - Accent4 5 2 2 4" xfId="7102" xr:uid="{00000000-0005-0000-0000-00004B0F0000}"/>
    <cellStyle name="40% - Accent4 5 2 2 5" xfId="7103" xr:uid="{00000000-0005-0000-0000-00004C0F0000}"/>
    <cellStyle name="40% - Accent4 5 2 2 5 2" xfId="7104" xr:uid="{00000000-0005-0000-0000-00004D0F0000}"/>
    <cellStyle name="40% - Accent4 5 2 2 6" xfId="7105" xr:uid="{00000000-0005-0000-0000-00004E0F0000}"/>
    <cellStyle name="40% - Accent4 5 2 3" xfId="7106" xr:uid="{00000000-0005-0000-0000-00004F0F0000}"/>
    <cellStyle name="40% - Accent4 5 2 3 2" xfId="7107" xr:uid="{00000000-0005-0000-0000-0000500F0000}"/>
    <cellStyle name="40% - Accent4 5 2 3 2 2" xfId="7108" xr:uid="{00000000-0005-0000-0000-0000510F0000}"/>
    <cellStyle name="40% - Accent4 5 2 3 2 3" xfId="7109" xr:uid="{00000000-0005-0000-0000-0000520F0000}"/>
    <cellStyle name="40% - Accent4 5 2 3 3" xfId="7110" xr:uid="{00000000-0005-0000-0000-0000530F0000}"/>
    <cellStyle name="40% - Accent4 5 2 3 3 2" xfId="7111" xr:uid="{00000000-0005-0000-0000-0000540F0000}"/>
    <cellStyle name="40% - Accent4 5 2 3 4" xfId="7112" xr:uid="{00000000-0005-0000-0000-0000550F0000}"/>
    <cellStyle name="40% - Accent4 5 2 4" xfId="7113" xr:uid="{00000000-0005-0000-0000-0000560F0000}"/>
    <cellStyle name="40% - Accent4 5 2 5" xfId="7114" xr:uid="{00000000-0005-0000-0000-0000570F0000}"/>
    <cellStyle name="40% - Accent4 5 3" xfId="7115" xr:uid="{00000000-0005-0000-0000-0000580F0000}"/>
    <cellStyle name="40% - Accent4 5 3 2" xfId="7116" xr:uid="{00000000-0005-0000-0000-0000590F0000}"/>
    <cellStyle name="40% - Accent4 5 3 2 2" xfId="7117" xr:uid="{00000000-0005-0000-0000-00005A0F0000}"/>
    <cellStyle name="40% - Accent4 5 3 2 3" xfId="7118" xr:uid="{00000000-0005-0000-0000-00005B0F0000}"/>
    <cellStyle name="40% - Accent4 5 3 3" xfId="7119" xr:uid="{00000000-0005-0000-0000-00005C0F0000}"/>
    <cellStyle name="40% - Accent4 5 3 4" xfId="7120" xr:uid="{00000000-0005-0000-0000-00005D0F0000}"/>
    <cellStyle name="40% - Accent4 5 3 4 2" xfId="7121" xr:uid="{00000000-0005-0000-0000-00005E0F0000}"/>
    <cellStyle name="40% - Accent4 5 3 5" xfId="7122" xr:uid="{00000000-0005-0000-0000-00005F0F0000}"/>
    <cellStyle name="40% - Accent4 5 4" xfId="7123" xr:uid="{00000000-0005-0000-0000-0000600F0000}"/>
    <cellStyle name="40% - Accent4 5 4 2" xfId="7124" xr:uid="{00000000-0005-0000-0000-0000610F0000}"/>
    <cellStyle name="40% - Accent4 5 4 2 2" xfId="7125" xr:uid="{00000000-0005-0000-0000-0000620F0000}"/>
    <cellStyle name="40% - Accent4 5 4 2 3" xfId="7126" xr:uid="{00000000-0005-0000-0000-0000630F0000}"/>
    <cellStyle name="40% - Accent4 5 4 3" xfId="7127" xr:uid="{00000000-0005-0000-0000-0000640F0000}"/>
    <cellStyle name="40% - Accent4 5 4 3 2" xfId="7128" xr:uid="{00000000-0005-0000-0000-0000650F0000}"/>
    <cellStyle name="40% - Accent4 5 4 4" xfId="7129" xr:uid="{00000000-0005-0000-0000-0000660F0000}"/>
    <cellStyle name="40% - Accent4 5 5" xfId="7130" xr:uid="{00000000-0005-0000-0000-0000670F0000}"/>
    <cellStyle name="40% - Accent4 5 5 2" xfId="7131" xr:uid="{00000000-0005-0000-0000-0000680F0000}"/>
    <cellStyle name="40% - Accent4 5 5 3" xfId="7132" xr:uid="{00000000-0005-0000-0000-0000690F0000}"/>
    <cellStyle name="40% - Accent4 5 6" xfId="7133" xr:uid="{00000000-0005-0000-0000-00006A0F0000}"/>
    <cellStyle name="40% - Accent4 5 7" xfId="7134" xr:uid="{00000000-0005-0000-0000-00006B0F0000}"/>
    <cellStyle name="40% - Accent4 5 7 2" xfId="7135" xr:uid="{00000000-0005-0000-0000-00006C0F0000}"/>
    <cellStyle name="40% - Accent4 5 8" xfId="7136" xr:uid="{00000000-0005-0000-0000-00006D0F0000}"/>
    <cellStyle name="40% - Accent4 5 9" xfId="7089" xr:uid="{00000000-0005-0000-0000-00003E0F0000}"/>
    <cellStyle name="40% - Accent4 6" xfId="243" xr:uid="{00000000-0005-0000-0000-000052000000}"/>
    <cellStyle name="40% - Accent4 6 2" xfId="7137" xr:uid="{00000000-0005-0000-0000-00006F0F0000}"/>
    <cellStyle name="40% - Accent4 6 2 2" xfId="7138" xr:uid="{00000000-0005-0000-0000-0000700F0000}"/>
    <cellStyle name="40% - Accent4 6 2 2 2" xfId="7139" xr:uid="{00000000-0005-0000-0000-0000710F0000}"/>
    <cellStyle name="40% - Accent4 6 2 2 2 2" xfId="7140" xr:uid="{00000000-0005-0000-0000-0000720F0000}"/>
    <cellStyle name="40% - Accent4 6 2 2 2 3" xfId="7141" xr:uid="{00000000-0005-0000-0000-0000730F0000}"/>
    <cellStyle name="40% - Accent4 6 2 2 3" xfId="7142" xr:uid="{00000000-0005-0000-0000-0000740F0000}"/>
    <cellStyle name="40% - Accent4 6 2 2 3 2" xfId="7143" xr:uid="{00000000-0005-0000-0000-0000750F0000}"/>
    <cellStyle name="40% - Accent4 6 2 2 4" xfId="7144" xr:uid="{00000000-0005-0000-0000-0000760F0000}"/>
    <cellStyle name="40% - Accent4 6 2 3" xfId="7145" xr:uid="{00000000-0005-0000-0000-0000770F0000}"/>
    <cellStyle name="40% - Accent4 6 2 3 2" xfId="7146" xr:uid="{00000000-0005-0000-0000-0000780F0000}"/>
    <cellStyle name="40% - Accent4 6 2 3 3" xfId="7147" xr:uid="{00000000-0005-0000-0000-0000790F0000}"/>
    <cellStyle name="40% - Accent4 6 2 4" xfId="7148" xr:uid="{00000000-0005-0000-0000-00007A0F0000}"/>
    <cellStyle name="40% - Accent4 6 2 5" xfId="7149" xr:uid="{00000000-0005-0000-0000-00007B0F0000}"/>
    <cellStyle name="40% - Accent4 6 2 5 2" xfId="7150" xr:uid="{00000000-0005-0000-0000-00007C0F0000}"/>
    <cellStyle name="40% - Accent4 6 2 6" xfId="7151" xr:uid="{00000000-0005-0000-0000-00007D0F0000}"/>
    <cellStyle name="40% - Accent4 6 3" xfId="7152" xr:uid="{00000000-0005-0000-0000-00007E0F0000}"/>
    <cellStyle name="40% - Accent4 6 3 2" xfId="7153" xr:uid="{00000000-0005-0000-0000-00007F0F0000}"/>
    <cellStyle name="40% - Accent4 6 3 2 2" xfId="7154" xr:uid="{00000000-0005-0000-0000-0000800F0000}"/>
    <cellStyle name="40% - Accent4 6 3 2 3" xfId="7155" xr:uid="{00000000-0005-0000-0000-0000810F0000}"/>
    <cellStyle name="40% - Accent4 6 3 3" xfId="7156" xr:uid="{00000000-0005-0000-0000-0000820F0000}"/>
    <cellStyle name="40% - Accent4 6 3 3 2" xfId="7157" xr:uid="{00000000-0005-0000-0000-0000830F0000}"/>
    <cellStyle name="40% - Accent4 6 3 4" xfId="7158" xr:uid="{00000000-0005-0000-0000-0000840F0000}"/>
    <cellStyle name="40% - Accent4 6 4" xfId="7159" xr:uid="{00000000-0005-0000-0000-0000850F0000}"/>
    <cellStyle name="40% - Accent4 6 5" xfId="7160" xr:uid="{00000000-0005-0000-0000-0000860F0000}"/>
    <cellStyle name="40% - Accent4 7" xfId="244" xr:uid="{00000000-0005-0000-0000-000053000000}"/>
    <cellStyle name="40% - Accent4 7 2" xfId="7161" xr:uid="{00000000-0005-0000-0000-0000880F0000}"/>
    <cellStyle name="40% - Accent4 7 3" xfId="7162" xr:uid="{00000000-0005-0000-0000-0000890F0000}"/>
    <cellStyle name="40% - Accent4 7 4" xfId="7163" xr:uid="{00000000-0005-0000-0000-00008A0F0000}"/>
    <cellStyle name="40% - Accent4 8" xfId="7164" xr:uid="{00000000-0005-0000-0000-00008B0F0000}"/>
    <cellStyle name="40% - Accent4 8 2" xfId="7165" xr:uid="{00000000-0005-0000-0000-00008C0F0000}"/>
    <cellStyle name="40% - Accent4 8 2 2" xfId="7166" xr:uid="{00000000-0005-0000-0000-00008D0F0000}"/>
    <cellStyle name="40% - Accent4 8 2 3" xfId="7167" xr:uid="{00000000-0005-0000-0000-00008E0F0000}"/>
    <cellStyle name="40% - Accent4 8 2 3 2" xfId="7168" xr:uid="{00000000-0005-0000-0000-00008F0F0000}"/>
    <cellStyle name="40% - Accent4 8 3" xfId="7169" xr:uid="{00000000-0005-0000-0000-0000900F0000}"/>
    <cellStyle name="40% - Accent4 8 4" xfId="7170" xr:uid="{00000000-0005-0000-0000-0000910F0000}"/>
    <cellStyle name="40% - Accent4 8 4 2" xfId="7171" xr:uid="{00000000-0005-0000-0000-0000920F0000}"/>
    <cellStyle name="40% - Accent4 8 5" xfId="7172" xr:uid="{00000000-0005-0000-0000-0000930F0000}"/>
    <cellStyle name="40% - Accent4 9" xfId="7173" xr:uid="{00000000-0005-0000-0000-0000940F0000}"/>
    <cellStyle name="40% - Accent4 9 2" xfId="7174" xr:uid="{00000000-0005-0000-0000-0000950F0000}"/>
    <cellStyle name="40% - Accent4 9 2 2" xfId="7175" xr:uid="{00000000-0005-0000-0000-0000960F0000}"/>
    <cellStyle name="40% - Accent4 9 2 3" xfId="7176" xr:uid="{00000000-0005-0000-0000-0000970F0000}"/>
    <cellStyle name="40% - Accent4 9 3" xfId="7177" xr:uid="{00000000-0005-0000-0000-0000980F0000}"/>
    <cellStyle name="40% - Accent4 9 4" xfId="7178" xr:uid="{00000000-0005-0000-0000-0000990F0000}"/>
    <cellStyle name="40% - Accent4 9 4 2" xfId="7179" xr:uid="{00000000-0005-0000-0000-00009A0F0000}"/>
    <cellStyle name="40% - Accent4 9 5" xfId="7180" xr:uid="{00000000-0005-0000-0000-00009B0F0000}"/>
    <cellStyle name="40% - Accent5" xfId="99" builtinId="47" customBuiltin="1"/>
    <cellStyle name="40% - Accent5 10" xfId="7181" xr:uid="{00000000-0005-0000-0000-00009C0F0000}"/>
    <cellStyle name="40% - Accent5 10 2" xfId="7182" xr:uid="{00000000-0005-0000-0000-00009D0F0000}"/>
    <cellStyle name="40% - Accent5 10 2 2" xfId="7183" xr:uid="{00000000-0005-0000-0000-00009E0F0000}"/>
    <cellStyle name="40% - Accent5 10 2 3" xfId="7184" xr:uid="{00000000-0005-0000-0000-00009F0F0000}"/>
    <cellStyle name="40% - Accent5 10 3" xfId="7185" xr:uid="{00000000-0005-0000-0000-0000A00F0000}"/>
    <cellStyle name="40% - Accent5 10 4" xfId="7186" xr:uid="{00000000-0005-0000-0000-0000A10F0000}"/>
    <cellStyle name="40% - Accent5 10 4 2" xfId="7187" xr:uid="{00000000-0005-0000-0000-0000A20F0000}"/>
    <cellStyle name="40% - Accent5 10 5" xfId="7188" xr:uid="{00000000-0005-0000-0000-0000A30F0000}"/>
    <cellStyle name="40% - Accent5 11" xfId="7189" xr:uid="{00000000-0005-0000-0000-0000A40F0000}"/>
    <cellStyle name="40% - Accent5 11 2" xfId="7190" xr:uid="{00000000-0005-0000-0000-0000A50F0000}"/>
    <cellStyle name="40% - Accent5 11 3" xfId="7191" xr:uid="{00000000-0005-0000-0000-0000A60F0000}"/>
    <cellStyle name="40% - Accent5 11 3 2" xfId="7192" xr:uid="{00000000-0005-0000-0000-0000A70F0000}"/>
    <cellStyle name="40% - Accent5 12" xfId="7193" xr:uid="{00000000-0005-0000-0000-0000A80F0000}"/>
    <cellStyle name="40% - Accent5 12 2" xfId="7194" xr:uid="{00000000-0005-0000-0000-0000A90F0000}"/>
    <cellStyle name="40% - Accent5 12 3" xfId="7195" xr:uid="{00000000-0005-0000-0000-0000AA0F0000}"/>
    <cellStyle name="40% - Accent5 13" xfId="7196" xr:uid="{00000000-0005-0000-0000-0000AB0F0000}"/>
    <cellStyle name="40% - Accent5 13 2" xfId="7197" xr:uid="{00000000-0005-0000-0000-0000AC0F0000}"/>
    <cellStyle name="40% - Accent5 13 3" xfId="7198" xr:uid="{00000000-0005-0000-0000-0000AD0F0000}"/>
    <cellStyle name="40% - Accent5 14" xfId="7199" xr:uid="{00000000-0005-0000-0000-0000AE0F0000}"/>
    <cellStyle name="40% - Accent5 14 2" xfId="7200" xr:uid="{00000000-0005-0000-0000-0000AF0F0000}"/>
    <cellStyle name="40% - Accent5 15" xfId="7201" xr:uid="{00000000-0005-0000-0000-0000B00F0000}"/>
    <cellStyle name="40% - Accent5 16" xfId="7202" xr:uid="{00000000-0005-0000-0000-0000B10F0000}"/>
    <cellStyle name="40% - Accent5 2" xfId="245" xr:uid="{00000000-0005-0000-0000-000054000000}"/>
    <cellStyle name="40% - Accent5 2 2" xfId="7203" xr:uid="{00000000-0005-0000-0000-0000B30F0000}"/>
    <cellStyle name="40% - Accent5 2 3" xfId="7204" xr:uid="{00000000-0005-0000-0000-0000B40F0000}"/>
    <cellStyle name="40% - Accent5 2 3 2" xfId="7205" xr:uid="{00000000-0005-0000-0000-0000B50F0000}"/>
    <cellStyle name="40% - Accent5 2 3 2 2" xfId="7206" xr:uid="{00000000-0005-0000-0000-0000B60F0000}"/>
    <cellStyle name="40% - Accent5 2 3 2 2 2" xfId="7207" xr:uid="{00000000-0005-0000-0000-0000B70F0000}"/>
    <cellStyle name="40% - Accent5 2 3 2 2 2 2" xfId="7208" xr:uid="{00000000-0005-0000-0000-0000B80F0000}"/>
    <cellStyle name="40% - Accent5 2 3 2 2 2 3" xfId="7209" xr:uid="{00000000-0005-0000-0000-0000B90F0000}"/>
    <cellStyle name="40% - Accent5 2 3 2 2 3" xfId="7210" xr:uid="{00000000-0005-0000-0000-0000BA0F0000}"/>
    <cellStyle name="40% - Accent5 2 3 2 2 3 2" xfId="7211" xr:uid="{00000000-0005-0000-0000-0000BB0F0000}"/>
    <cellStyle name="40% - Accent5 2 3 2 2 4" xfId="7212" xr:uid="{00000000-0005-0000-0000-0000BC0F0000}"/>
    <cellStyle name="40% - Accent5 2 3 2 3" xfId="7213" xr:uid="{00000000-0005-0000-0000-0000BD0F0000}"/>
    <cellStyle name="40% - Accent5 2 3 2 3 2" xfId="7214" xr:uid="{00000000-0005-0000-0000-0000BE0F0000}"/>
    <cellStyle name="40% - Accent5 2 3 2 3 2 2" xfId="7215" xr:uid="{00000000-0005-0000-0000-0000BF0F0000}"/>
    <cellStyle name="40% - Accent5 2 3 2 3 2 3" xfId="7216" xr:uid="{00000000-0005-0000-0000-0000C00F0000}"/>
    <cellStyle name="40% - Accent5 2 3 2 3 3" xfId="7217" xr:uid="{00000000-0005-0000-0000-0000C10F0000}"/>
    <cellStyle name="40% - Accent5 2 3 2 3 3 2" xfId="7218" xr:uid="{00000000-0005-0000-0000-0000C20F0000}"/>
    <cellStyle name="40% - Accent5 2 3 2 3 4" xfId="7219" xr:uid="{00000000-0005-0000-0000-0000C30F0000}"/>
    <cellStyle name="40% - Accent5 2 3 2 4" xfId="7220" xr:uid="{00000000-0005-0000-0000-0000C40F0000}"/>
    <cellStyle name="40% - Accent5 2 3 2 4 2" xfId="7221" xr:uid="{00000000-0005-0000-0000-0000C50F0000}"/>
    <cellStyle name="40% - Accent5 2 3 2 4 3" xfId="7222" xr:uid="{00000000-0005-0000-0000-0000C60F0000}"/>
    <cellStyle name="40% - Accent5 2 3 2 5" xfId="7223" xr:uid="{00000000-0005-0000-0000-0000C70F0000}"/>
    <cellStyle name="40% - Accent5 2 3 2 6" xfId="7224" xr:uid="{00000000-0005-0000-0000-0000C80F0000}"/>
    <cellStyle name="40% - Accent5 2 3 2 6 2" xfId="7225" xr:uid="{00000000-0005-0000-0000-0000C90F0000}"/>
    <cellStyle name="40% - Accent5 2 3 2 7" xfId="7226" xr:uid="{00000000-0005-0000-0000-0000CA0F0000}"/>
    <cellStyle name="40% - Accent5 2 3 3" xfId="7227" xr:uid="{00000000-0005-0000-0000-0000CB0F0000}"/>
    <cellStyle name="40% - Accent5 2 3 3 2" xfId="7228" xr:uid="{00000000-0005-0000-0000-0000CC0F0000}"/>
    <cellStyle name="40% - Accent5 2 3 3 2 2" xfId="7229" xr:uid="{00000000-0005-0000-0000-0000CD0F0000}"/>
    <cellStyle name="40% - Accent5 2 3 3 2 3" xfId="7230" xr:uid="{00000000-0005-0000-0000-0000CE0F0000}"/>
    <cellStyle name="40% - Accent5 2 3 3 3" xfId="7231" xr:uid="{00000000-0005-0000-0000-0000CF0F0000}"/>
    <cellStyle name="40% - Accent5 2 3 3 3 2" xfId="7232" xr:uid="{00000000-0005-0000-0000-0000D00F0000}"/>
    <cellStyle name="40% - Accent5 2 3 3 4" xfId="7233" xr:uid="{00000000-0005-0000-0000-0000D10F0000}"/>
    <cellStyle name="40% - Accent5 2 3 4" xfId="7234" xr:uid="{00000000-0005-0000-0000-0000D20F0000}"/>
    <cellStyle name="40% - Accent5 2 3 4 2" xfId="7235" xr:uid="{00000000-0005-0000-0000-0000D30F0000}"/>
    <cellStyle name="40% - Accent5 2 3 4 2 2" xfId="7236" xr:uid="{00000000-0005-0000-0000-0000D40F0000}"/>
    <cellStyle name="40% - Accent5 2 3 4 2 3" xfId="7237" xr:uid="{00000000-0005-0000-0000-0000D50F0000}"/>
    <cellStyle name="40% - Accent5 2 3 4 3" xfId="7238" xr:uid="{00000000-0005-0000-0000-0000D60F0000}"/>
    <cellStyle name="40% - Accent5 2 3 4 3 2" xfId="7239" xr:uid="{00000000-0005-0000-0000-0000D70F0000}"/>
    <cellStyle name="40% - Accent5 2 3 4 4" xfId="7240" xr:uid="{00000000-0005-0000-0000-0000D80F0000}"/>
    <cellStyle name="40% - Accent5 2 3 5" xfId="7241" xr:uid="{00000000-0005-0000-0000-0000D90F0000}"/>
    <cellStyle name="40% - Accent5 2 3 5 2" xfId="7242" xr:uid="{00000000-0005-0000-0000-0000DA0F0000}"/>
    <cellStyle name="40% - Accent5 2 3 5 3" xfId="7243" xr:uid="{00000000-0005-0000-0000-0000DB0F0000}"/>
    <cellStyle name="40% - Accent5 2 3 6" xfId="7244" xr:uid="{00000000-0005-0000-0000-0000DC0F0000}"/>
    <cellStyle name="40% - Accent5 2 3 7" xfId="7245" xr:uid="{00000000-0005-0000-0000-0000DD0F0000}"/>
    <cellStyle name="40% - Accent5 2 3 7 2" xfId="7246" xr:uid="{00000000-0005-0000-0000-0000DE0F0000}"/>
    <cellStyle name="40% - Accent5 2 3 8" xfId="7247" xr:uid="{00000000-0005-0000-0000-0000DF0F0000}"/>
    <cellStyle name="40% - Accent5 2 4" xfId="7248" xr:uid="{00000000-0005-0000-0000-0000E00F0000}"/>
    <cellStyle name="40% - Accent5 2 4 2" xfId="7249" xr:uid="{00000000-0005-0000-0000-0000E10F0000}"/>
    <cellStyle name="40% - Accent5 2 4 2 2" xfId="7250" xr:uid="{00000000-0005-0000-0000-0000E20F0000}"/>
    <cellStyle name="40% - Accent5 2 4 2 2 2" xfId="7251" xr:uid="{00000000-0005-0000-0000-0000E30F0000}"/>
    <cellStyle name="40% - Accent5 2 4 2 2 2 2" xfId="7252" xr:uid="{00000000-0005-0000-0000-0000E40F0000}"/>
    <cellStyle name="40% - Accent5 2 4 2 2 2 3" xfId="7253" xr:uid="{00000000-0005-0000-0000-0000E50F0000}"/>
    <cellStyle name="40% - Accent5 2 4 2 2 3" xfId="7254" xr:uid="{00000000-0005-0000-0000-0000E60F0000}"/>
    <cellStyle name="40% - Accent5 2 4 2 2 3 2" xfId="7255" xr:uid="{00000000-0005-0000-0000-0000E70F0000}"/>
    <cellStyle name="40% - Accent5 2 4 2 2 4" xfId="7256" xr:uid="{00000000-0005-0000-0000-0000E80F0000}"/>
    <cellStyle name="40% - Accent5 2 4 2 3" xfId="7257" xr:uid="{00000000-0005-0000-0000-0000E90F0000}"/>
    <cellStyle name="40% - Accent5 2 4 2 3 2" xfId="7258" xr:uid="{00000000-0005-0000-0000-0000EA0F0000}"/>
    <cellStyle name="40% - Accent5 2 4 2 3 2 2" xfId="7259" xr:uid="{00000000-0005-0000-0000-0000EB0F0000}"/>
    <cellStyle name="40% - Accent5 2 4 2 3 2 3" xfId="7260" xr:uid="{00000000-0005-0000-0000-0000EC0F0000}"/>
    <cellStyle name="40% - Accent5 2 4 2 3 3" xfId="7261" xr:uid="{00000000-0005-0000-0000-0000ED0F0000}"/>
    <cellStyle name="40% - Accent5 2 4 2 3 3 2" xfId="7262" xr:uid="{00000000-0005-0000-0000-0000EE0F0000}"/>
    <cellStyle name="40% - Accent5 2 4 2 3 4" xfId="7263" xr:uid="{00000000-0005-0000-0000-0000EF0F0000}"/>
    <cellStyle name="40% - Accent5 2 4 2 4" xfId="7264" xr:uid="{00000000-0005-0000-0000-0000F00F0000}"/>
    <cellStyle name="40% - Accent5 2 4 2 4 2" xfId="7265" xr:uid="{00000000-0005-0000-0000-0000F10F0000}"/>
    <cellStyle name="40% - Accent5 2 4 2 4 3" xfId="7266" xr:uid="{00000000-0005-0000-0000-0000F20F0000}"/>
    <cellStyle name="40% - Accent5 2 4 2 5" xfId="7267" xr:uid="{00000000-0005-0000-0000-0000F30F0000}"/>
    <cellStyle name="40% - Accent5 2 4 2 6" xfId="7268" xr:uid="{00000000-0005-0000-0000-0000F40F0000}"/>
    <cellStyle name="40% - Accent5 2 4 2 6 2" xfId="7269" xr:uid="{00000000-0005-0000-0000-0000F50F0000}"/>
    <cellStyle name="40% - Accent5 2 4 2 7" xfId="7270" xr:uid="{00000000-0005-0000-0000-0000F60F0000}"/>
    <cellStyle name="40% - Accent5 2 4 3" xfId="7271" xr:uid="{00000000-0005-0000-0000-0000F70F0000}"/>
    <cellStyle name="40% - Accent5 2 4 3 2" xfId="7272" xr:uid="{00000000-0005-0000-0000-0000F80F0000}"/>
    <cellStyle name="40% - Accent5 2 4 3 2 2" xfId="7273" xr:uid="{00000000-0005-0000-0000-0000F90F0000}"/>
    <cellStyle name="40% - Accent5 2 4 3 2 3" xfId="7274" xr:uid="{00000000-0005-0000-0000-0000FA0F0000}"/>
    <cellStyle name="40% - Accent5 2 4 3 3" xfId="7275" xr:uid="{00000000-0005-0000-0000-0000FB0F0000}"/>
    <cellStyle name="40% - Accent5 2 4 3 3 2" xfId="7276" xr:uid="{00000000-0005-0000-0000-0000FC0F0000}"/>
    <cellStyle name="40% - Accent5 2 4 3 4" xfId="7277" xr:uid="{00000000-0005-0000-0000-0000FD0F0000}"/>
    <cellStyle name="40% - Accent5 2 4 4" xfId="7278" xr:uid="{00000000-0005-0000-0000-0000FE0F0000}"/>
    <cellStyle name="40% - Accent5 2 4 4 2" xfId="7279" xr:uid="{00000000-0005-0000-0000-0000FF0F0000}"/>
    <cellStyle name="40% - Accent5 2 4 4 2 2" xfId="7280" xr:uid="{00000000-0005-0000-0000-000000100000}"/>
    <cellStyle name="40% - Accent5 2 4 4 2 3" xfId="7281" xr:uid="{00000000-0005-0000-0000-000001100000}"/>
    <cellStyle name="40% - Accent5 2 4 4 3" xfId="7282" xr:uid="{00000000-0005-0000-0000-000002100000}"/>
    <cellStyle name="40% - Accent5 2 4 4 3 2" xfId="7283" xr:uid="{00000000-0005-0000-0000-000003100000}"/>
    <cellStyle name="40% - Accent5 2 4 4 4" xfId="7284" xr:uid="{00000000-0005-0000-0000-000004100000}"/>
    <cellStyle name="40% - Accent5 2 4 5" xfId="7285" xr:uid="{00000000-0005-0000-0000-000005100000}"/>
    <cellStyle name="40% - Accent5 2 4 5 2" xfId="7286" xr:uid="{00000000-0005-0000-0000-000006100000}"/>
    <cellStyle name="40% - Accent5 2 4 5 3" xfId="7287" xr:uid="{00000000-0005-0000-0000-000007100000}"/>
    <cellStyle name="40% - Accent5 2 4 6" xfId="7288" xr:uid="{00000000-0005-0000-0000-000008100000}"/>
    <cellStyle name="40% - Accent5 2 4 7" xfId="7289" xr:uid="{00000000-0005-0000-0000-000009100000}"/>
    <cellStyle name="40% - Accent5 2 4 7 2" xfId="7290" xr:uid="{00000000-0005-0000-0000-00000A100000}"/>
    <cellStyle name="40% - Accent5 2 4 8" xfId="7291" xr:uid="{00000000-0005-0000-0000-00000B100000}"/>
    <cellStyle name="40% - Accent5 2 5" xfId="7292" xr:uid="{00000000-0005-0000-0000-00000C100000}"/>
    <cellStyle name="40% - Accent5 2 5 2" xfId="7293" xr:uid="{00000000-0005-0000-0000-00000D100000}"/>
    <cellStyle name="40% - Accent5 2 5 2 2" xfId="7294" xr:uid="{00000000-0005-0000-0000-00000E100000}"/>
    <cellStyle name="40% - Accent5 2 5 2 2 2" xfId="7295" xr:uid="{00000000-0005-0000-0000-00000F100000}"/>
    <cellStyle name="40% - Accent5 2 5 2 2 2 2" xfId="7296" xr:uid="{00000000-0005-0000-0000-000010100000}"/>
    <cellStyle name="40% - Accent5 2 5 2 2 2 3" xfId="7297" xr:uid="{00000000-0005-0000-0000-000011100000}"/>
    <cellStyle name="40% - Accent5 2 5 2 2 3" xfId="7298" xr:uid="{00000000-0005-0000-0000-000012100000}"/>
    <cellStyle name="40% - Accent5 2 5 2 2 3 2" xfId="7299" xr:uid="{00000000-0005-0000-0000-000013100000}"/>
    <cellStyle name="40% - Accent5 2 5 2 2 4" xfId="7300" xr:uid="{00000000-0005-0000-0000-000014100000}"/>
    <cellStyle name="40% - Accent5 2 5 2 3" xfId="7301" xr:uid="{00000000-0005-0000-0000-000015100000}"/>
    <cellStyle name="40% - Accent5 2 5 2 3 2" xfId="7302" xr:uid="{00000000-0005-0000-0000-000016100000}"/>
    <cellStyle name="40% - Accent5 2 5 2 3 2 2" xfId="7303" xr:uid="{00000000-0005-0000-0000-000017100000}"/>
    <cellStyle name="40% - Accent5 2 5 2 3 2 3" xfId="7304" xr:uid="{00000000-0005-0000-0000-000018100000}"/>
    <cellStyle name="40% - Accent5 2 5 2 3 3" xfId="7305" xr:uid="{00000000-0005-0000-0000-000019100000}"/>
    <cellStyle name="40% - Accent5 2 5 2 3 3 2" xfId="7306" xr:uid="{00000000-0005-0000-0000-00001A100000}"/>
    <cellStyle name="40% - Accent5 2 5 2 3 4" xfId="7307" xr:uid="{00000000-0005-0000-0000-00001B100000}"/>
    <cellStyle name="40% - Accent5 2 5 2 4" xfId="7308" xr:uid="{00000000-0005-0000-0000-00001C100000}"/>
    <cellStyle name="40% - Accent5 2 5 2 4 2" xfId="7309" xr:uid="{00000000-0005-0000-0000-00001D100000}"/>
    <cellStyle name="40% - Accent5 2 5 2 4 3" xfId="7310" xr:uid="{00000000-0005-0000-0000-00001E100000}"/>
    <cellStyle name="40% - Accent5 2 5 2 5" xfId="7311" xr:uid="{00000000-0005-0000-0000-00001F100000}"/>
    <cellStyle name="40% - Accent5 2 5 2 6" xfId="7312" xr:uid="{00000000-0005-0000-0000-000020100000}"/>
    <cellStyle name="40% - Accent5 2 5 2 6 2" xfId="7313" xr:uid="{00000000-0005-0000-0000-000021100000}"/>
    <cellStyle name="40% - Accent5 2 5 2 7" xfId="7314" xr:uid="{00000000-0005-0000-0000-000022100000}"/>
    <cellStyle name="40% - Accent5 2 5 3" xfId="7315" xr:uid="{00000000-0005-0000-0000-000023100000}"/>
    <cellStyle name="40% - Accent5 2 5 3 2" xfId="7316" xr:uid="{00000000-0005-0000-0000-000024100000}"/>
    <cellStyle name="40% - Accent5 2 5 3 2 2" xfId="7317" xr:uid="{00000000-0005-0000-0000-000025100000}"/>
    <cellStyle name="40% - Accent5 2 5 3 2 3" xfId="7318" xr:uid="{00000000-0005-0000-0000-000026100000}"/>
    <cellStyle name="40% - Accent5 2 5 3 3" xfId="7319" xr:uid="{00000000-0005-0000-0000-000027100000}"/>
    <cellStyle name="40% - Accent5 2 5 3 3 2" xfId="7320" xr:uid="{00000000-0005-0000-0000-000028100000}"/>
    <cellStyle name="40% - Accent5 2 5 3 4" xfId="7321" xr:uid="{00000000-0005-0000-0000-000029100000}"/>
    <cellStyle name="40% - Accent5 2 5 4" xfId="7322" xr:uid="{00000000-0005-0000-0000-00002A100000}"/>
    <cellStyle name="40% - Accent5 2 5 4 2" xfId="7323" xr:uid="{00000000-0005-0000-0000-00002B100000}"/>
    <cellStyle name="40% - Accent5 2 5 4 2 2" xfId="7324" xr:uid="{00000000-0005-0000-0000-00002C100000}"/>
    <cellStyle name="40% - Accent5 2 5 4 2 3" xfId="7325" xr:uid="{00000000-0005-0000-0000-00002D100000}"/>
    <cellStyle name="40% - Accent5 2 5 4 3" xfId="7326" xr:uid="{00000000-0005-0000-0000-00002E100000}"/>
    <cellStyle name="40% - Accent5 2 5 4 3 2" xfId="7327" xr:uid="{00000000-0005-0000-0000-00002F100000}"/>
    <cellStyle name="40% - Accent5 2 5 4 4" xfId="7328" xr:uid="{00000000-0005-0000-0000-000030100000}"/>
    <cellStyle name="40% - Accent5 2 5 5" xfId="7329" xr:uid="{00000000-0005-0000-0000-000031100000}"/>
    <cellStyle name="40% - Accent5 2 5 5 2" xfId="7330" xr:uid="{00000000-0005-0000-0000-000032100000}"/>
    <cellStyle name="40% - Accent5 2 5 5 3" xfId="7331" xr:uid="{00000000-0005-0000-0000-000033100000}"/>
    <cellStyle name="40% - Accent5 2 5 6" xfId="7332" xr:uid="{00000000-0005-0000-0000-000034100000}"/>
    <cellStyle name="40% - Accent5 2 5 7" xfId="7333" xr:uid="{00000000-0005-0000-0000-000035100000}"/>
    <cellStyle name="40% - Accent5 2 5 7 2" xfId="7334" xr:uid="{00000000-0005-0000-0000-000036100000}"/>
    <cellStyle name="40% - Accent5 2 5 8" xfId="7335" xr:uid="{00000000-0005-0000-0000-000037100000}"/>
    <cellStyle name="40% - Accent5 2 6" xfId="7336" xr:uid="{00000000-0005-0000-0000-000038100000}"/>
    <cellStyle name="40% - Accent5 2 6 2" xfId="7337" xr:uid="{00000000-0005-0000-0000-000039100000}"/>
    <cellStyle name="40% - Accent5 2 6 2 2" xfId="7338" xr:uid="{00000000-0005-0000-0000-00003A100000}"/>
    <cellStyle name="40% - Accent5 2 6 2 2 2" xfId="7339" xr:uid="{00000000-0005-0000-0000-00003B100000}"/>
    <cellStyle name="40% - Accent5 2 6 2 2 2 2" xfId="7340" xr:uid="{00000000-0005-0000-0000-00003C100000}"/>
    <cellStyle name="40% - Accent5 2 6 2 2 2 3" xfId="7341" xr:uid="{00000000-0005-0000-0000-00003D100000}"/>
    <cellStyle name="40% - Accent5 2 6 2 2 3" xfId="7342" xr:uid="{00000000-0005-0000-0000-00003E100000}"/>
    <cellStyle name="40% - Accent5 2 6 2 2 3 2" xfId="7343" xr:uid="{00000000-0005-0000-0000-00003F100000}"/>
    <cellStyle name="40% - Accent5 2 6 2 2 4" xfId="7344" xr:uid="{00000000-0005-0000-0000-000040100000}"/>
    <cellStyle name="40% - Accent5 2 6 2 3" xfId="7345" xr:uid="{00000000-0005-0000-0000-000041100000}"/>
    <cellStyle name="40% - Accent5 2 6 2 3 2" xfId="7346" xr:uid="{00000000-0005-0000-0000-000042100000}"/>
    <cellStyle name="40% - Accent5 2 6 2 3 2 2" xfId="7347" xr:uid="{00000000-0005-0000-0000-000043100000}"/>
    <cellStyle name="40% - Accent5 2 6 2 3 2 3" xfId="7348" xr:uid="{00000000-0005-0000-0000-000044100000}"/>
    <cellStyle name="40% - Accent5 2 6 2 3 3" xfId="7349" xr:uid="{00000000-0005-0000-0000-000045100000}"/>
    <cellStyle name="40% - Accent5 2 6 2 3 3 2" xfId="7350" xr:uid="{00000000-0005-0000-0000-000046100000}"/>
    <cellStyle name="40% - Accent5 2 6 2 3 4" xfId="7351" xr:uid="{00000000-0005-0000-0000-000047100000}"/>
    <cellStyle name="40% - Accent5 2 6 2 4" xfId="7352" xr:uid="{00000000-0005-0000-0000-000048100000}"/>
    <cellStyle name="40% - Accent5 2 6 2 4 2" xfId="7353" xr:uid="{00000000-0005-0000-0000-000049100000}"/>
    <cellStyle name="40% - Accent5 2 6 2 4 3" xfId="7354" xr:uid="{00000000-0005-0000-0000-00004A100000}"/>
    <cellStyle name="40% - Accent5 2 6 2 5" xfId="7355" xr:uid="{00000000-0005-0000-0000-00004B100000}"/>
    <cellStyle name="40% - Accent5 2 6 2 6" xfId="7356" xr:uid="{00000000-0005-0000-0000-00004C100000}"/>
    <cellStyle name="40% - Accent5 2 6 2 6 2" xfId="7357" xr:uid="{00000000-0005-0000-0000-00004D100000}"/>
    <cellStyle name="40% - Accent5 2 6 2 7" xfId="7358" xr:uid="{00000000-0005-0000-0000-00004E100000}"/>
    <cellStyle name="40% - Accent5 2 6 3" xfId="7359" xr:uid="{00000000-0005-0000-0000-00004F100000}"/>
    <cellStyle name="40% - Accent5 2 6 3 2" xfId="7360" xr:uid="{00000000-0005-0000-0000-000050100000}"/>
    <cellStyle name="40% - Accent5 2 6 3 2 2" xfId="7361" xr:uid="{00000000-0005-0000-0000-000051100000}"/>
    <cellStyle name="40% - Accent5 2 6 3 2 3" xfId="7362" xr:uid="{00000000-0005-0000-0000-000052100000}"/>
    <cellStyle name="40% - Accent5 2 6 3 3" xfId="7363" xr:uid="{00000000-0005-0000-0000-000053100000}"/>
    <cellStyle name="40% - Accent5 2 6 3 3 2" xfId="7364" xr:uid="{00000000-0005-0000-0000-000054100000}"/>
    <cellStyle name="40% - Accent5 2 6 3 4" xfId="7365" xr:uid="{00000000-0005-0000-0000-000055100000}"/>
    <cellStyle name="40% - Accent5 2 6 4" xfId="7366" xr:uid="{00000000-0005-0000-0000-000056100000}"/>
    <cellStyle name="40% - Accent5 2 6 4 2" xfId="7367" xr:uid="{00000000-0005-0000-0000-000057100000}"/>
    <cellStyle name="40% - Accent5 2 6 4 2 2" xfId="7368" xr:uid="{00000000-0005-0000-0000-000058100000}"/>
    <cellStyle name="40% - Accent5 2 6 4 2 3" xfId="7369" xr:uid="{00000000-0005-0000-0000-000059100000}"/>
    <cellStyle name="40% - Accent5 2 6 4 3" xfId="7370" xr:uid="{00000000-0005-0000-0000-00005A100000}"/>
    <cellStyle name="40% - Accent5 2 6 4 3 2" xfId="7371" xr:uid="{00000000-0005-0000-0000-00005B100000}"/>
    <cellStyle name="40% - Accent5 2 6 4 4" xfId="7372" xr:uid="{00000000-0005-0000-0000-00005C100000}"/>
    <cellStyle name="40% - Accent5 2 6 5" xfId="7373" xr:uid="{00000000-0005-0000-0000-00005D100000}"/>
    <cellStyle name="40% - Accent5 2 6 5 2" xfId="7374" xr:uid="{00000000-0005-0000-0000-00005E100000}"/>
    <cellStyle name="40% - Accent5 2 6 5 3" xfId="7375" xr:uid="{00000000-0005-0000-0000-00005F100000}"/>
    <cellStyle name="40% - Accent5 2 6 6" xfId="7376" xr:uid="{00000000-0005-0000-0000-000060100000}"/>
    <cellStyle name="40% - Accent5 2 6 7" xfId="7377" xr:uid="{00000000-0005-0000-0000-000061100000}"/>
    <cellStyle name="40% - Accent5 2 6 7 2" xfId="7378" xr:uid="{00000000-0005-0000-0000-000062100000}"/>
    <cellStyle name="40% - Accent5 2 6 8" xfId="7379" xr:uid="{00000000-0005-0000-0000-000063100000}"/>
    <cellStyle name="40% - Accent5 2 7" xfId="7380" xr:uid="{00000000-0005-0000-0000-000064100000}"/>
    <cellStyle name="40% - Accent5 2 7 2" xfId="7381" xr:uid="{00000000-0005-0000-0000-000065100000}"/>
    <cellStyle name="40% - Accent5 2 7 2 2" xfId="7382" xr:uid="{00000000-0005-0000-0000-000066100000}"/>
    <cellStyle name="40% - Accent5 2 7 2 3" xfId="7383" xr:uid="{00000000-0005-0000-0000-000067100000}"/>
    <cellStyle name="40% - Accent5 2 7 3" xfId="7384" xr:uid="{00000000-0005-0000-0000-000068100000}"/>
    <cellStyle name="40% - Accent5 2 7 3 2" xfId="7385" xr:uid="{00000000-0005-0000-0000-000069100000}"/>
    <cellStyle name="40% - Accent5 2 7 4" xfId="7386" xr:uid="{00000000-0005-0000-0000-00006A100000}"/>
    <cellStyle name="40% - Accent5 3" xfId="246" xr:uid="{00000000-0005-0000-0000-000055000000}"/>
    <cellStyle name="40% - Accent5 3 10" xfId="7387" xr:uid="{00000000-0005-0000-0000-00006B100000}"/>
    <cellStyle name="40% - Accent5 3 2" xfId="7388" xr:uid="{00000000-0005-0000-0000-00006C100000}"/>
    <cellStyle name="40% - Accent5 3 2 2" xfId="7389" xr:uid="{00000000-0005-0000-0000-00006D100000}"/>
    <cellStyle name="40% - Accent5 3 2 2 2" xfId="7390" xr:uid="{00000000-0005-0000-0000-00006E100000}"/>
    <cellStyle name="40% - Accent5 3 2 2 2 2" xfId="7391" xr:uid="{00000000-0005-0000-0000-00006F100000}"/>
    <cellStyle name="40% - Accent5 3 2 2 2 2 2" xfId="7392" xr:uid="{00000000-0005-0000-0000-000070100000}"/>
    <cellStyle name="40% - Accent5 3 2 2 2 2 3" xfId="7393" xr:uid="{00000000-0005-0000-0000-000071100000}"/>
    <cellStyle name="40% - Accent5 3 2 2 2 3" xfId="7394" xr:uid="{00000000-0005-0000-0000-000072100000}"/>
    <cellStyle name="40% - Accent5 3 2 2 2 3 2" xfId="7395" xr:uid="{00000000-0005-0000-0000-000073100000}"/>
    <cellStyle name="40% - Accent5 3 2 2 2 4" xfId="7396" xr:uid="{00000000-0005-0000-0000-000074100000}"/>
    <cellStyle name="40% - Accent5 3 2 2 3" xfId="7397" xr:uid="{00000000-0005-0000-0000-000075100000}"/>
    <cellStyle name="40% - Accent5 3 2 2 3 2" xfId="7398" xr:uid="{00000000-0005-0000-0000-000076100000}"/>
    <cellStyle name="40% - Accent5 3 2 2 3 3" xfId="7399" xr:uid="{00000000-0005-0000-0000-000077100000}"/>
    <cellStyle name="40% - Accent5 3 2 2 4" xfId="7400" xr:uid="{00000000-0005-0000-0000-000078100000}"/>
    <cellStyle name="40% - Accent5 3 2 2 5" xfId="7401" xr:uid="{00000000-0005-0000-0000-000079100000}"/>
    <cellStyle name="40% - Accent5 3 2 2 5 2" xfId="7402" xr:uid="{00000000-0005-0000-0000-00007A100000}"/>
    <cellStyle name="40% - Accent5 3 2 2 6" xfId="7403" xr:uid="{00000000-0005-0000-0000-00007B100000}"/>
    <cellStyle name="40% - Accent5 3 2 3" xfId="7404" xr:uid="{00000000-0005-0000-0000-00007C100000}"/>
    <cellStyle name="40% - Accent5 3 2 3 2" xfId="7405" xr:uid="{00000000-0005-0000-0000-00007D100000}"/>
    <cellStyle name="40% - Accent5 3 2 3 2 2" xfId="7406" xr:uid="{00000000-0005-0000-0000-00007E100000}"/>
    <cellStyle name="40% - Accent5 3 2 3 2 3" xfId="7407" xr:uid="{00000000-0005-0000-0000-00007F100000}"/>
    <cellStyle name="40% - Accent5 3 2 3 3" xfId="7408" xr:uid="{00000000-0005-0000-0000-000080100000}"/>
    <cellStyle name="40% - Accent5 3 2 3 3 2" xfId="7409" xr:uid="{00000000-0005-0000-0000-000081100000}"/>
    <cellStyle name="40% - Accent5 3 2 3 4" xfId="7410" xr:uid="{00000000-0005-0000-0000-000082100000}"/>
    <cellStyle name="40% - Accent5 3 2 4" xfId="7411" xr:uid="{00000000-0005-0000-0000-000083100000}"/>
    <cellStyle name="40% - Accent5 3 2 5" xfId="7412" xr:uid="{00000000-0005-0000-0000-000084100000}"/>
    <cellStyle name="40% - Accent5 3 3" xfId="7413" xr:uid="{00000000-0005-0000-0000-000085100000}"/>
    <cellStyle name="40% - Accent5 3 3 2" xfId="7414" xr:uid="{00000000-0005-0000-0000-000086100000}"/>
    <cellStyle name="40% - Accent5 3 3 2 2" xfId="7415" xr:uid="{00000000-0005-0000-0000-000087100000}"/>
    <cellStyle name="40% - Accent5 3 3 2 3" xfId="7416" xr:uid="{00000000-0005-0000-0000-000088100000}"/>
    <cellStyle name="40% - Accent5 3 3 2 3 2" xfId="7417" xr:uid="{00000000-0005-0000-0000-000089100000}"/>
    <cellStyle name="40% - Accent5 3 3 3" xfId="7418" xr:uid="{00000000-0005-0000-0000-00008A100000}"/>
    <cellStyle name="40% - Accent5 3 3 4" xfId="7419" xr:uid="{00000000-0005-0000-0000-00008B100000}"/>
    <cellStyle name="40% - Accent5 3 3 4 2" xfId="7420" xr:uid="{00000000-0005-0000-0000-00008C100000}"/>
    <cellStyle name="40% - Accent5 3 3 5" xfId="7421" xr:uid="{00000000-0005-0000-0000-00008D100000}"/>
    <cellStyle name="40% - Accent5 3 4" xfId="7422" xr:uid="{00000000-0005-0000-0000-00008E100000}"/>
    <cellStyle name="40% - Accent5 3 4 2" xfId="7423" xr:uid="{00000000-0005-0000-0000-00008F100000}"/>
    <cellStyle name="40% - Accent5 3 4 2 2" xfId="7424" xr:uid="{00000000-0005-0000-0000-000090100000}"/>
    <cellStyle name="40% - Accent5 3 4 2 3" xfId="7425" xr:uid="{00000000-0005-0000-0000-000091100000}"/>
    <cellStyle name="40% - Accent5 3 4 3" xfId="7426" xr:uid="{00000000-0005-0000-0000-000092100000}"/>
    <cellStyle name="40% - Accent5 3 4 4" xfId="7427" xr:uid="{00000000-0005-0000-0000-000093100000}"/>
    <cellStyle name="40% - Accent5 3 4 4 2" xfId="7428" xr:uid="{00000000-0005-0000-0000-000094100000}"/>
    <cellStyle name="40% - Accent5 3 4 5" xfId="7429" xr:uid="{00000000-0005-0000-0000-000095100000}"/>
    <cellStyle name="40% - Accent5 3 5" xfId="7430" xr:uid="{00000000-0005-0000-0000-000096100000}"/>
    <cellStyle name="40% - Accent5 3 5 2" xfId="7431" xr:uid="{00000000-0005-0000-0000-000097100000}"/>
    <cellStyle name="40% - Accent5 3 5 2 2" xfId="7432" xr:uid="{00000000-0005-0000-0000-000098100000}"/>
    <cellStyle name="40% - Accent5 3 5 2 3" xfId="7433" xr:uid="{00000000-0005-0000-0000-000099100000}"/>
    <cellStyle name="40% - Accent5 3 5 3" xfId="7434" xr:uid="{00000000-0005-0000-0000-00009A100000}"/>
    <cellStyle name="40% - Accent5 3 5 3 2" xfId="7435" xr:uid="{00000000-0005-0000-0000-00009B100000}"/>
    <cellStyle name="40% - Accent5 3 5 4" xfId="7436" xr:uid="{00000000-0005-0000-0000-00009C100000}"/>
    <cellStyle name="40% - Accent5 3 6" xfId="7437" xr:uid="{00000000-0005-0000-0000-00009D100000}"/>
    <cellStyle name="40% - Accent5 3 6 2" xfId="7438" xr:uid="{00000000-0005-0000-0000-00009E100000}"/>
    <cellStyle name="40% - Accent5 3 6 3" xfId="7439" xr:uid="{00000000-0005-0000-0000-00009F100000}"/>
    <cellStyle name="40% - Accent5 3 7" xfId="7440" xr:uid="{00000000-0005-0000-0000-0000A0100000}"/>
    <cellStyle name="40% - Accent5 3 8" xfId="7441" xr:uid="{00000000-0005-0000-0000-0000A1100000}"/>
    <cellStyle name="40% - Accent5 3 8 2" xfId="7442" xr:uid="{00000000-0005-0000-0000-0000A2100000}"/>
    <cellStyle name="40% - Accent5 3 9" xfId="7443" xr:uid="{00000000-0005-0000-0000-0000A3100000}"/>
    <cellStyle name="40% - Accent5 4" xfId="247" xr:uid="{00000000-0005-0000-0000-000056000000}"/>
    <cellStyle name="40% - Accent5 4 10" xfId="7444" xr:uid="{00000000-0005-0000-0000-0000A4100000}"/>
    <cellStyle name="40% - Accent5 4 2" xfId="7445" xr:uid="{00000000-0005-0000-0000-0000A5100000}"/>
    <cellStyle name="40% - Accent5 4 2 2" xfId="7446" xr:uid="{00000000-0005-0000-0000-0000A6100000}"/>
    <cellStyle name="40% - Accent5 4 2 2 2" xfId="7447" xr:uid="{00000000-0005-0000-0000-0000A7100000}"/>
    <cellStyle name="40% - Accent5 4 2 2 2 2" xfId="7448" xr:uid="{00000000-0005-0000-0000-0000A8100000}"/>
    <cellStyle name="40% - Accent5 4 2 2 2 2 2" xfId="7449" xr:uid="{00000000-0005-0000-0000-0000A9100000}"/>
    <cellStyle name="40% - Accent5 4 2 2 2 2 3" xfId="7450" xr:uid="{00000000-0005-0000-0000-0000AA100000}"/>
    <cellStyle name="40% - Accent5 4 2 2 2 3" xfId="7451" xr:uid="{00000000-0005-0000-0000-0000AB100000}"/>
    <cellStyle name="40% - Accent5 4 2 2 2 3 2" xfId="7452" xr:uid="{00000000-0005-0000-0000-0000AC100000}"/>
    <cellStyle name="40% - Accent5 4 2 2 2 4" xfId="7453" xr:uid="{00000000-0005-0000-0000-0000AD100000}"/>
    <cellStyle name="40% - Accent5 4 2 2 3" xfId="7454" xr:uid="{00000000-0005-0000-0000-0000AE100000}"/>
    <cellStyle name="40% - Accent5 4 2 2 3 2" xfId="7455" xr:uid="{00000000-0005-0000-0000-0000AF100000}"/>
    <cellStyle name="40% - Accent5 4 2 2 3 3" xfId="7456" xr:uid="{00000000-0005-0000-0000-0000B0100000}"/>
    <cellStyle name="40% - Accent5 4 2 2 4" xfId="7457" xr:uid="{00000000-0005-0000-0000-0000B1100000}"/>
    <cellStyle name="40% - Accent5 4 2 2 5" xfId="7458" xr:uid="{00000000-0005-0000-0000-0000B2100000}"/>
    <cellStyle name="40% - Accent5 4 2 2 5 2" xfId="7459" xr:uid="{00000000-0005-0000-0000-0000B3100000}"/>
    <cellStyle name="40% - Accent5 4 2 2 6" xfId="7460" xr:uid="{00000000-0005-0000-0000-0000B4100000}"/>
    <cellStyle name="40% - Accent5 4 2 3" xfId="7461" xr:uid="{00000000-0005-0000-0000-0000B5100000}"/>
    <cellStyle name="40% - Accent5 4 2 3 2" xfId="7462" xr:uid="{00000000-0005-0000-0000-0000B6100000}"/>
    <cellStyle name="40% - Accent5 4 2 3 2 2" xfId="7463" xr:uid="{00000000-0005-0000-0000-0000B7100000}"/>
    <cellStyle name="40% - Accent5 4 2 3 2 3" xfId="7464" xr:uid="{00000000-0005-0000-0000-0000B8100000}"/>
    <cellStyle name="40% - Accent5 4 2 3 3" xfId="7465" xr:uid="{00000000-0005-0000-0000-0000B9100000}"/>
    <cellStyle name="40% - Accent5 4 2 3 3 2" xfId="7466" xr:uid="{00000000-0005-0000-0000-0000BA100000}"/>
    <cellStyle name="40% - Accent5 4 2 3 4" xfId="7467" xr:uid="{00000000-0005-0000-0000-0000BB100000}"/>
    <cellStyle name="40% - Accent5 4 2 4" xfId="7468" xr:uid="{00000000-0005-0000-0000-0000BC100000}"/>
    <cellStyle name="40% - Accent5 4 2 5" xfId="7469" xr:uid="{00000000-0005-0000-0000-0000BD100000}"/>
    <cellStyle name="40% - Accent5 4 3" xfId="7470" xr:uid="{00000000-0005-0000-0000-0000BE100000}"/>
    <cellStyle name="40% - Accent5 4 3 2" xfId="7471" xr:uid="{00000000-0005-0000-0000-0000BF100000}"/>
    <cellStyle name="40% - Accent5 4 3 2 2" xfId="7472" xr:uid="{00000000-0005-0000-0000-0000C0100000}"/>
    <cellStyle name="40% - Accent5 4 3 2 3" xfId="7473" xr:uid="{00000000-0005-0000-0000-0000C1100000}"/>
    <cellStyle name="40% - Accent5 4 3 3" xfId="7474" xr:uid="{00000000-0005-0000-0000-0000C2100000}"/>
    <cellStyle name="40% - Accent5 4 3 4" xfId="7475" xr:uid="{00000000-0005-0000-0000-0000C3100000}"/>
    <cellStyle name="40% - Accent5 4 3 4 2" xfId="7476" xr:uid="{00000000-0005-0000-0000-0000C4100000}"/>
    <cellStyle name="40% - Accent5 4 3 5" xfId="7477" xr:uid="{00000000-0005-0000-0000-0000C5100000}"/>
    <cellStyle name="40% - Accent5 4 4" xfId="7478" xr:uid="{00000000-0005-0000-0000-0000C6100000}"/>
    <cellStyle name="40% - Accent5 4 4 2" xfId="7479" xr:uid="{00000000-0005-0000-0000-0000C7100000}"/>
    <cellStyle name="40% - Accent5 4 4 2 2" xfId="7480" xr:uid="{00000000-0005-0000-0000-0000C8100000}"/>
    <cellStyle name="40% - Accent5 4 4 2 3" xfId="7481" xr:uid="{00000000-0005-0000-0000-0000C9100000}"/>
    <cellStyle name="40% - Accent5 4 4 3" xfId="7482" xr:uid="{00000000-0005-0000-0000-0000CA100000}"/>
    <cellStyle name="40% - Accent5 4 4 3 2" xfId="7483" xr:uid="{00000000-0005-0000-0000-0000CB100000}"/>
    <cellStyle name="40% - Accent5 4 4 4" xfId="7484" xr:uid="{00000000-0005-0000-0000-0000CC100000}"/>
    <cellStyle name="40% - Accent5 4 5" xfId="7485" xr:uid="{00000000-0005-0000-0000-0000CD100000}"/>
    <cellStyle name="40% - Accent5 4 5 2" xfId="7486" xr:uid="{00000000-0005-0000-0000-0000CE100000}"/>
    <cellStyle name="40% - Accent5 4 5 2 2" xfId="7487" xr:uid="{00000000-0005-0000-0000-0000CF100000}"/>
    <cellStyle name="40% - Accent5 4 5 2 3" xfId="7488" xr:uid="{00000000-0005-0000-0000-0000D0100000}"/>
    <cellStyle name="40% - Accent5 4 5 3" xfId="7489" xr:uid="{00000000-0005-0000-0000-0000D1100000}"/>
    <cellStyle name="40% - Accent5 4 5 3 2" xfId="7490" xr:uid="{00000000-0005-0000-0000-0000D2100000}"/>
    <cellStyle name="40% - Accent5 4 5 4" xfId="7491" xr:uid="{00000000-0005-0000-0000-0000D3100000}"/>
    <cellStyle name="40% - Accent5 4 6" xfId="7492" xr:uid="{00000000-0005-0000-0000-0000D4100000}"/>
    <cellStyle name="40% - Accent5 4 6 2" xfId="7493" xr:uid="{00000000-0005-0000-0000-0000D5100000}"/>
    <cellStyle name="40% - Accent5 4 6 3" xfId="7494" xr:uid="{00000000-0005-0000-0000-0000D6100000}"/>
    <cellStyle name="40% - Accent5 4 7" xfId="7495" xr:uid="{00000000-0005-0000-0000-0000D7100000}"/>
    <cellStyle name="40% - Accent5 4 8" xfId="7496" xr:uid="{00000000-0005-0000-0000-0000D8100000}"/>
    <cellStyle name="40% - Accent5 4 8 2" xfId="7497" xr:uid="{00000000-0005-0000-0000-0000D9100000}"/>
    <cellStyle name="40% - Accent5 4 9" xfId="7498" xr:uid="{00000000-0005-0000-0000-0000DA100000}"/>
    <cellStyle name="40% - Accent5 5" xfId="248" xr:uid="{00000000-0005-0000-0000-000057000000}"/>
    <cellStyle name="40% - Accent5 5 2" xfId="7500" xr:uid="{00000000-0005-0000-0000-0000DC100000}"/>
    <cellStyle name="40% - Accent5 5 2 2" xfId="7501" xr:uid="{00000000-0005-0000-0000-0000DD100000}"/>
    <cellStyle name="40% - Accent5 5 2 2 2" xfId="7502" xr:uid="{00000000-0005-0000-0000-0000DE100000}"/>
    <cellStyle name="40% - Accent5 5 2 2 2 2" xfId="7503" xr:uid="{00000000-0005-0000-0000-0000DF100000}"/>
    <cellStyle name="40% - Accent5 5 2 2 2 2 2" xfId="7504" xr:uid="{00000000-0005-0000-0000-0000E0100000}"/>
    <cellStyle name="40% - Accent5 5 2 2 2 2 3" xfId="7505" xr:uid="{00000000-0005-0000-0000-0000E1100000}"/>
    <cellStyle name="40% - Accent5 5 2 2 2 3" xfId="7506" xr:uid="{00000000-0005-0000-0000-0000E2100000}"/>
    <cellStyle name="40% - Accent5 5 2 2 2 3 2" xfId="7507" xr:uid="{00000000-0005-0000-0000-0000E3100000}"/>
    <cellStyle name="40% - Accent5 5 2 2 2 4" xfId="7508" xr:uid="{00000000-0005-0000-0000-0000E4100000}"/>
    <cellStyle name="40% - Accent5 5 2 2 3" xfId="7509" xr:uid="{00000000-0005-0000-0000-0000E5100000}"/>
    <cellStyle name="40% - Accent5 5 2 2 3 2" xfId="7510" xr:uid="{00000000-0005-0000-0000-0000E6100000}"/>
    <cellStyle name="40% - Accent5 5 2 2 3 3" xfId="7511" xr:uid="{00000000-0005-0000-0000-0000E7100000}"/>
    <cellStyle name="40% - Accent5 5 2 2 4" xfId="7512" xr:uid="{00000000-0005-0000-0000-0000E8100000}"/>
    <cellStyle name="40% - Accent5 5 2 2 5" xfId="7513" xr:uid="{00000000-0005-0000-0000-0000E9100000}"/>
    <cellStyle name="40% - Accent5 5 2 2 5 2" xfId="7514" xr:uid="{00000000-0005-0000-0000-0000EA100000}"/>
    <cellStyle name="40% - Accent5 5 2 2 6" xfId="7515" xr:uid="{00000000-0005-0000-0000-0000EB100000}"/>
    <cellStyle name="40% - Accent5 5 2 3" xfId="7516" xr:uid="{00000000-0005-0000-0000-0000EC100000}"/>
    <cellStyle name="40% - Accent5 5 2 3 2" xfId="7517" xr:uid="{00000000-0005-0000-0000-0000ED100000}"/>
    <cellStyle name="40% - Accent5 5 2 3 2 2" xfId="7518" xr:uid="{00000000-0005-0000-0000-0000EE100000}"/>
    <cellStyle name="40% - Accent5 5 2 3 2 3" xfId="7519" xr:uid="{00000000-0005-0000-0000-0000EF100000}"/>
    <cellStyle name="40% - Accent5 5 2 3 3" xfId="7520" xr:uid="{00000000-0005-0000-0000-0000F0100000}"/>
    <cellStyle name="40% - Accent5 5 2 3 3 2" xfId="7521" xr:uid="{00000000-0005-0000-0000-0000F1100000}"/>
    <cellStyle name="40% - Accent5 5 2 3 4" xfId="7522" xr:uid="{00000000-0005-0000-0000-0000F2100000}"/>
    <cellStyle name="40% - Accent5 5 2 4" xfId="7523" xr:uid="{00000000-0005-0000-0000-0000F3100000}"/>
    <cellStyle name="40% - Accent5 5 2 5" xfId="7524" xr:uid="{00000000-0005-0000-0000-0000F4100000}"/>
    <cellStyle name="40% - Accent5 5 3" xfId="7525" xr:uid="{00000000-0005-0000-0000-0000F5100000}"/>
    <cellStyle name="40% - Accent5 5 3 2" xfId="7526" xr:uid="{00000000-0005-0000-0000-0000F6100000}"/>
    <cellStyle name="40% - Accent5 5 3 2 2" xfId="7527" xr:uid="{00000000-0005-0000-0000-0000F7100000}"/>
    <cellStyle name="40% - Accent5 5 3 2 3" xfId="7528" xr:uid="{00000000-0005-0000-0000-0000F8100000}"/>
    <cellStyle name="40% - Accent5 5 3 3" xfId="7529" xr:uid="{00000000-0005-0000-0000-0000F9100000}"/>
    <cellStyle name="40% - Accent5 5 3 4" xfId="7530" xr:uid="{00000000-0005-0000-0000-0000FA100000}"/>
    <cellStyle name="40% - Accent5 5 3 4 2" xfId="7531" xr:uid="{00000000-0005-0000-0000-0000FB100000}"/>
    <cellStyle name="40% - Accent5 5 3 5" xfId="7532" xr:uid="{00000000-0005-0000-0000-0000FC100000}"/>
    <cellStyle name="40% - Accent5 5 4" xfId="7533" xr:uid="{00000000-0005-0000-0000-0000FD100000}"/>
    <cellStyle name="40% - Accent5 5 4 2" xfId="7534" xr:uid="{00000000-0005-0000-0000-0000FE100000}"/>
    <cellStyle name="40% - Accent5 5 4 2 2" xfId="7535" xr:uid="{00000000-0005-0000-0000-0000FF100000}"/>
    <cellStyle name="40% - Accent5 5 4 2 3" xfId="7536" xr:uid="{00000000-0005-0000-0000-000000110000}"/>
    <cellStyle name="40% - Accent5 5 4 3" xfId="7537" xr:uid="{00000000-0005-0000-0000-000001110000}"/>
    <cellStyle name="40% - Accent5 5 4 3 2" xfId="7538" xr:uid="{00000000-0005-0000-0000-000002110000}"/>
    <cellStyle name="40% - Accent5 5 4 4" xfId="7539" xr:uid="{00000000-0005-0000-0000-000003110000}"/>
    <cellStyle name="40% - Accent5 5 5" xfId="7540" xr:uid="{00000000-0005-0000-0000-000004110000}"/>
    <cellStyle name="40% - Accent5 5 5 2" xfId="7541" xr:uid="{00000000-0005-0000-0000-000005110000}"/>
    <cellStyle name="40% - Accent5 5 5 3" xfId="7542" xr:uid="{00000000-0005-0000-0000-000006110000}"/>
    <cellStyle name="40% - Accent5 5 6" xfId="7543" xr:uid="{00000000-0005-0000-0000-000007110000}"/>
    <cellStyle name="40% - Accent5 5 7" xfId="7544" xr:uid="{00000000-0005-0000-0000-000008110000}"/>
    <cellStyle name="40% - Accent5 5 7 2" xfId="7545" xr:uid="{00000000-0005-0000-0000-000009110000}"/>
    <cellStyle name="40% - Accent5 5 8" xfId="7546" xr:uid="{00000000-0005-0000-0000-00000A110000}"/>
    <cellStyle name="40% - Accent5 5 9" xfId="7499" xr:uid="{00000000-0005-0000-0000-0000DB100000}"/>
    <cellStyle name="40% - Accent5 6" xfId="249" xr:uid="{00000000-0005-0000-0000-000058000000}"/>
    <cellStyle name="40% - Accent5 6 2" xfId="7547" xr:uid="{00000000-0005-0000-0000-00000C110000}"/>
    <cellStyle name="40% - Accent5 6 2 2" xfId="7548" xr:uid="{00000000-0005-0000-0000-00000D110000}"/>
    <cellStyle name="40% - Accent5 6 2 2 2" xfId="7549" xr:uid="{00000000-0005-0000-0000-00000E110000}"/>
    <cellStyle name="40% - Accent5 6 2 2 2 2" xfId="7550" xr:uid="{00000000-0005-0000-0000-00000F110000}"/>
    <cellStyle name="40% - Accent5 6 2 2 2 3" xfId="7551" xr:uid="{00000000-0005-0000-0000-000010110000}"/>
    <cellStyle name="40% - Accent5 6 2 2 3" xfId="7552" xr:uid="{00000000-0005-0000-0000-000011110000}"/>
    <cellStyle name="40% - Accent5 6 2 2 3 2" xfId="7553" xr:uid="{00000000-0005-0000-0000-000012110000}"/>
    <cellStyle name="40% - Accent5 6 2 2 4" xfId="7554" xr:uid="{00000000-0005-0000-0000-000013110000}"/>
    <cellStyle name="40% - Accent5 6 2 3" xfId="7555" xr:uid="{00000000-0005-0000-0000-000014110000}"/>
    <cellStyle name="40% - Accent5 6 2 3 2" xfId="7556" xr:uid="{00000000-0005-0000-0000-000015110000}"/>
    <cellStyle name="40% - Accent5 6 2 3 3" xfId="7557" xr:uid="{00000000-0005-0000-0000-000016110000}"/>
    <cellStyle name="40% - Accent5 6 2 4" xfId="7558" xr:uid="{00000000-0005-0000-0000-000017110000}"/>
    <cellStyle name="40% - Accent5 6 2 5" xfId="7559" xr:uid="{00000000-0005-0000-0000-000018110000}"/>
    <cellStyle name="40% - Accent5 6 2 5 2" xfId="7560" xr:uid="{00000000-0005-0000-0000-000019110000}"/>
    <cellStyle name="40% - Accent5 6 2 6" xfId="7561" xr:uid="{00000000-0005-0000-0000-00001A110000}"/>
    <cellStyle name="40% - Accent5 6 3" xfId="7562" xr:uid="{00000000-0005-0000-0000-00001B110000}"/>
    <cellStyle name="40% - Accent5 6 3 2" xfId="7563" xr:uid="{00000000-0005-0000-0000-00001C110000}"/>
    <cellStyle name="40% - Accent5 6 3 2 2" xfId="7564" xr:uid="{00000000-0005-0000-0000-00001D110000}"/>
    <cellStyle name="40% - Accent5 6 3 2 3" xfId="7565" xr:uid="{00000000-0005-0000-0000-00001E110000}"/>
    <cellStyle name="40% - Accent5 6 3 3" xfId="7566" xr:uid="{00000000-0005-0000-0000-00001F110000}"/>
    <cellStyle name="40% - Accent5 6 3 3 2" xfId="7567" xr:uid="{00000000-0005-0000-0000-000020110000}"/>
    <cellStyle name="40% - Accent5 6 3 4" xfId="7568" xr:uid="{00000000-0005-0000-0000-000021110000}"/>
    <cellStyle name="40% - Accent5 6 4" xfId="7569" xr:uid="{00000000-0005-0000-0000-000022110000}"/>
    <cellStyle name="40% - Accent5 6 5" xfId="7570" xr:uid="{00000000-0005-0000-0000-000023110000}"/>
    <cellStyle name="40% - Accent5 7" xfId="250" xr:uid="{00000000-0005-0000-0000-000059000000}"/>
    <cellStyle name="40% - Accent5 7 2" xfId="7571" xr:uid="{00000000-0005-0000-0000-000025110000}"/>
    <cellStyle name="40% - Accent5 7 3" xfId="7572" xr:uid="{00000000-0005-0000-0000-000026110000}"/>
    <cellStyle name="40% - Accent5 7 4" xfId="7573" xr:uid="{00000000-0005-0000-0000-000027110000}"/>
    <cellStyle name="40% - Accent5 8" xfId="7574" xr:uid="{00000000-0005-0000-0000-000028110000}"/>
    <cellStyle name="40% - Accent5 8 2" xfId="7575" xr:uid="{00000000-0005-0000-0000-000029110000}"/>
    <cellStyle name="40% - Accent5 8 2 2" xfId="7576" xr:uid="{00000000-0005-0000-0000-00002A110000}"/>
    <cellStyle name="40% - Accent5 8 2 3" xfId="7577" xr:uid="{00000000-0005-0000-0000-00002B110000}"/>
    <cellStyle name="40% - Accent5 8 2 3 2" xfId="7578" xr:uid="{00000000-0005-0000-0000-00002C110000}"/>
    <cellStyle name="40% - Accent5 8 3" xfId="7579" xr:uid="{00000000-0005-0000-0000-00002D110000}"/>
    <cellStyle name="40% - Accent5 8 4" xfId="7580" xr:uid="{00000000-0005-0000-0000-00002E110000}"/>
    <cellStyle name="40% - Accent5 8 4 2" xfId="7581" xr:uid="{00000000-0005-0000-0000-00002F110000}"/>
    <cellStyle name="40% - Accent5 8 5" xfId="7582" xr:uid="{00000000-0005-0000-0000-000030110000}"/>
    <cellStyle name="40% - Accent5 9" xfId="7583" xr:uid="{00000000-0005-0000-0000-000031110000}"/>
    <cellStyle name="40% - Accent5 9 2" xfId="7584" xr:uid="{00000000-0005-0000-0000-000032110000}"/>
    <cellStyle name="40% - Accent5 9 2 2" xfId="7585" xr:uid="{00000000-0005-0000-0000-000033110000}"/>
    <cellStyle name="40% - Accent5 9 2 3" xfId="7586" xr:uid="{00000000-0005-0000-0000-000034110000}"/>
    <cellStyle name="40% - Accent5 9 3" xfId="7587" xr:uid="{00000000-0005-0000-0000-000035110000}"/>
    <cellStyle name="40% - Accent5 9 4" xfId="7588" xr:uid="{00000000-0005-0000-0000-000036110000}"/>
    <cellStyle name="40% - Accent5 9 4 2" xfId="7589" xr:uid="{00000000-0005-0000-0000-000037110000}"/>
    <cellStyle name="40% - Accent5 9 5" xfId="7590" xr:uid="{00000000-0005-0000-0000-000038110000}"/>
    <cellStyle name="40% - Accent6" xfId="103" builtinId="51" customBuiltin="1"/>
    <cellStyle name="40% - Accent6 10" xfId="7591" xr:uid="{00000000-0005-0000-0000-000039110000}"/>
    <cellStyle name="40% - Accent6 10 2" xfId="7592" xr:uid="{00000000-0005-0000-0000-00003A110000}"/>
    <cellStyle name="40% - Accent6 10 2 2" xfId="7593" xr:uid="{00000000-0005-0000-0000-00003B110000}"/>
    <cellStyle name="40% - Accent6 10 2 3" xfId="7594" xr:uid="{00000000-0005-0000-0000-00003C110000}"/>
    <cellStyle name="40% - Accent6 10 3" xfId="7595" xr:uid="{00000000-0005-0000-0000-00003D110000}"/>
    <cellStyle name="40% - Accent6 10 4" xfId="7596" xr:uid="{00000000-0005-0000-0000-00003E110000}"/>
    <cellStyle name="40% - Accent6 10 4 2" xfId="7597" xr:uid="{00000000-0005-0000-0000-00003F110000}"/>
    <cellStyle name="40% - Accent6 10 5" xfId="7598" xr:uid="{00000000-0005-0000-0000-000040110000}"/>
    <cellStyle name="40% - Accent6 11" xfId="7599" xr:uid="{00000000-0005-0000-0000-000041110000}"/>
    <cellStyle name="40% - Accent6 11 2" xfId="7600" xr:uid="{00000000-0005-0000-0000-000042110000}"/>
    <cellStyle name="40% - Accent6 11 3" xfId="7601" xr:uid="{00000000-0005-0000-0000-000043110000}"/>
    <cellStyle name="40% - Accent6 11 3 2" xfId="7602" xr:uid="{00000000-0005-0000-0000-000044110000}"/>
    <cellStyle name="40% - Accent6 12" xfId="7603" xr:uid="{00000000-0005-0000-0000-000045110000}"/>
    <cellStyle name="40% - Accent6 12 2" xfId="7604" xr:uid="{00000000-0005-0000-0000-000046110000}"/>
    <cellStyle name="40% - Accent6 12 3" xfId="7605" xr:uid="{00000000-0005-0000-0000-000047110000}"/>
    <cellStyle name="40% - Accent6 13" xfId="7606" xr:uid="{00000000-0005-0000-0000-000048110000}"/>
    <cellStyle name="40% - Accent6 13 2" xfId="7607" xr:uid="{00000000-0005-0000-0000-000049110000}"/>
    <cellStyle name="40% - Accent6 13 3" xfId="7608" xr:uid="{00000000-0005-0000-0000-00004A110000}"/>
    <cellStyle name="40% - Accent6 14" xfId="7609" xr:uid="{00000000-0005-0000-0000-00004B110000}"/>
    <cellStyle name="40% - Accent6 14 2" xfId="7610" xr:uid="{00000000-0005-0000-0000-00004C110000}"/>
    <cellStyle name="40% - Accent6 15" xfId="7611" xr:uid="{00000000-0005-0000-0000-00004D110000}"/>
    <cellStyle name="40% - Accent6 16" xfId="7612" xr:uid="{00000000-0005-0000-0000-00004E110000}"/>
    <cellStyle name="40% - Accent6 2" xfId="251" xr:uid="{00000000-0005-0000-0000-00005A000000}"/>
    <cellStyle name="40% - Accent6 2 2" xfId="7613" xr:uid="{00000000-0005-0000-0000-000050110000}"/>
    <cellStyle name="40% - Accent6 2 3" xfId="7614" xr:uid="{00000000-0005-0000-0000-000051110000}"/>
    <cellStyle name="40% - Accent6 2 3 2" xfId="7615" xr:uid="{00000000-0005-0000-0000-000052110000}"/>
    <cellStyle name="40% - Accent6 2 3 2 2" xfId="7616" xr:uid="{00000000-0005-0000-0000-000053110000}"/>
    <cellStyle name="40% - Accent6 2 3 2 2 2" xfId="7617" xr:uid="{00000000-0005-0000-0000-000054110000}"/>
    <cellStyle name="40% - Accent6 2 3 2 2 2 2" xfId="7618" xr:uid="{00000000-0005-0000-0000-000055110000}"/>
    <cellStyle name="40% - Accent6 2 3 2 2 2 3" xfId="7619" xr:uid="{00000000-0005-0000-0000-000056110000}"/>
    <cellStyle name="40% - Accent6 2 3 2 2 3" xfId="7620" xr:uid="{00000000-0005-0000-0000-000057110000}"/>
    <cellStyle name="40% - Accent6 2 3 2 2 3 2" xfId="7621" xr:uid="{00000000-0005-0000-0000-000058110000}"/>
    <cellStyle name="40% - Accent6 2 3 2 2 4" xfId="7622" xr:uid="{00000000-0005-0000-0000-000059110000}"/>
    <cellStyle name="40% - Accent6 2 3 2 3" xfId="7623" xr:uid="{00000000-0005-0000-0000-00005A110000}"/>
    <cellStyle name="40% - Accent6 2 3 2 3 2" xfId="7624" xr:uid="{00000000-0005-0000-0000-00005B110000}"/>
    <cellStyle name="40% - Accent6 2 3 2 3 2 2" xfId="7625" xr:uid="{00000000-0005-0000-0000-00005C110000}"/>
    <cellStyle name="40% - Accent6 2 3 2 3 2 3" xfId="7626" xr:uid="{00000000-0005-0000-0000-00005D110000}"/>
    <cellStyle name="40% - Accent6 2 3 2 3 3" xfId="7627" xr:uid="{00000000-0005-0000-0000-00005E110000}"/>
    <cellStyle name="40% - Accent6 2 3 2 3 3 2" xfId="7628" xr:uid="{00000000-0005-0000-0000-00005F110000}"/>
    <cellStyle name="40% - Accent6 2 3 2 3 4" xfId="7629" xr:uid="{00000000-0005-0000-0000-000060110000}"/>
    <cellStyle name="40% - Accent6 2 3 2 4" xfId="7630" xr:uid="{00000000-0005-0000-0000-000061110000}"/>
    <cellStyle name="40% - Accent6 2 3 2 4 2" xfId="7631" xr:uid="{00000000-0005-0000-0000-000062110000}"/>
    <cellStyle name="40% - Accent6 2 3 2 4 3" xfId="7632" xr:uid="{00000000-0005-0000-0000-000063110000}"/>
    <cellStyle name="40% - Accent6 2 3 2 5" xfId="7633" xr:uid="{00000000-0005-0000-0000-000064110000}"/>
    <cellStyle name="40% - Accent6 2 3 2 6" xfId="7634" xr:uid="{00000000-0005-0000-0000-000065110000}"/>
    <cellStyle name="40% - Accent6 2 3 2 6 2" xfId="7635" xr:uid="{00000000-0005-0000-0000-000066110000}"/>
    <cellStyle name="40% - Accent6 2 3 2 7" xfId="7636" xr:uid="{00000000-0005-0000-0000-000067110000}"/>
    <cellStyle name="40% - Accent6 2 3 3" xfId="7637" xr:uid="{00000000-0005-0000-0000-000068110000}"/>
    <cellStyle name="40% - Accent6 2 3 3 2" xfId="7638" xr:uid="{00000000-0005-0000-0000-000069110000}"/>
    <cellStyle name="40% - Accent6 2 3 3 2 2" xfId="7639" xr:uid="{00000000-0005-0000-0000-00006A110000}"/>
    <cellStyle name="40% - Accent6 2 3 3 2 3" xfId="7640" xr:uid="{00000000-0005-0000-0000-00006B110000}"/>
    <cellStyle name="40% - Accent6 2 3 3 3" xfId="7641" xr:uid="{00000000-0005-0000-0000-00006C110000}"/>
    <cellStyle name="40% - Accent6 2 3 3 3 2" xfId="7642" xr:uid="{00000000-0005-0000-0000-00006D110000}"/>
    <cellStyle name="40% - Accent6 2 3 3 4" xfId="7643" xr:uid="{00000000-0005-0000-0000-00006E110000}"/>
    <cellStyle name="40% - Accent6 2 3 4" xfId="7644" xr:uid="{00000000-0005-0000-0000-00006F110000}"/>
    <cellStyle name="40% - Accent6 2 3 4 2" xfId="7645" xr:uid="{00000000-0005-0000-0000-000070110000}"/>
    <cellStyle name="40% - Accent6 2 3 4 2 2" xfId="7646" xr:uid="{00000000-0005-0000-0000-000071110000}"/>
    <cellStyle name="40% - Accent6 2 3 4 2 3" xfId="7647" xr:uid="{00000000-0005-0000-0000-000072110000}"/>
    <cellStyle name="40% - Accent6 2 3 4 3" xfId="7648" xr:uid="{00000000-0005-0000-0000-000073110000}"/>
    <cellStyle name="40% - Accent6 2 3 4 3 2" xfId="7649" xr:uid="{00000000-0005-0000-0000-000074110000}"/>
    <cellStyle name="40% - Accent6 2 3 4 4" xfId="7650" xr:uid="{00000000-0005-0000-0000-000075110000}"/>
    <cellStyle name="40% - Accent6 2 3 5" xfId="7651" xr:uid="{00000000-0005-0000-0000-000076110000}"/>
    <cellStyle name="40% - Accent6 2 3 5 2" xfId="7652" xr:uid="{00000000-0005-0000-0000-000077110000}"/>
    <cellStyle name="40% - Accent6 2 3 5 3" xfId="7653" xr:uid="{00000000-0005-0000-0000-000078110000}"/>
    <cellStyle name="40% - Accent6 2 3 6" xfId="7654" xr:uid="{00000000-0005-0000-0000-000079110000}"/>
    <cellStyle name="40% - Accent6 2 3 7" xfId="7655" xr:uid="{00000000-0005-0000-0000-00007A110000}"/>
    <cellStyle name="40% - Accent6 2 3 7 2" xfId="7656" xr:uid="{00000000-0005-0000-0000-00007B110000}"/>
    <cellStyle name="40% - Accent6 2 3 8" xfId="7657" xr:uid="{00000000-0005-0000-0000-00007C110000}"/>
    <cellStyle name="40% - Accent6 2 4" xfId="7658" xr:uid="{00000000-0005-0000-0000-00007D110000}"/>
    <cellStyle name="40% - Accent6 2 4 2" xfId="7659" xr:uid="{00000000-0005-0000-0000-00007E110000}"/>
    <cellStyle name="40% - Accent6 2 4 2 2" xfId="7660" xr:uid="{00000000-0005-0000-0000-00007F110000}"/>
    <cellStyle name="40% - Accent6 2 4 2 2 2" xfId="7661" xr:uid="{00000000-0005-0000-0000-000080110000}"/>
    <cellStyle name="40% - Accent6 2 4 2 2 2 2" xfId="7662" xr:uid="{00000000-0005-0000-0000-000081110000}"/>
    <cellStyle name="40% - Accent6 2 4 2 2 2 3" xfId="7663" xr:uid="{00000000-0005-0000-0000-000082110000}"/>
    <cellStyle name="40% - Accent6 2 4 2 2 3" xfId="7664" xr:uid="{00000000-0005-0000-0000-000083110000}"/>
    <cellStyle name="40% - Accent6 2 4 2 2 3 2" xfId="7665" xr:uid="{00000000-0005-0000-0000-000084110000}"/>
    <cellStyle name="40% - Accent6 2 4 2 2 4" xfId="7666" xr:uid="{00000000-0005-0000-0000-000085110000}"/>
    <cellStyle name="40% - Accent6 2 4 2 3" xfId="7667" xr:uid="{00000000-0005-0000-0000-000086110000}"/>
    <cellStyle name="40% - Accent6 2 4 2 3 2" xfId="7668" xr:uid="{00000000-0005-0000-0000-000087110000}"/>
    <cellStyle name="40% - Accent6 2 4 2 3 2 2" xfId="7669" xr:uid="{00000000-0005-0000-0000-000088110000}"/>
    <cellStyle name="40% - Accent6 2 4 2 3 2 3" xfId="7670" xr:uid="{00000000-0005-0000-0000-000089110000}"/>
    <cellStyle name="40% - Accent6 2 4 2 3 3" xfId="7671" xr:uid="{00000000-0005-0000-0000-00008A110000}"/>
    <cellStyle name="40% - Accent6 2 4 2 3 3 2" xfId="7672" xr:uid="{00000000-0005-0000-0000-00008B110000}"/>
    <cellStyle name="40% - Accent6 2 4 2 3 4" xfId="7673" xr:uid="{00000000-0005-0000-0000-00008C110000}"/>
    <cellStyle name="40% - Accent6 2 4 2 4" xfId="7674" xr:uid="{00000000-0005-0000-0000-00008D110000}"/>
    <cellStyle name="40% - Accent6 2 4 2 4 2" xfId="7675" xr:uid="{00000000-0005-0000-0000-00008E110000}"/>
    <cellStyle name="40% - Accent6 2 4 2 4 3" xfId="7676" xr:uid="{00000000-0005-0000-0000-00008F110000}"/>
    <cellStyle name="40% - Accent6 2 4 2 5" xfId="7677" xr:uid="{00000000-0005-0000-0000-000090110000}"/>
    <cellStyle name="40% - Accent6 2 4 2 6" xfId="7678" xr:uid="{00000000-0005-0000-0000-000091110000}"/>
    <cellStyle name="40% - Accent6 2 4 2 6 2" xfId="7679" xr:uid="{00000000-0005-0000-0000-000092110000}"/>
    <cellStyle name="40% - Accent6 2 4 2 7" xfId="7680" xr:uid="{00000000-0005-0000-0000-000093110000}"/>
    <cellStyle name="40% - Accent6 2 4 3" xfId="7681" xr:uid="{00000000-0005-0000-0000-000094110000}"/>
    <cellStyle name="40% - Accent6 2 4 3 2" xfId="7682" xr:uid="{00000000-0005-0000-0000-000095110000}"/>
    <cellStyle name="40% - Accent6 2 4 3 2 2" xfId="7683" xr:uid="{00000000-0005-0000-0000-000096110000}"/>
    <cellStyle name="40% - Accent6 2 4 3 2 3" xfId="7684" xr:uid="{00000000-0005-0000-0000-000097110000}"/>
    <cellStyle name="40% - Accent6 2 4 3 3" xfId="7685" xr:uid="{00000000-0005-0000-0000-000098110000}"/>
    <cellStyle name="40% - Accent6 2 4 3 3 2" xfId="7686" xr:uid="{00000000-0005-0000-0000-000099110000}"/>
    <cellStyle name="40% - Accent6 2 4 3 4" xfId="7687" xr:uid="{00000000-0005-0000-0000-00009A110000}"/>
    <cellStyle name="40% - Accent6 2 4 4" xfId="7688" xr:uid="{00000000-0005-0000-0000-00009B110000}"/>
    <cellStyle name="40% - Accent6 2 4 4 2" xfId="7689" xr:uid="{00000000-0005-0000-0000-00009C110000}"/>
    <cellStyle name="40% - Accent6 2 4 4 2 2" xfId="7690" xr:uid="{00000000-0005-0000-0000-00009D110000}"/>
    <cellStyle name="40% - Accent6 2 4 4 2 3" xfId="7691" xr:uid="{00000000-0005-0000-0000-00009E110000}"/>
    <cellStyle name="40% - Accent6 2 4 4 3" xfId="7692" xr:uid="{00000000-0005-0000-0000-00009F110000}"/>
    <cellStyle name="40% - Accent6 2 4 4 3 2" xfId="7693" xr:uid="{00000000-0005-0000-0000-0000A0110000}"/>
    <cellStyle name="40% - Accent6 2 4 4 4" xfId="7694" xr:uid="{00000000-0005-0000-0000-0000A1110000}"/>
    <cellStyle name="40% - Accent6 2 4 5" xfId="7695" xr:uid="{00000000-0005-0000-0000-0000A2110000}"/>
    <cellStyle name="40% - Accent6 2 4 5 2" xfId="7696" xr:uid="{00000000-0005-0000-0000-0000A3110000}"/>
    <cellStyle name="40% - Accent6 2 4 5 3" xfId="7697" xr:uid="{00000000-0005-0000-0000-0000A4110000}"/>
    <cellStyle name="40% - Accent6 2 4 6" xfId="7698" xr:uid="{00000000-0005-0000-0000-0000A5110000}"/>
    <cellStyle name="40% - Accent6 2 4 7" xfId="7699" xr:uid="{00000000-0005-0000-0000-0000A6110000}"/>
    <cellStyle name="40% - Accent6 2 4 7 2" xfId="7700" xr:uid="{00000000-0005-0000-0000-0000A7110000}"/>
    <cellStyle name="40% - Accent6 2 4 8" xfId="7701" xr:uid="{00000000-0005-0000-0000-0000A8110000}"/>
    <cellStyle name="40% - Accent6 2 5" xfId="7702" xr:uid="{00000000-0005-0000-0000-0000A9110000}"/>
    <cellStyle name="40% - Accent6 2 5 2" xfId="7703" xr:uid="{00000000-0005-0000-0000-0000AA110000}"/>
    <cellStyle name="40% - Accent6 2 5 2 2" xfId="7704" xr:uid="{00000000-0005-0000-0000-0000AB110000}"/>
    <cellStyle name="40% - Accent6 2 5 2 2 2" xfId="7705" xr:uid="{00000000-0005-0000-0000-0000AC110000}"/>
    <cellStyle name="40% - Accent6 2 5 2 2 2 2" xfId="7706" xr:uid="{00000000-0005-0000-0000-0000AD110000}"/>
    <cellStyle name="40% - Accent6 2 5 2 2 2 3" xfId="7707" xr:uid="{00000000-0005-0000-0000-0000AE110000}"/>
    <cellStyle name="40% - Accent6 2 5 2 2 3" xfId="7708" xr:uid="{00000000-0005-0000-0000-0000AF110000}"/>
    <cellStyle name="40% - Accent6 2 5 2 2 3 2" xfId="7709" xr:uid="{00000000-0005-0000-0000-0000B0110000}"/>
    <cellStyle name="40% - Accent6 2 5 2 2 4" xfId="7710" xr:uid="{00000000-0005-0000-0000-0000B1110000}"/>
    <cellStyle name="40% - Accent6 2 5 2 3" xfId="7711" xr:uid="{00000000-0005-0000-0000-0000B2110000}"/>
    <cellStyle name="40% - Accent6 2 5 2 3 2" xfId="7712" xr:uid="{00000000-0005-0000-0000-0000B3110000}"/>
    <cellStyle name="40% - Accent6 2 5 2 3 2 2" xfId="7713" xr:uid="{00000000-0005-0000-0000-0000B4110000}"/>
    <cellStyle name="40% - Accent6 2 5 2 3 2 3" xfId="7714" xr:uid="{00000000-0005-0000-0000-0000B5110000}"/>
    <cellStyle name="40% - Accent6 2 5 2 3 3" xfId="7715" xr:uid="{00000000-0005-0000-0000-0000B6110000}"/>
    <cellStyle name="40% - Accent6 2 5 2 3 3 2" xfId="7716" xr:uid="{00000000-0005-0000-0000-0000B7110000}"/>
    <cellStyle name="40% - Accent6 2 5 2 3 4" xfId="7717" xr:uid="{00000000-0005-0000-0000-0000B8110000}"/>
    <cellStyle name="40% - Accent6 2 5 2 4" xfId="7718" xr:uid="{00000000-0005-0000-0000-0000B9110000}"/>
    <cellStyle name="40% - Accent6 2 5 2 4 2" xfId="7719" xr:uid="{00000000-0005-0000-0000-0000BA110000}"/>
    <cellStyle name="40% - Accent6 2 5 2 4 3" xfId="7720" xr:uid="{00000000-0005-0000-0000-0000BB110000}"/>
    <cellStyle name="40% - Accent6 2 5 2 5" xfId="7721" xr:uid="{00000000-0005-0000-0000-0000BC110000}"/>
    <cellStyle name="40% - Accent6 2 5 2 6" xfId="7722" xr:uid="{00000000-0005-0000-0000-0000BD110000}"/>
    <cellStyle name="40% - Accent6 2 5 2 6 2" xfId="7723" xr:uid="{00000000-0005-0000-0000-0000BE110000}"/>
    <cellStyle name="40% - Accent6 2 5 2 7" xfId="7724" xr:uid="{00000000-0005-0000-0000-0000BF110000}"/>
    <cellStyle name="40% - Accent6 2 5 3" xfId="7725" xr:uid="{00000000-0005-0000-0000-0000C0110000}"/>
    <cellStyle name="40% - Accent6 2 5 3 2" xfId="7726" xr:uid="{00000000-0005-0000-0000-0000C1110000}"/>
    <cellStyle name="40% - Accent6 2 5 3 2 2" xfId="7727" xr:uid="{00000000-0005-0000-0000-0000C2110000}"/>
    <cellStyle name="40% - Accent6 2 5 3 2 3" xfId="7728" xr:uid="{00000000-0005-0000-0000-0000C3110000}"/>
    <cellStyle name="40% - Accent6 2 5 3 3" xfId="7729" xr:uid="{00000000-0005-0000-0000-0000C4110000}"/>
    <cellStyle name="40% - Accent6 2 5 3 3 2" xfId="7730" xr:uid="{00000000-0005-0000-0000-0000C5110000}"/>
    <cellStyle name="40% - Accent6 2 5 3 4" xfId="7731" xr:uid="{00000000-0005-0000-0000-0000C6110000}"/>
    <cellStyle name="40% - Accent6 2 5 4" xfId="7732" xr:uid="{00000000-0005-0000-0000-0000C7110000}"/>
    <cellStyle name="40% - Accent6 2 5 4 2" xfId="7733" xr:uid="{00000000-0005-0000-0000-0000C8110000}"/>
    <cellStyle name="40% - Accent6 2 5 4 2 2" xfId="7734" xr:uid="{00000000-0005-0000-0000-0000C9110000}"/>
    <cellStyle name="40% - Accent6 2 5 4 2 3" xfId="7735" xr:uid="{00000000-0005-0000-0000-0000CA110000}"/>
    <cellStyle name="40% - Accent6 2 5 4 3" xfId="7736" xr:uid="{00000000-0005-0000-0000-0000CB110000}"/>
    <cellStyle name="40% - Accent6 2 5 4 3 2" xfId="7737" xr:uid="{00000000-0005-0000-0000-0000CC110000}"/>
    <cellStyle name="40% - Accent6 2 5 4 4" xfId="7738" xr:uid="{00000000-0005-0000-0000-0000CD110000}"/>
    <cellStyle name="40% - Accent6 2 5 5" xfId="7739" xr:uid="{00000000-0005-0000-0000-0000CE110000}"/>
    <cellStyle name="40% - Accent6 2 5 5 2" xfId="7740" xr:uid="{00000000-0005-0000-0000-0000CF110000}"/>
    <cellStyle name="40% - Accent6 2 5 5 3" xfId="7741" xr:uid="{00000000-0005-0000-0000-0000D0110000}"/>
    <cellStyle name="40% - Accent6 2 5 6" xfId="7742" xr:uid="{00000000-0005-0000-0000-0000D1110000}"/>
    <cellStyle name="40% - Accent6 2 5 7" xfId="7743" xr:uid="{00000000-0005-0000-0000-0000D2110000}"/>
    <cellStyle name="40% - Accent6 2 5 7 2" xfId="7744" xr:uid="{00000000-0005-0000-0000-0000D3110000}"/>
    <cellStyle name="40% - Accent6 2 5 8" xfId="7745" xr:uid="{00000000-0005-0000-0000-0000D4110000}"/>
    <cellStyle name="40% - Accent6 2 6" xfId="7746" xr:uid="{00000000-0005-0000-0000-0000D5110000}"/>
    <cellStyle name="40% - Accent6 2 6 2" xfId="7747" xr:uid="{00000000-0005-0000-0000-0000D6110000}"/>
    <cellStyle name="40% - Accent6 2 6 2 2" xfId="7748" xr:uid="{00000000-0005-0000-0000-0000D7110000}"/>
    <cellStyle name="40% - Accent6 2 6 2 2 2" xfId="7749" xr:uid="{00000000-0005-0000-0000-0000D8110000}"/>
    <cellStyle name="40% - Accent6 2 6 2 2 2 2" xfId="7750" xr:uid="{00000000-0005-0000-0000-0000D9110000}"/>
    <cellStyle name="40% - Accent6 2 6 2 2 2 3" xfId="7751" xr:uid="{00000000-0005-0000-0000-0000DA110000}"/>
    <cellStyle name="40% - Accent6 2 6 2 2 3" xfId="7752" xr:uid="{00000000-0005-0000-0000-0000DB110000}"/>
    <cellStyle name="40% - Accent6 2 6 2 2 3 2" xfId="7753" xr:uid="{00000000-0005-0000-0000-0000DC110000}"/>
    <cellStyle name="40% - Accent6 2 6 2 2 4" xfId="7754" xr:uid="{00000000-0005-0000-0000-0000DD110000}"/>
    <cellStyle name="40% - Accent6 2 6 2 3" xfId="7755" xr:uid="{00000000-0005-0000-0000-0000DE110000}"/>
    <cellStyle name="40% - Accent6 2 6 2 3 2" xfId="7756" xr:uid="{00000000-0005-0000-0000-0000DF110000}"/>
    <cellStyle name="40% - Accent6 2 6 2 3 2 2" xfId="7757" xr:uid="{00000000-0005-0000-0000-0000E0110000}"/>
    <cellStyle name="40% - Accent6 2 6 2 3 2 3" xfId="7758" xr:uid="{00000000-0005-0000-0000-0000E1110000}"/>
    <cellStyle name="40% - Accent6 2 6 2 3 3" xfId="7759" xr:uid="{00000000-0005-0000-0000-0000E2110000}"/>
    <cellStyle name="40% - Accent6 2 6 2 3 3 2" xfId="7760" xr:uid="{00000000-0005-0000-0000-0000E3110000}"/>
    <cellStyle name="40% - Accent6 2 6 2 3 4" xfId="7761" xr:uid="{00000000-0005-0000-0000-0000E4110000}"/>
    <cellStyle name="40% - Accent6 2 6 2 4" xfId="7762" xr:uid="{00000000-0005-0000-0000-0000E5110000}"/>
    <cellStyle name="40% - Accent6 2 6 2 4 2" xfId="7763" xr:uid="{00000000-0005-0000-0000-0000E6110000}"/>
    <cellStyle name="40% - Accent6 2 6 2 4 3" xfId="7764" xr:uid="{00000000-0005-0000-0000-0000E7110000}"/>
    <cellStyle name="40% - Accent6 2 6 2 5" xfId="7765" xr:uid="{00000000-0005-0000-0000-0000E8110000}"/>
    <cellStyle name="40% - Accent6 2 6 2 6" xfId="7766" xr:uid="{00000000-0005-0000-0000-0000E9110000}"/>
    <cellStyle name="40% - Accent6 2 6 2 6 2" xfId="7767" xr:uid="{00000000-0005-0000-0000-0000EA110000}"/>
    <cellStyle name="40% - Accent6 2 6 2 7" xfId="7768" xr:uid="{00000000-0005-0000-0000-0000EB110000}"/>
    <cellStyle name="40% - Accent6 2 6 3" xfId="7769" xr:uid="{00000000-0005-0000-0000-0000EC110000}"/>
    <cellStyle name="40% - Accent6 2 6 3 2" xfId="7770" xr:uid="{00000000-0005-0000-0000-0000ED110000}"/>
    <cellStyle name="40% - Accent6 2 6 3 2 2" xfId="7771" xr:uid="{00000000-0005-0000-0000-0000EE110000}"/>
    <cellStyle name="40% - Accent6 2 6 3 2 3" xfId="7772" xr:uid="{00000000-0005-0000-0000-0000EF110000}"/>
    <cellStyle name="40% - Accent6 2 6 3 3" xfId="7773" xr:uid="{00000000-0005-0000-0000-0000F0110000}"/>
    <cellStyle name="40% - Accent6 2 6 3 3 2" xfId="7774" xr:uid="{00000000-0005-0000-0000-0000F1110000}"/>
    <cellStyle name="40% - Accent6 2 6 3 4" xfId="7775" xr:uid="{00000000-0005-0000-0000-0000F2110000}"/>
    <cellStyle name="40% - Accent6 2 6 4" xfId="7776" xr:uid="{00000000-0005-0000-0000-0000F3110000}"/>
    <cellStyle name="40% - Accent6 2 6 4 2" xfId="7777" xr:uid="{00000000-0005-0000-0000-0000F4110000}"/>
    <cellStyle name="40% - Accent6 2 6 4 2 2" xfId="7778" xr:uid="{00000000-0005-0000-0000-0000F5110000}"/>
    <cellStyle name="40% - Accent6 2 6 4 2 3" xfId="7779" xr:uid="{00000000-0005-0000-0000-0000F6110000}"/>
    <cellStyle name="40% - Accent6 2 6 4 3" xfId="7780" xr:uid="{00000000-0005-0000-0000-0000F7110000}"/>
    <cellStyle name="40% - Accent6 2 6 4 3 2" xfId="7781" xr:uid="{00000000-0005-0000-0000-0000F8110000}"/>
    <cellStyle name="40% - Accent6 2 6 4 4" xfId="7782" xr:uid="{00000000-0005-0000-0000-0000F9110000}"/>
    <cellStyle name="40% - Accent6 2 6 5" xfId="7783" xr:uid="{00000000-0005-0000-0000-0000FA110000}"/>
    <cellStyle name="40% - Accent6 2 6 5 2" xfId="7784" xr:uid="{00000000-0005-0000-0000-0000FB110000}"/>
    <cellStyle name="40% - Accent6 2 6 5 3" xfId="7785" xr:uid="{00000000-0005-0000-0000-0000FC110000}"/>
    <cellStyle name="40% - Accent6 2 6 6" xfId="7786" xr:uid="{00000000-0005-0000-0000-0000FD110000}"/>
    <cellStyle name="40% - Accent6 2 6 7" xfId="7787" xr:uid="{00000000-0005-0000-0000-0000FE110000}"/>
    <cellStyle name="40% - Accent6 2 6 7 2" xfId="7788" xr:uid="{00000000-0005-0000-0000-0000FF110000}"/>
    <cellStyle name="40% - Accent6 2 6 8" xfId="7789" xr:uid="{00000000-0005-0000-0000-000000120000}"/>
    <cellStyle name="40% - Accent6 2 7" xfId="7790" xr:uid="{00000000-0005-0000-0000-000001120000}"/>
    <cellStyle name="40% - Accent6 2 7 2" xfId="7791" xr:uid="{00000000-0005-0000-0000-000002120000}"/>
    <cellStyle name="40% - Accent6 2 7 2 2" xfId="7792" xr:uid="{00000000-0005-0000-0000-000003120000}"/>
    <cellStyle name="40% - Accent6 2 7 2 3" xfId="7793" xr:uid="{00000000-0005-0000-0000-000004120000}"/>
    <cellStyle name="40% - Accent6 2 7 3" xfId="7794" xr:uid="{00000000-0005-0000-0000-000005120000}"/>
    <cellStyle name="40% - Accent6 2 7 3 2" xfId="7795" xr:uid="{00000000-0005-0000-0000-000006120000}"/>
    <cellStyle name="40% - Accent6 2 7 4" xfId="7796" xr:uid="{00000000-0005-0000-0000-000007120000}"/>
    <cellStyle name="40% - Accent6 3" xfId="252" xr:uid="{00000000-0005-0000-0000-00005B000000}"/>
    <cellStyle name="40% - Accent6 3 10" xfId="7797" xr:uid="{00000000-0005-0000-0000-000008120000}"/>
    <cellStyle name="40% - Accent6 3 2" xfId="7798" xr:uid="{00000000-0005-0000-0000-000009120000}"/>
    <cellStyle name="40% - Accent6 3 2 2" xfId="7799" xr:uid="{00000000-0005-0000-0000-00000A120000}"/>
    <cellStyle name="40% - Accent6 3 2 2 2" xfId="7800" xr:uid="{00000000-0005-0000-0000-00000B120000}"/>
    <cellStyle name="40% - Accent6 3 2 2 2 2" xfId="7801" xr:uid="{00000000-0005-0000-0000-00000C120000}"/>
    <cellStyle name="40% - Accent6 3 2 2 2 2 2" xfId="7802" xr:uid="{00000000-0005-0000-0000-00000D120000}"/>
    <cellStyle name="40% - Accent6 3 2 2 2 2 3" xfId="7803" xr:uid="{00000000-0005-0000-0000-00000E120000}"/>
    <cellStyle name="40% - Accent6 3 2 2 2 3" xfId="7804" xr:uid="{00000000-0005-0000-0000-00000F120000}"/>
    <cellStyle name="40% - Accent6 3 2 2 2 3 2" xfId="7805" xr:uid="{00000000-0005-0000-0000-000010120000}"/>
    <cellStyle name="40% - Accent6 3 2 2 2 4" xfId="7806" xr:uid="{00000000-0005-0000-0000-000011120000}"/>
    <cellStyle name="40% - Accent6 3 2 2 3" xfId="7807" xr:uid="{00000000-0005-0000-0000-000012120000}"/>
    <cellStyle name="40% - Accent6 3 2 2 3 2" xfId="7808" xr:uid="{00000000-0005-0000-0000-000013120000}"/>
    <cellStyle name="40% - Accent6 3 2 2 3 3" xfId="7809" xr:uid="{00000000-0005-0000-0000-000014120000}"/>
    <cellStyle name="40% - Accent6 3 2 2 4" xfId="7810" xr:uid="{00000000-0005-0000-0000-000015120000}"/>
    <cellStyle name="40% - Accent6 3 2 2 5" xfId="7811" xr:uid="{00000000-0005-0000-0000-000016120000}"/>
    <cellStyle name="40% - Accent6 3 2 2 5 2" xfId="7812" xr:uid="{00000000-0005-0000-0000-000017120000}"/>
    <cellStyle name="40% - Accent6 3 2 2 6" xfId="7813" xr:uid="{00000000-0005-0000-0000-000018120000}"/>
    <cellStyle name="40% - Accent6 3 2 3" xfId="7814" xr:uid="{00000000-0005-0000-0000-000019120000}"/>
    <cellStyle name="40% - Accent6 3 2 3 2" xfId="7815" xr:uid="{00000000-0005-0000-0000-00001A120000}"/>
    <cellStyle name="40% - Accent6 3 2 3 2 2" xfId="7816" xr:uid="{00000000-0005-0000-0000-00001B120000}"/>
    <cellStyle name="40% - Accent6 3 2 3 2 3" xfId="7817" xr:uid="{00000000-0005-0000-0000-00001C120000}"/>
    <cellStyle name="40% - Accent6 3 2 3 3" xfId="7818" xr:uid="{00000000-0005-0000-0000-00001D120000}"/>
    <cellStyle name="40% - Accent6 3 2 3 3 2" xfId="7819" xr:uid="{00000000-0005-0000-0000-00001E120000}"/>
    <cellStyle name="40% - Accent6 3 2 3 4" xfId="7820" xr:uid="{00000000-0005-0000-0000-00001F120000}"/>
    <cellStyle name="40% - Accent6 3 2 4" xfId="7821" xr:uid="{00000000-0005-0000-0000-000020120000}"/>
    <cellStyle name="40% - Accent6 3 2 5" xfId="7822" xr:uid="{00000000-0005-0000-0000-000021120000}"/>
    <cellStyle name="40% - Accent6 3 3" xfId="7823" xr:uid="{00000000-0005-0000-0000-000022120000}"/>
    <cellStyle name="40% - Accent6 3 3 2" xfId="7824" xr:uid="{00000000-0005-0000-0000-000023120000}"/>
    <cellStyle name="40% - Accent6 3 3 2 2" xfId="7825" xr:uid="{00000000-0005-0000-0000-000024120000}"/>
    <cellStyle name="40% - Accent6 3 3 2 3" xfId="7826" xr:uid="{00000000-0005-0000-0000-000025120000}"/>
    <cellStyle name="40% - Accent6 3 3 2 3 2" xfId="7827" xr:uid="{00000000-0005-0000-0000-000026120000}"/>
    <cellStyle name="40% - Accent6 3 3 3" xfId="7828" xr:uid="{00000000-0005-0000-0000-000027120000}"/>
    <cellStyle name="40% - Accent6 3 3 4" xfId="7829" xr:uid="{00000000-0005-0000-0000-000028120000}"/>
    <cellStyle name="40% - Accent6 3 3 4 2" xfId="7830" xr:uid="{00000000-0005-0000-0000-000029120000}"/>
    <cellStyle name="40% - Accent6 3 3 5" xfId="7831" xr:uid="{00000000-0005-0000-0000-00002A120000}"/>
    <cellStyle name="40% - Accent6 3 4" xfId="7832" xr:uid="{00000000-0005-0000-0000-00002B120000}"/>
    <cellStyle name="40% - Accent6 3 4 2" xfId="7833" xr:uid="{00000000-0005-0000-0000-00002C120000}"/>
    <cellStyle name="40% - Accent6 3 4 2 2" xfId="7834" xr:uid="{00000000-0005-0000-0000-00002D120000}"/>
    <cellStyle name="40% - Accent6 3 4 2 3" xfId="7835" xr:uid="{00000000-0005-0000-0000-00002E120000}"/>
    <cellStyle name="40% - Accent6 3 4 3" xfId="7836" xr:uid="{00000000-0005-0000-0000-00002F120000}"/>
    <cellStyle name="40% - Accent6 3 4 4" xfId="7837" xr:uid="{00000000-0005-0000-0000-000030120000}"/>
    <cellStyle name="40% - Accent6 3 4 4 2" xfId="7838" xr:uid="{00000000-0005-0000-0000-000031120000}"/>
    <cellStyle name="40% - Accent6 3 4 5" xfId="7839" xr:uid="{00000000-0005-0000-0000-000032120000}"/>
    <cellStyle name="40% - Accent6 3 5" xfId="7840" xr:uid="{00000000-0005-0000-0000-000033120000}"/>
    <cellStyle name="40% - Accent6 3 5 2" xfId="7841" xr:uid="{00000000-0005-0000-0000-000034120000}"/>
    <cellStyle name="40% - Accent6 3 5 2 2" xfId="7842" xr:uid="{00000000-0005-0000-0000-000035120000}"/>
    <cellStyle name="40% - Accent6 3 5 2 3" xfId="7843" xr:uid="{00000000-0005-0000-0000-000036120000}"/>
    <cellStyle name="40% - Accent6 3 5 3" xfId="7844" xr:uid="{00000000-0005-0000-0000-000037120000}"/>
    <cellStyle name="40% - Accent6 3 5 3 2" xfId="7845" xr:uid="{00000000-0005-0000-0000-000038120000}"/>
    <cellStyle name="40% - Accent6 3 5 4" xfId="7846" xr:uid="{00000000-0005-0000-0000-000039120000}"/>
    <cellStyle name="40% - Accent6 3 6" xfId="7847" xr:uid="{00000000-0005-0000-0000-00003A120000}"/>
    <cellStyle name="40% - Accent6 3 6 2" xfId="7848" xr:uid="{00000000-0005-0000-0000-00003B120000}"/>
    <cellStyle name="40% - Accent6 3 6 3" xfId="7849" xr:uid="{00000000-0005-0000-0000-00003C120000}"/>
    <cellStyle name="40% - Accent6 3 7" xfId="7850" xr:uid="{00000000-0005-0000-0000-00003D120000}"/>
    <cellStyle name="40% - Accent6 3 8" xfId="7851" xr:uid="{00000000-0005-0000-0000-00003E120000}"/>
    <cellStyle name="40% - Accent6 3 8 2" xfId="7852" xr:uid="{00000000-0005-0000-0000-00003F120000}"/>
    <cellStyle name="40% - Accent6 3 9" xfId="7853" xr:uid="{00000000-0005-0000-0000-000040120000}"/>
    <cellStyle name="40% - Accent6 4" xfId="253" xr:uid="{00000000-0005-0000-0000-00005C000000}"/>
    <cellStyle name="40% - Accent6 4 10" xfId="7854" xr:uid="{00000000-0005-0000-0000-000041120000}"/>
    <cellStyle name="40% - Accent6 4 2" xfId="7855" xr:uid="{00000000-0005-0000-0000-000042120000}"/>
    <cellStyle name="40% - Accent6 4 2 2" xfId="7856" xr:uid="{00000000-0005-0000-0000-000043120000}"/>
    <cellStyle name="40% - Accent6 4 2 2 2" xfId="7857" xr:uid="{00000000-0005-0000-0000-000044120000}"/>
    <cellStyle name="40% - Accent6 4 2 2 2 2" xfId="7858" xr:uid="{00000000-0005-0000-0000-000045120000}"/>
    <cellStyle name="40% - Accent6 4 2 2 2 2 2" xfId="7859" xr:uid="{00000000-0005-0000-0000-000046120000}"/>
    <cellStyle name="40% - Accent6 4 2 2 2 2 3" xfId="7860" xr:uid="{00000000-0005-0000-0000-000047120000}"/>
    <cellStyle name="40% - Accent6 4 2 2 2 3" xfId="7861" xr:uid="{00000000-0005-0000-0000-000048120000}"/>
    <cellStyle name="40% - Accent6 4 2 2 2 3 2" xfId="7862" xr:uid="{00000000-0005-0000-0000-000049120000}"/>
    <cellStyle name="40% - Accent6 4 2 2 2 4" xfId="7863" xr:uid="{00000000-0005-0000-0000-00004A120000}"/>
    <cellStyle name="40% - Accent6 4 2 2 3" xfId="7864" xr:uid="{00000000-0005-0000-0000-00004B120000}"/>
    <cellStyle name="40% - Accent6 4 2 2 3 2" xfId="7865" xr:uid="{00000000-0005-0000-0000-00004C120000}"/>
    <cellStyle name="40% - Accent6 4 2 2 3 3" xfId="7866" xr:uid="{00000000-0005-0000-0000-00004D120000}"/>
    <cellStyle name="40% - Accent6 4 2 2 4" xfId="7867" xr:uid="{00000000-0005-0000-0000-00004E120000}"/>
    <cellStyle name="40% - Accent6 4 2 2 5" xfId="7868" xr:uid="{00000000-0005-0000-0000-00004F120000}"/>
    <cellStyle name="40% - Accent6 4 2 2 5 2" xfId="7869" xr:uid="{00000000-0005-0000-0000-000050120000}"/>
    <cellStyle name="40% - Accent6 4 2 2 6" xfId="7870" xr:uid="{00000000-0005-0000-0000-000051120000}"/>
    <cellStyle name="40% - Accent6 4 2 3" xfId="7871" xr:uid="{00000000-0005-0000-0000-000052120000}"/>
    <cellStyle name="40% - Accent6 4 2 3 2" xfId="7872" xr:uid="{00000000-0005-0000-0000-000053120000}"/>
    <cellStyle name="40% - Accent6 4 2 3 2 2" xfId="7873" xr:uid="{00000000-0005-0000-0000-000054120000}"/>
    <cellStyle name="40% - Accent6 4 2 3 2 3" xfId="7874" xr:uid="{00000000-0005-0000-0000-000055120000}"/>
    <cellStyle name="40% - Accent6 4 2 3 3" xfId="7875" xr:uid="{00000000-0005-0000-0000-000056120000}"/>
    <cellStyle name="40% - Accent6 4 2 3 3 2" xfId="7876" xr:uid="{00000000-0005-0000-0000-000057120000}"/>
    <cellStyle name="40% - Accent6 4 2 3 4" xfId="7877" xr:uid="{00000000-0005-0000-0000-000058120000}"/>
    <cellStyle name="40% - Accent6 4 2 4" xfId="7878" xr:uid="{00000000-0005-0000-0000-000059120000}"/>
    <cellStyle name="40% - Accent6 4 2 5" xfId="7879" xr:uid="{00000000-0005-0000-0000-00005A120000}"/>
    <cellStyle name="40% - Accent6 4 3" xfId="7880" xr:uid="{00000000-0005-0000-0000-00005B120000}"/>
    <cellStyle name="40% - Accent6 4 3 2" xfId="7881" xr:uid="{00000000-0005-0000-0000-00005C120000}"/>
    <cellStyle name="40% - Accent6 4 3 2 2" xfId="7882" xr:uid="{00000000-0005-0000-0000-00005D120000}"/>
    <cellStyle name="40% - Accent6 4 3 2 3" xfId="7883" xr:uid="{00000000-0005-0000-0000-00005E120000}"/>
    <cellStyle name="40% - Accent6 4 3 3" xfId="7884" xr:uid="{00000000-0005-0000-0000-00005F120000}"/>
    <cellStyle name="40% - Accent6 4 3 4" xfId="7885" xr:uid="{00000000-0005-0000-0000-000060120000}"/>
    <cellStyle name="40% - Accent6 4 3 4 2" xfId="7886" xr:uid="{00000000-0005-0000-0000-000061120000}"/>
    <cellStyle name="40% - Accent6 4 3 5" xfId="7887" xr:uid="{00000000-0005-0000-0000-000062120000}"/>
    <cellStyle name="40% - Accent6 4 4" xfId="7888" xr:uid="{00000000-0005-0000-0000-000063120000}"/>
    <cellStyle name="40% - Accent6 4 4 2" xfId="7889" xr:uid="{00000000-0005-0000-0000-000064120000}"/>
    <cellStyle name="40% - Accent6 4 4 2 2" xfId="7890" xr:uid="{00000000-0005-0000-0000-000065120000}"/>
    <cellStyle name="40% - Accent6 4 4 2 3" xfId="7891" xr:uid="{00000000-0005-0000-0000-000066120000}"/>
    <cellStyle name="40% - Accent6 4 4 3" xfId="7892" xr:uid="{00000000-0005-0000-0000-000067120000}"/>
    <cellStyle name="40% - Accent6 4 4 3 2" xfId="7893" xr:uid="{00000000-0005-0000-0000-000068120000}"/>
    <cellStyle name="40% - Accent6 4 4 4" xfId="7894" xr:uid="{00000000-0005-0000-0000-000069120000}"/>
    <cellStyle name="40% - Accent6 4 5" xfId="7895" xr:uid="{00000000-0005-0000-0000-00006A120000}"/>
    <cellStyle name="40% - Accent6 4 5 2" xfId="7896" xr:uid="{00000000-0005-0000-0000-00006B120000}"/>
    <cellStyle name="40% - Accent6 4 5 2 2" xfId="7897" xr:uid="{00000000-0005-0000-0000-00006C120000}"/>
    <cellStyle name="40% - Accent6 4 5 2 3" xfId="7898" xr:uid="{00000000-0005-0000-0000-00006D120000}"/>
    <cellStyle name="40% - Accent6 4 5 3" xfId="7899" xr:uid="{00000000-0005-0000-0000-00006E120000}"/>
    <cellStyle name="40% - Accent6 4 5 3 2" xfId="7900" xr:uid="{00000000-0005-0000-0000-00006F120000}"/>
    <cellStyle name="40% - Accent6 4 5 4" xfId="7901" xr:uid="{00000000-0005-0000-0000-000070120000}"/>
    <cellStyle name="40% - Accent6 4 6" xfId="7902" xr:uid="{00000000-0005-0000-0000-000071120000}"/>
    <cellStyle name="40% - Accent6 4 6 2" xfId="7903" xr:uid="{00000000-0005-0000-0000-000072120000}"/>
    <cellStyle name="40% - Accent6 4 6 3" xfId="7904" xr:uid="{00000000-0005-0000-0000-000073120000}"/>
    <cellStyle name="40% - Accent6 4 7" xfId="7905" xr:uid="{00000000-0005-0000-0000-000074120000}"/>
    <cellStyle name="40% - Accent6 4 8" xfId="7906" xr:uid="{00000000-0005-0000-0000-000075120000}"/>
    <cellStyle name="40% - Accent6 4 8 2" xfId="7907" xr:uid="{00000000-0005-0000-0000-000076120000}"/>
    <cellStyle name="40% - Accent6 4 9" xfId="7908" xr:uid="{00000000-0005-0000-0000-000077120000}"/>
    <cellStyle name="40% - Accent6 5" xfId="254" xr:uid="{00000000-0005-0000-0000-00005D000000}"/>
    <cellStyle name="40% - Accent6 5 2" xfId="7910" xr:uid="{00000000-0005-0000-0000-000079120000}"/>
    <cellStyle name="40% - Accent6 5 2 2" xfId="7911" xr:uid="{00000000-0005-0000-0000-00007A120000}"/>
    <cellStyle name="40% - Accent6 5 2 2 2" xfId="7912" xr:uid="{00000000-0005-0000-0000-00007B120000}"/>
    <cellStyle name="40% - Accent6 5 2 2 2 2" xfId="7913" xr:uid="{00000000-0005-0000-0000-00007C120000}"/>
    <cellStyle name="40% - Accent6 5 2 2 2 2 2" xfId="7914" xr:uid="{00000000-0005-0000-0000-00007D120000}"/>
    <cellStyle name="40% - Accent6 5 2 2 2 2 3" xfId="7915" xr:uid="{00000000-0005-0000-0000-00007E120000}"/>
    <cellStyle name="40% - Accent6 5 2 2 2 3" xfId="7916" xr:uid="{00000000-0005-0000-0000-00007F120000}"/>
    <cellStyle name="40% - Accent6 5 2 2 2 3 2" xfId="7917" xr:uid="{00000000-0005-0000-0000-000080120000}"/>
    <cellStyle name="40% - Accent6 5 2 2 2 4" xfId="7918" xr:uid="{00000000-0005-0000-0000-000081120000}"/>
    <cellStyle name="40% - Accent6 5 2 2 3" xfId="7919" xr:uid="{00000000-0005-0000-0000-000082120000}"/>
    <cellStyle name="40% - Accent6 5 2 2 3 2" xfId="7920" xr:uid="{00000000-0005-0000-0000-000083120000}"/>
    <cellStyle name="40% - Accent6 5 2 2 3 3" xfId="7921" xr:uid="{00000000-0005-0000-0000-000084120000}"/>
    <cellStyle name="40% - Accent6 5 2 2 4" xfId="7922" xr:uid="{00000000-0005-0000-0000-000085120000}"/>
    <cellStyle name="40% - Accent6 5 2 2 5" xfId="7923" xr:uid="{00000000-0005-0000-0000-000086120000}"/>
    <cellStyle name="40% - Accent6 5 2 2 5 2" xfId="7924" xr:uid="{00000000-0005-0000-0000-000087120000}"/>
    <cellStyle name="40% - Accent6 5 2 2 6" xfId="7925" xr:uid="{00000000-0005-0000-0000-000088120000}"/>
    <cellStyle name="40% - Accent6 5 2 3" xfId="7926" xr:uid="{00000000-0005-0000-0000-000089120000}"/>
    <cellStyle name="40% - Accent6 5 2 3 2" xfId="7927" xr:uid="{00000000-0005-0000-0000-00008A120000}"/>
    <cellStyle name="40% - Accent6 5 2 3 2 2" xfId="7928" xr:uid="{00000000-0005-0000-0000-00008B120000}"/>
    <cellStyle name="40% - Accent6 5 2 3 2 3" xfId="7929" xr:uid="{00000000-0005-0000-0000-00008C120000}"/>
    <cellStyle name="40% - Accent6 5 2 3 3" xfId="7930" xr:uid="{00000000-0005-0000-0000-00008D120000}"/>
    <cellStyle name="40% - Accent6 5 2 3 3 2" xfId="7931" xr:uid="{00000000-0005-0000-0000-00008E120000}"/>
    <cellStyle name="40% - Accent6 5 2 3 4" xfId="7932" xr:uid="{00000000-0005-0000-0000-00008F120000}"/>
    <cellStyle name="40% - Accent6 5 2 4" xfId="7933" xr:uid="{00000000-0005-0000-0000-000090120000}"/>
    <cellStyle name="40% - Accent6 5 2 5" xfId="7934" xr:uid="{00000000-0005-0000-0000-000091120000}"/>
    <cellStyle name="40% - Accent6 5 3" xfId="7935" xr:uid="{00000000-0005-0000-0000-000092120000}"/>
    <cellStyle name="40% - Accent6 5 3 2" xfId="7936" xr:uid="{00000000-0005-0000-0000-000093120000}"/>
    <cellStyle name="40% - Accent6 5 3 2 2" xfId="7937" xr:uid="{00000000-0005-0000-0000-000094120000}"/>
    <cellStyle name="40% - Accent6 5 3 2 3" xfId="7938" xr:uid="{00000000-0005-0000-0000-000095120000}"/>
    <cellStyle name="40% - Accent6 5 3 3" xfId="7939" xr:uid="{00000000-0005-0000-0000-000096120000}"/>
    <cellStyle name="40% - Accent6 5 3 4" xfId="7940" xr:uid="{00000000-0005-0000-0000-000097120000}"/>
    <cellStyle name="40% - Accent6 5 3 4 2" xfId="7941" xr:uid="{00000000-0005-0000-0000-000098120000}"/>
    <cellStyle name="40% - Accent6 5 3 5" xfId="7942" xr:uid="{00000000-0005-0000-0000-000099120000}"/>
    <cellStyle name="40% - Accent6 5 4" xfId="7943" xr:uid="{00000000-0005-0000-0000-00009A120000}"/>
    <cellStyle name="40% - Accent6 5 4 2" xfId="7944" xr:uid="{00000000-0005-0000-0000-00009B120000}"/>
    <cellStyle name="40% - Accent6 5 4 2 2" xfId="7945" xr:uid="{00000000-0005-0000-0000-00009C120000}"/>
    <cellStyle name="40% - Accent6 5 4 2 3" xfId="7946" xr:uid="{00000000-0005-0000-0000-00009D120000}"/>
    <cellStyle name="40% - Accent6 5 4 3" xfId="7947" xr:uid="{00000000-0005-0000-0000-00009E120000}"/>
    <cellStyle name="40% - Accent6 5 4 3 2" xfId="7948" xr:uid="{00000000-0005-0000-0000-00009F120000}"/>
    <cellStyle name="40% - Accent6 5 4 4" xfId="7949" xr:uid="{00000000-0005-0000-0000-0000A0120000}"/>
    <cellStyle name="40% - Accent6 5 5" xfId="7950" xr:uid="{00000000-0005-0000-0000-0000A1120000}"/>
    <cellStyle name="40% - Accent6 5 5 2" xfId="7951" xr:uid="{00000000-0005-0000-0000-0000A2120000}"/>
    <cellStyle name="40% - Accent6 5 5 3" xfId="7952" xr:uid="{00000000-0005-0000-0000-0000A3120000}"/>
    <cellStyle name="40% - Accent6 5 6" xfId="7953" xr:uid="{00000000-0005-0000-0000-0000A4120000}"/>
    <cellStyle name="40% - Accent6 5 7" xfId="7954" xr:uid="{00000000-0005-0000-0000-0000A5120000}"/>
    <cellStyle name="40% - Accent6 5 7 2" xfId="7955" xr:uid="{00000000-0005-0000-0000-0000A6120000}"/>
    <cellStyle name="40% - Accent6 5 8" xfId="7956" xr:uid="{00000000-0005-0000-0000-0000A7120000}"/>
    <cellStyle name="40% - Accent6 5 9" xfId="7909" xr:uid="{00000000-0005-0000-0000-000078120000}"/>
    <cellStyle name="40% - Accent6 6" xfId="255" xr:uid="{00000000-0005-0000-0000-00005E000000}"/>
    <cellStyle name="40% - Accent6 6 2" xfId="7957" xr:uid="{00000000-0005-0000-0000-0000A9120000}"/>
    <cellStyle name="40% - Accent6 6 2 2" xfId="7958" xr:uid="{00000000-0005-0000-0000-0000AA120000}"/>
    <cellStyle name="40% - Accent6 6 2 2 2" xfId="7959" xr:uid="{00000000-0005-0000-0000-0000AB120000}"/>
    <cellStyle name="40% - Accent6 6 2 2 2 2" xfId="7960" xr:uid="{00000000-0005-0000-0000-0000AC120000}"/>
    <cellStyle name="40% - Accent6 6 2 2 2 3" xfId="7961" xr:uid="{00000000-0005-0000-0000-0000AD120000}"/>
    <cellStyle name="40% - Accent6 6 2 2 3" xfId="7962" xr:uid="{00000000-0005-0000-0000-0000AE120000}"/>
    <cellStyle name="40% - Accent6 6 2 2 3 2" xfId="7963" xr:uid="{00000000-0005-0000-0000-0000AF120000}"/>
    <cellStyle name="40% - Accent6 6 2 2 4" xfId="7964" xr:uid="{00000000-0005-0000-0000-0000B0120000}"/>
    <cellStyle name="40% - Accent6 6 2 3" xfId="7965" xr:uid="{00000000-0005-0000-0000-0000B1120000}"/>
    <cellStyle name="40% - Accent6 6 2 3 2" xfId="7966" xr:uid="{00000000-0005-0000-0000-0000B2120000}"/>
    <cellStyle name="40% - Accent6 6 2 3 3" xfId="7967" xr:uid="{00000000-0005-0000-0000-0000B3120000}"/>
    <cellStyle name="40% - Accent6 6 2 4" xfId="7968" xr:uid="{00000000-0005-0000-0000-0000B4120000}"/>
    <cellStyle name="40% - Accent6 6 2 5" xfId="7969" xr:uid="{00000000-0005-0000-0000-0000B5120000}"/>
    <cellStyle name="40% - Accent6 6 2 5 2" xfId="7970" xr:uid="{00000000-0005-0000-0000-0000B6120000}"/>
    <cellStyle name="40% - Accent6 6 2 6" xfId="7971" xr:uid="{00000000-0005-0000-0000-0000B7120000}"/>
    <cellStyle name="40% - Accent6 6 3" xfId="7972" xr:uid="{00000000-0005-0000-0000-0000B8120000}"/>
    <cellStyle name="40% - Accent6 6 3 2" xfId="7973" xr:uid="{00000000-0005-0000-0000-0000B9120000}"/>
    <cellStyle name="40% - Accent6 6 3 2 2" xfId="7974" xr:uid="{00000000-0005-0000-0000-0000BA120000}"/>
    <cellStyle name="40% - Accent6 6 3 2 3" xfId="7975" xr:uid="{00000000-0005-0000-0000-0000BB120000}"/>
    <cellStyle name="40% - Accent6 6 3 3" xfId="7976" xr:uid="{00000000-0005-0000-0000-0000BC120000}"/>
    <cellStyle name="40% - Accent6 6 3 3 2" xfId="7977" xr:uid="{00000000-0005-0000-0000-0000BD120000}"/>
    <cellStyle name="40% - Accent6 6 3 4" xfId="7978" xr:uid="{00000000-0005-0000-0000-0000BE120000}"/>
    <cellStyle name="40% - Accent6 6 4" xfId="7979" xr:uid="{00000000-0005-0000-0000-0000BF120000}"/>
    <cellStyle name="40% - Accent6 6 5" xfId="7980" xr:uid="{00000000-0005-0000-0000-0000C0120000}"/>
    <cellStyle name="40% - Accent6 7" xfId="256" xr:uid="{00000000-0005-0000-0000-00005F000000}"/>
    <cellStyle name="40% - Accent6 7 2" xfId="7981" xr:uid="{00000000-0005-0000-0000-0000C2120000}"/>
    <cellStyle name="40% - Accent6 7 3" xfId="7982" xr:uid="{00000000-0005-0000-0000-0000C3120000}"/>
    <cellStyle name="40% - Accent6 7 4" xfId="7983" xr:uid="{00000000-0005-0000-0000-0000C4120000}"/>
    <cellStyle name="40% - Accent6 8" xfId="7984" xr:uid="{00000000-0005-0000-0000-0000C5120000}"/>
    <cellStyle name="40% - Accent6 8 2" xfId="7985" xr:uid="{00000000-0005-0000-0000-0000C6120000}"/>
    <cellStyle name="40% - Accent6 8 2 2" xfId="7986" xr:uid="{00000000-0005-0000-0000-0000C7120000}"/>
    <cellStyle name="40% - Accent6 8 2 3" xfId="7987" xr:uid="{00000000-0005-0000-0000-0000C8120000}"/>
    <cellStyle name="40% - Accent6 8 2 3 2" xfId="7988" xr:uid="{00000000-0005-0000-0000-0000C9120000}"/>
    <cellStyle name="40% - Accent6 8 3" xfId="7989" xr:uid="{00000000-0005-0000-0000-0000CA120000}"/>
    <cellStyle name="40% - Accent6 8 4" xfId="7990" xr:uid="{00000000-0005-0000-0000-0000CB120000}"/>
    <cellStyle name="40% - Accent6 8 4 2" xfId="7991" xr:uid="{00000000-0005-0000-0000-0000CC120000}"/>
    <cellStyle name="40% - Accent6 8 5" xfId="7992" xr:uid="{00000000-0005-0000-0000-0000CD120000}"/>
    <cellStyle name="40% - Accent6 9" xfId="7993" xr:uid="{00000000-0005-0000-0000-0000CE120000}"/>
    <cellStyle name="40% - Accent6 9 2" xfId="7994" xr:uid="{00000000-0005-0000-0000-0000CF120000}"/>
    <cellStyle name="40% - Accent6 9 2 2" xfId="7995" xr:uid="{00000000-0005-0000-0000-0000D0120000}"/>
    <cellStyle name="40% - Accent6 9 2 3" xfId="7996" xr:uid="{00000000-0005-0000-0000-0000D1120000}"/>
    <cellStyle name="40% - Accent6 9 3" xfId="7997" xr:uid="{00000000-0005-0000-0000-0000D2120000}"/>
    <cellStyle name="40% - Accent6 9 4" xfId="7998" xr:uid="{00000000-0005-0000-0000-0000D3120000}"/>
    <cellStyle name="40% - Accent6 9 4 2" xfId="7999" xr:uid="{00000000-0005-0000-0000-0000D4120000}"/>
    <cellStyle name="40% - Accent6 9 5" xfId="8000" xr:uid="{00000000-0005-0000-0000-0000D5120000}"/>
    <cellStyle name="5 in (Normal)" xfId="257" xr:uid="{00000000-0005-0000-0000-000060000000}"/>
    <cellStyle name="60% - Accent1" xfId="84" builtinId="32" customBuiltin="1"/>
    <cellStyle name="60% - Accent1 10" xfId="8001" xr:uid="{00000000-0005-0000-0000-0000D7120000}"/>
    <cellStyle name="60% - Accent1 11" xfId="8002" xr:uid="{00000000-0005-0000-0000-0000D8120000}"/>
    <cellStyle name="60% - Accent1 2" xfId="258" xr:uid="{00000000-0005-0000-0000-000061000000}"/>
    <cellStyle name="60% - Accent1 3" xfId="259" xr:uid="{00000000-0005-0000-0000-000062000000}"/>
    <cellStyle name="60% - Accent1 3 2" xfId="8003" xr:uid="{00000000-0005-0000-0000-0000DB120000}"/>
    <cellStyle name="60% - Accent1 3 3" xfId="8004" xr:uid="{00000000-0005-0000-0000-0000DC120000}"/>
    <cellStyle name="60% - Accent1 4" xfId="260" xr:uid="{00000000-0005-0000-0000-000063000000}"/>
    <cellStyle name="60% - Accent1 5" xfId="261" xr:uid="{00000000-0005-0000-0000-000064000000}"/>
    <cellStyle name="60% - Accent1 6" xfId="262" xr:uid="{00000000-0005-0000-0000-000065000000}"/>
    <cellStyle name="60% - Accent1 7" xfId="263" xr:uid="{00000000-0005-0000-0000-000066000000}"/>
    <cellStyle name="60% - Accent1 8" xfId="8005" xr:uid="{00000000-0005-0000-0000-0000E1120000}"/>
    <cellStyle name="60% - Accent1 9" xfId="8006" xr:uid="{00000000-0005-0000-0000-0000E2120000}"/>
    <cellStyle name="60% - Accent2" xfId="88" builtinId="36" customBuiltin="1"/>
    <cellStyle name="60% - Accent2 10" xfId="8007" xr:uid="{00000000-0005-0000-0000-0000E3120000}"/>
    <cellStyle name="60% - Accent2 11" xfId="8008" xr:uid="{00000000-0005-0000-0000-0000E4120000}"/>
    <cellStyle name="60% - Accent2 2" xfId="264" xr:uid="{00000000-0005-0000-0000-000067000000}"/>
    <cellStyle name="60% - Accent2 3" xfId="265" xr:uid="{00000000-0005-0000-0000-000068000000}"/>
    <cellStyle name="60% - Accent2 3 2" xfId="8009" xr:uid="{00000000-0005-0000-0000-0000E7120000}"/>
    <cellStyle name="60% - Accent2 3 3" xfId="8010" xr:uid="{00000000-0005-0000-0000-0000E8120000}"/>
    <cellStyle name="60% - Accent2 4" xfId="266" xr:uid="{00000000-0005-0000-0000-000069000000}"/>
    <cellStyle name="60% - Accent2 5" xfId="267" xr:uid="{00000000-0005-0000-0000-00006A000000}"/>
    <cellStyle name="60% - Accent2 6" xfId="268" xr:uid="{00000000-0005-0000-0000-00006B000000}"/>
    <cellStyle name="60% - Accent2 7" xfId="269" xr:uid="{00000000-0005-0000-0000-00006C000000}"/>
    <cellStyle name="60% - Accent2 8" xfId="8011" xr:uid="{00000000-0005-0000-0000-0000ED120000}"/>
    <cellStyle name="60% - Accent2 9" xfId="8012" xr:uid="{00000000-0005-0000-0000-0000EE120000}"/>
    <cellStyle name="60% - Accent3" xfId="92" builtinId="40" customBuiltin="1"/>
    <cellStyle name="60% - Accent3 10" xfId="8013" xr:uid="{00000000-0005-0000-0000-0000EF120000}"/>
    <cellStyle name="60% - Accent3 11" xfId="8014" xr:uid="{00000000-0005-0000-0000-0000F0120000}"/>
    <cellStyle name="60% - Accent3 2" xfId="270" xr:uid="{00000000-0005-0000-0000-00006D000000}"/>
    <cellStyle name="60% - Accent3 3" xfId="271" xr:uid="{00000000-0005-0000-0000-00006E000000}"/>
    <cellStyle name="60% - Accent3 3 2" xfId="8015" xr:uid="{00000000-0005-0000-0000-0000F3120000}"/>
    <cellStyle name="60% - Accent3 3 3" xfId="8016" xr:uid="{00000000-0005-0000-0000-0000F4120000}"/>
    <cellStyle name="60% - Accent3 4" xfId="272" xr:uid="{00000000-0005-0000-0000-00006F000000}"/>
    <cellStyle name="60% - Accent3 5" xfId="273" xr:uid="{00000000-0005-0000-0000-000070000000}"/>
    <cellStyle name="60% - Accent3 6" xfId="274" xr:uid="{00000000-0005-0000-0000-000071000000}"/>
    <cellStyle name="60% - Accent3 7" xfId="275" xr:uid="{00000000-0005-0000-0000-000072000000}"/>
    <cellStyle name="60% - Accent3 8" xfId="8017" xr:uid="{00000000-0005-0000-0000-0000F9120000}"/>
    <cellStyle name="60% - Accent3 9" xfId="8018" xr:uid="{00000000-0005-0000-0000-0000FA120000}"/>
    <cellStyle name="60% - Accent4" xfId="96" builtinId="44" customBuiltin="1"/>
    <cellStyle name="60% - Accent4 10" xfId="8019" xr:uid="{00000000-0005-0000-0000-0000FB120000}"/>
    <cellStyle name="60% - Accent4 11" xfId="8020" xr:uid="{00000000-0005-0000-0000-0000FC120000}"/>
    <cellStyle name="60% - Accent4 2" xfId="276" xr:uid="{00000000-0005-0000-0000-000073000000}"/>
    <cellStyle name="60% - Accent4 3" xfId="277" xr:uid="{00000000-0005-0000-0000-000074000000}"/>
    <cellStyle name="60% - Accent4 3 2" xfId="8021" xr:uid="{00000000-0005-0000-0000-0000FF120000}"/>
    <cellStyle name="60% - Accent4 3 3" xfId="8022" xr:uid="{00000000-0005-0000-0000-000000130000}"/>
    <cellStyle name="60% - Accent4 4" xfId="278" xr:uid="{00000000-0005-0000-0000-000075000000}"/>
    <cellStyle name="60% - Accent4 5" xfId="279" xr:uid="{00000000-0005-0000-0000-000076000000}"/>
    <cellStyle name="60% - Accent4 6" xfId="280" xr:uid="{00000000-0005-0000-0000-000077000000}"/>
    <cellStyle name="60% - Accent4 7" xfId="281" xr:uid="{00000000-0005-0000-0000-000078000000}"/>
    <cellStyle name="60% - Accent4 8" xfId="8023" xr:uid="{00000000-0005-0000-0000-000005130000}"/>
    <cellStyle name="60% - Accent4 9" xfId="8024" xr:uid="{00000000-0005-0000-0000-000006130000}"/>
    <cellStyle name="60% - Accent5" xfId="100" builtinId="48" customBuiltin="1"/>
    <cellStyle name="60% - Accent5 10" xfId="8025" xr:uid="{00000000-0005-0000-0000-000007130000}"/>
    <cellStyle name="60% - Accent5 11" xfId="8026" xr:uid="{00000000-0005-0000-0000-000008130000}"/>
    <cellStyle name="60% - Accent5 2" xfId="282" xr:uid="{00000000-0005-0000-0000-000079000000}"/>
    <cellStyle name="60% - Accent5 3" xfId="283" xr:uid="{00000000-0005-0000-0000-00007A000000}"/>
    <cellStyle name="60% - Accent5 3 2" xfId="8027" xr:uid="{00000000-0005-0000-0000-00000B130000}"/>
    <cellStyle name="60% - Accent5 3 3" xfId="8028" xr:uid="{00000000-0005-0000-0000-00000C130000}"/>
    <cellStyle name="60% - Accent5 4" xfId="284" xr:uid="{00000000-0005-0000-0000-00007B000000}"/>
    <cellStyle name="60% - Accent5 5" xfId="285" xr:uid="{00000000-0005-0000-0000-00007C000000}"/>
    <cellStyle name="60% - Accent5 6" xfId="286" xr:uid="{00000000-0005-0000-0000-00007D000000}"/>
    <cellStyle name="60% - Accent5 7" xfId="287" xr:uid="{00000000-0005-0000-0000-00007E000000}"/>
    <cellStyle name="60% - Accent5 8" xfId="8029" xr:uid="{00000000-0005-0000-0000-000011130000}"/>
    <cellStyle name="60% - Accent5 9" xfId="8030" xr:uid="{00000000-0005-0000-0000-000012130000}"/>
    <cellStyle name="60% - Accent6" xfId="104" builtinId="52" customBuiltin="1"/>
    <cellStyle name="60% - Accent6 10" xfId="8031" xr:uid="{00000000-0005-0000-0000-000013130000}"/>
    <cellStyle name="60% - Accent6 11" xfId="8032" xr:uid="{00000000-0005-0000-0000-000014130000}"/>
    <cellStyle name="60% - Accent6 2" xfId="288" xr:uid="{00000000-0005-0000-0000-00007F000000}"/>
    <cellStyle name="60% - Accent6 3" xfId="289" xr:uid="{00000000-0005-0000-0000-000080000000}"/>
    <cellStyle name="60% - Accent6 3 2" xfId="8033" xr:uid="{00000000-0005-0000-0000-000017130000}"/>
    <cellStyle name="60% - Accent6 3 3" xfId="8034" xr:uid="{00000000-0005-0000-0000-000018130000}"/>
    <cellStyle name="60% - Accent6 4" xfId="290" xr:uid="{00000000-0005-0000-0000-000081000000}"/>
    <cellStyle name="60% - Accent6 5" xfId="291" xr:uid="{00000000-0005-0000-0000-000082000000}"/>
    <cellStyle name="60% - Accent6 6" xfId="292" xr:uid="{00000000-0005-0000-0000-000083000000}"/>
    <cellStyle name="60% - Accent6 7" xfId="293" xr:uid="{00000000-0005-0000-0000-000084000000}"/>
    <cellStyle name="60% - Accent6 8" xfId="8035" xr:uid="{00000000-0005-0000-0000-00001D130000}"/>
    <cellStyle name="60% - Accent6 9" xfId="8036" xr:uid="{00000000-0005-0000-0000-00001E130000}"/>
    <cellStyle name="Accent1" xfId="81" builtinId="29" customBuiltin="1"/>
    <cellStyle name="Accent1 - 20%" xfId="294" xr:uid="{00000000-0005-0000-0000-000085000000}"/>
    <cellStyle name="Accent1 - 20% 2" xfId="8038" xr:uid="{00000000-0005-0000-0000-000020130000}"/>
    <cellStyle name="Accent1 - 20% 3" xfId="8039" xr:uid="{00000000-0005-0000-0000-000021130000}"/>
    <cellStyle name="Accent1 - 20% 3 2" xfId="8040" xr:uid="{00000000-0005-0000-0000-000022130000}"/>
    <cellStyle name="Accent1 - 20% 3 3" xfId="8041" xr:uid="{00000000-0005-0000-0000-000023130000}"/>
    <cellStyle name="Accent1 - 20% 4" xfId="8037" xr:uid="{00000000-0005-0000-0000-00001F130000}"/>
    <cellStyle name="Accent1 - 40%" xfId="295" xr:uid="{00000000-0005-0000-0000-000086000000}"/>
    <cellStyle name="Accent1 - 40% 2" xfId="8043" xr:uid="{00000000-0005-0000-0000-000025130000}"/>
    <cellStyle name="Accent1 - 40% 3" xfId="8044" xr:uid="{00000000-0005-0000-0000-000026130000}"/>
    <cellStyle name="Accent1 - 40% 3 2" xfId="8045" xr:uid="{00000000-0005-0000-0000-000027130000}"/>
    <cellStyle name="Accent1 - 40% 3 3" xfId="8046" xr:uid="{00000000-0005-0000-0000-000028130000}"/>
    <cellStyle name="Accent1 - 40% 4" xfId="8042" xr:uid="{00000000-0005-0000-0000-000024130000}"/>
    <cellStyle name="Accent1 - 60%" xfId="296" xr:uid="{00000000-0005-0000-0000-000087000000}"/>
    <cellStyle name="Accent1 - 60% 2" xfId="8048" xr:uid="{00000000-0005-0000-0000-00002A130000}"/>
    <cellStyle name="Accent1 - 60% 2 2" xfId="8049" xr:uid="{00000000-0005-0000-0000-00002B130000}"/>
    <cellStyle name="Accent1 - 60% 2 3" xfId="8050" xr:uid="{00000000-0005-0000-0000-00002C130000}"/>
    <cellStyle name="Accent1 - 60% 3" xfId="8047" xr:uid="{00000000-0005-0000-0000-000029130000}"/>
    <cellStyle name="Accent1 10" xfId="8051" xr:uid="{00000000-0005-0000-0000-00002D130000}"/>
    <cellStyle name="Accent1 11" xfId="8052" xr:uid="{00000000-0005-0000-0000-00002E130000}"/>
    <cellStyle name="Accent1 12" xfId="8053" xr:uid="{00000000-0005-0000-0000-00002F130000}"/>
    <cellStyle name="Accent1 13" xfId="8054" xr:uid="{00000000-0005-0000-0000-000030130000}"/>
    <cellStyle name="Accent1 14" xfId="8055" xr:uid="{00000000-0005-0000-0000-000031130000}"/>
    <cellStyle name="Accent1 15" xfId="8056" xr:uid="{00000000-0005-0000-0000-000032130000}"/>
    <cellStyle name="Accent1 16" xfId="8057" xr:uid="{00000000-0005-0000-0000-000033130000}"/>
    <cellStyle name="Accent1 17" xfId="8058" xr:uid="{00000000-0005-0000-0000-000034130000}"/>
    <cellStyle name="Accent1 18" xfId="8059" xr:uid="{00000000-0005-0000-0000-000035130000}"/>
    <cellStyle name="Accent1 19" xfId="8060" xr:uid="{00000000-0005-0000-0000-000036130000}"/>
    <cellStyle name="Accent1 2" xfId="297" xr:uid="{00000000-0005-0000-0000-000088000000}"/>
    <cellStyle name="Accent1 2 2" xfId="8062" xr:uid="{00000000-0005-0000-0000-000038130000}"/>
    <cellStyle name="Accent1 2 2 2" xfId="8063" xr:uid="{00000000-0005-0000-0000-000039130000}"/>
    <cellStyle name="Accent1 2 3" xfId="8064" xr:uid="{00000000-0005-0000-0000-00003A130000}"/>
    <cellStyle name="Accent1 2 4" xfId="8061" xr:uid="{00000000-0005-0000-0000-000037130000}"/>
    <cellStyle name="Accent1 20" xfId="8065" xr:uid="{00000000-0005-0000-0000-00003B130000}"/>
    <cellStyle name="Accent1 21" xfId="8066" xr:uid="{00000000-0005-0000-0000-00003C130000}"/>
    <cellStyle name="Accent1 22" xfId="8067" xr:uid="{00000000-0005-0000-0000-00003D130000}"/>
    <cellStyle name="Accent1 23" xfId="8068" xr:uid="{00000000-0005-0000-0000-00003E130000}"/>
    <cellStyle name="Accent1 24" xfId="8069" xr:uid="{00000000-0005-0000-0000-00003F130000}"/>
    <cellStyle name="Accent1 24 2" xfId="8070" xr:uid="{00000000-0005-0000-0000-000040130000}"/>
    <cellStyle name="Accent1 24 3" xfId="8071" xr:uid="{00000000-0005-0000-0000-000041130000}"/>
    <cellStyle name="Accent1 25" xfId="8072" xr:uid="{00000000-0005-0000-0000-000042130000}"/>
    <cellStyle name="Accent1 25 2" xfId="8073" xr:uid="{00000000-0005-0000-0000-000043130000}"/>
    <cellStyle name="Accent1 25 3" xfId="8074" xr:uid="{00000000-0005-0000-0000-000044130000}"/>
    <cellStyle name="Accent1 26" xfId="8075" xr:uid="{00000000-0005-0000-0000-000045130000}"/>
    <cellStyle name="Accent1 26 2" xfId="8076" xr:uid="{00000000-0005-0000-0000-000046130000}"/>
    <cellStyle name="Accent1 26 3" xfId="8077" xr:uid="{00000000-0005-0000-0000-000047130000}"/>
    <cellStyle name="Accent1 27" xfId="8078" xr:uid="{00000000-0005-0000-0000-000048130000}"/>
    <cellStyle name="Accent1 27 2" xfId="8079" xr:uid="{00000000-0005-0000-0000-000049130000}"/>
    <cellStyle name="Accent1 27 3" xfId="8080" xr:uid="{00000000-0005-0000-0000-00004A130000}"/>
    <cellStyle name="Accent1 28" xfId="8081" xr:uid="{00000000-0005-0000-0000-00004B130000}"/>
    <cellStyle name="Accent1 28 2" xfId="8082" xr:uid="{00000000-0005-0000-0000-00004C130000}"/>
    <cellStyle name="Accent1 28 3" xfId="8083" xr:uid="{00000000-0005-0000-0000-00004D130000}"/>
    <cellStyle name="Accent1 29" xfId="8084" xr:uid="{00000000-0005-0000-0000-00004E130000}"/>
    <cellStyle name="Accent1 29 2" xfId="8085" xr:uid="{00000000-0005-0000-0000-00004F130000}"/>
    <cellStyle name="Accent1 29 3" xfId="8086" xr:uid="{00000000-0005-0000-0000-000050130000}"/>
    <cellStyle name="Accent1 3" xfId="298" xr:uid="{00000000-0005-0000-0000-000089000000}"/>
    <cellStyle name="Accent1 3 2" xfId="8088" xr:uid="{00000000-0005-0000-0000-000052130000}"/>
    <cellStyle name="Accent1 3 3" xfId="8089" xr:uid="{00000000-0005-0000-0000-000053130000}"/>
    <cellStyle name="Accent1 3 4" xfId="8087" xr:uid="{00000000-0005-0000-0000-000051130000}"/>
    <cellStyle name="Accent1 30" xfId="8090" xr:uid="{00000000-0005-0000-0000-000054130000}"/>
    <cellStyle name="Accent1 31" xfId="8091" xr:uid="{00000000-0005-0000-0000-000055130000}"/>
    <cellStyle name="Accent1 31 2" xfId="8092" xr:uid="{00000000-0005-0000-0000-000056130000}"/>
    <cellStyle name="Accent1 32" xfId="8093" xr:uid="{00000000-0005-0000-0000-000057130000}"/>
    <cellStyle name="Accent1 33" xfId="8094" xr:uid="{00000000-0005-0000-0000-000058130000}"/>
    <cellStyle name="Accent1 34" xfId="8095" xr:uid="{00000000-0005-0000-0000-000059130000}"/>
    <cellStyle name="Accent1 35" xfId="8096" xr:uid="{00000000-0005-0000-0000-00005A130000}"/>
    <cellStyle name="Accent1 36" xfId="8097" xr:uid="{00000000-0005-0000-0000-00005B130000}"/>
    <cellStyle name="Accent1 37" xfId="8098" xr:uid="{00000000-0005-0000-0000-00005C130000}"/>
    <cellStyle name="Accent1 38" xfId="8099" xr:uid="{00000000-0005-0000-0000-00005D130000}"/>
    <cellStyle name="Accent1 39" xfId="8100" xr:uid="{00000000-0005-0000-0000-00005E130000}"/>
    <cellStyle name="Accent1 4" xfId="299" xr:uid="{00000000-0005-0000-0000-00008A000000}"/>
    <cellStyle name="Accent1 4 2" xfId="8102" xr:uid="{00000000-0005-0000-0000-000060130000}"/>
    <cellStyle name="Accent1 4 3" xfId="8103" xr:uid="{00000000-0005-0000-0000-000061130000}"/>
    <cellStyle name="Accent1 4 4" xfId="8101" xr:uid="{00000000-0005-0000-0000-00005F130000}"/>
    <cellStyle name="Accent1 40" xfId="8104" xr:uid="{00000000-0005-0000-0000-000062130000}"/>
    <cellStyle name="Accent1 41" xfId="8105" xr:uid="{00000000-0005-0000-0000-000063130000}"/>
    <cellStyle name="Accent1 42" xfId="8106" xr:uid="{00000000-0005-0000-0000-000064130000}"/>
    <cellStyle name="Accent1 43" xfId="8107" xr:uid="{00000000-0005-0000-0000-000065130000}"/>
    <cellStyle name="Accent1 44" xfId="8108" xr:uid="{00000000-0005-0000-0000-000066130000}"/>
    <cellStyle name="Accent1 45" xfId="8109" xr:uid="{00000000-0005-0000-0000-000067130000}"/>
    <cellStyle name="Accent1 46" xfId="8110" xr:uid="{00000000-0005-0000-0000-000068130000}"/>
    <cellStyle name="Accent1 47" xfId="8111" xr:uid="{00000000-0005-0000-0000-000069130000}"/>
    <cellStyle name="Accent1 48" xfId="8112" xr:uid="{00000000-0005-0000-0000-00006A130000}"/>
    <cellStyle name="Accent1 49" xfId="8113" xr:uid="{00000000-0005-0000-0000-00006B130000}"/>
    <cellStyle name="Accent1 5" xfId="300" xr:uid="{00000000-0005-0000-0000-00008B000000}"/>
    <cellStyle name="Accent1 5 2" xfId="8115" xr:uid="{00000000-0005-0000-0000-00006D130000}"/>
    <cellStyle name="Accent1 5 3" xfId="8116" xr:uid="{00000000-0005-0000-0000-00006E130000}"/>
    <cellStyle name="Accent1 5 4" xfId="8114" xr:uid="{00000000-0005-0000-0000-00006C130000}"/>
    <cellStyle name="Accent1 50" xfId="8117" xr:uid="{00000000-0005-0000-0000-00006F130000}"/>
    <cellStyle name="Accent1 51" xfId="8118" xr:uid="{00000000-0005-0000-0000-000070130000}"/>
    <cellStyle name="Accent1 52" xfId="8119" xr:uid="{00000000-0005-0000-0000-000071130000}"/>
    <cellStyle name="Accent1 53" xfId="8120" xr:uid="{00000000-0005-0000-0000-000072130000}"/>
    <cellStyle name="Accent1 54" xfId="8121" xr:uid="{00000000-0005-0000-0000-000073130000}"/>
    <cellStyle name="Accent1 55" xfId="8122" xr:uid="{00000000-0005-0000-0000-000074130000}"/>
    <cellStyle name="Accent1 56" xfId="8123" xr:uid="{00000000-0005-0000-0000-000075130000}"/>
    <cellStyle name="Accent1 57" xfId="8124" xr:uid="{00000000-0005-0000-0000-000076130000}"/>
    <cellStyle name="Accent1 58" xfId="8125" xr:uid="{00000000-0005-0000-0000-000077130000}"/>
    <cellStyle name="Accent1 59" xfId="8126" xr:uid="{00000000-0005-0000-0000-000078130000}"/>
    <cellStyle name="Accent1 6" xfId="301" xr:uid="{00000000-0005-0000-0000-00008C000000}"/>
    <cellStyle name="Accent1 6 2" xfId="8128" xr:uid="{00000000-0005-0000-0000-00007A130000}"/>
    <cellStyle name="Accent1 6 3" xfId="8129" xr:uid="{00000000-0005-0000-0000-00007B130000}"/>
    <cellStyle name="Accent1 6 4" xfId="8127" xr:uid="{00000000-0005-0000-0000-000079130000}"/>
    <cellStyle name="Accent1 60" xfId="8130" xr:uid="{00000000-0005-0000-0000-00007C130000}"/>
    <cellStyle name="Accent1 7" xfId="302" xr:uid="{00000000-0005-0000-0000-00008D000000}"/>
    <cellStyle name="Accent1 7 2" xfId="8132" xr:uid="{00000000-0005-0000-0000-00007E130000}"/>
    <cellStyle name="Accent1 7 3" xfId="8131" xr:uid="{00000000-0005-0000-0000-00007D130000}"/>
    <cellStyle name="Accent1 8" xfId="8133" xr:uid="{00000000-0005-0000-0000-00007F130000}"/>
    <cellStyle name="Accent1 9" xfId="8134" xr:uid="{00000000-0005-0000-0000-000080130000}"/>
    <cellStyle name="Accent2" xfId="85" builtinId="33" customBuiltin="1"/>
    <cellStyle name="Accent2 - 20%" xfId="303" xr:uid="{00000000-0005-0000-0000-00008E000000}"/>
    <cellStyle name="Accent2 - 20% 2" xfId="8136" xr:uid="{00000000-0005-0000-0000-000082130000}"/>
    <cellStyle name="Accent2 - 20% 3" xfId="8137" xr:uid="{00000000-0005-0000-0000-000083130000}"/>
    <cellStyle name="Accent2 - 20% 3 2" xfId="8138" xr:uid="{00000000-0005-0000-0000-000084130000}"/>
    <cellStyle name="Accent2 - 20% 3 3" xfId="8139" xr:uid="{00000000-0005-0000-0000-000085130000}"/>
    <cellStyle name="Accent2 - 20% 4" xfId="8135" xr:uid="{00000000-0005-0000-0000-000081130000}"/>
    <cellStyle name="Accent2 - 40%" xfId="304" xr:uid="{00000000-0005-0000-0000-00008F000000}"/>
    <cellStyle name="Accent2 - 40% 2" xfId="8141" xr:uid="{00000000-0005-0000-0000-000087130000}"/>
    <cellStyle name="Accent2 - 40% 3" xfId="8142" xr:uid="{00000000-0005-0000-0000-000088130000}"/>
    <cellStyle name="Accent2 - 40% 3 2" xfId="8143" xr:uid="{00000000-0005-0000-0000-000089130000}"/>
    <cellStyle name="Accent2 - 40% 3 3" xfId="8144" xr:uid="{00000000-0005-0000-0000-00008A130000}"/>
    <cellStyle name="Accent2 - 40% 4" xfId="8140" xr:uid="{00000000-0005-0000-0000-000086130000}"/>
    <cellStyle name="Accent2 - 60%" xfId="305" xr:uid="{00000000-0005-0000-0000-000090000000}"/>
    <cellStyle name="Accent2 - 60% 2" xfId="8146" xr:uid="{00000000-0005-0000-0000-00008C130000}"/>
    <cellStyle name="Accent2 - 60% 2 2" xfId="8147" xr:uid="{00000000-0005-0000-0000-00008D130000}"/>
    <cellStyle name="Accent2 - 60% 2 3" xfId="8148" xr:uid="{00000000-0005-0000-0000-00008E130000}"/>
    <cellStyle name="Accent2 - 60% 3" xfId="8145" xr:uid="{00000000-0005-0000-0000-00008B130000}"/>
    <cellStyle name="Accent2 10" xfId="8149" xr:uid="{00000000-0005-0000-0000-00008F130000}"/>
    <cellStyle name="Accent2 11" xfId="8150" xr:uid="{00000000-0005-0000-0000-000090130000}"/>
    <cellStyle name="Accent2 12" xfId="8151" xr:uid="{00000000-0005-0000-0000-000091130000}"/>
    <cellStyle name="Accent2 13" xfId="8152" xr:uid="{00000000-0005-0000-0000-000092130000}"/>
    <cellStyle name="Accent2 14" xfId="8153" xr:uid="{00000000-0005-0000-0000-000093130000}"/>
    <cellStyle name="Accent2 15" xfId="8154" xr:uid="{00000000-0005-0000-0000-000094130000}"/>
    <cellStyle name="Accent2 16" xfId="8155" xr:uid="{00000000-0005-0000-0000-000095130000}"/>
    <cellStyle name="Accent2 17" xfId="8156" xr:uid="{00000000-0005-0000-0000-000096130000}"/>
    <cellStyle name="Accent2 18" xfId="8157" xr:uid="{00000000-0005-0000-0000-000097130000}"/>
    <cellStyle name="Accent2 19" xfId="8158" xr:uid="{00000000-0005-0000-0000-000098130000}"/>
    <cellStyle name="Accent2 2" xfId="306" xr:uid="{00000000-0005-0000-0000-000091000000}"/>
    <cellStyle name="Accent2 2 2" xfId="8160" xr:uid="{00000000-0005-0000-0000-00009A130000}"/>
    <cellStyle name="Accent2 2 2 2" xfId="8161" xr:uid="{00000000-0005-0000-0000-00009B130000}"/>
    <cellStyle name="Accent2 2 3" xfId="8162" xr:uid="{00000000-0005-0000-0000-00009C130000}"/>
    <cellStyle name="Accent2 2 4" xfId="8159" xr:uid="{00000000-0005-0000-0000-000099130000}"/>
    <cellStyle name="Accent2 20" xfId="8163" xr:uid="{00000000-0005-0000-0000-00009D130000}"/>
    <cellStyle name="Accent2 21" xfId="8164" xr:uid="{00000000-0005-0000-0000-00009E130000}"/>
    <cellStyle name="Accent2 22" xfId="8165" xr:uid="{00000000-0005-0000-0000-00009F130000}"/>
    <cellStyle name="Accent2 23" xfId="8166" xr:uid="{00000000-0005-0000-0000-0000A0130000}"/>
    <cellStyle name="Accent2 24" xfId="8167" xr:uid="{00000000-0005-0000-0000-0000A1130000}"/>
    <cellStyle name="Accent2 24 2" xfId="8168" xr:uid="{00000000-0005-0000-0000-0000A2130000}"/>
    <cellStyle name="Accent2 24 3" xfId="8169" xr:uid="{00000000-0005-0000-0000-0000A3130000}"/>
    <cellStyle name="Accent2 25" xfId="8170" xr:uid="{00000000-0005-0000-0000-0000A4130000}"/>
    <cellStyle name="Accent2 25 2" xfId="8171" xr:uid="{00000000-0005-0000-0000-0000A5130000}"/>
    <cellStyle name="Accent2 25 3" xfId="8172" xr:uid="{00000000-0005-0000-0000-0000A6130000}"/>
    <cellStyle name="Accent2 26" xfId="8173" xr:uid="{00000000-0005-0000-0000-0000A7130000}"/>
    <cellStyle name="Accent2 26 2" xfId="8174" xr:uid="{00000000-0005-0000-0000-0000A8130000}"/>
    <cellStyle name="Accent2 26 3" xfId="8175" xr:uid="{00000000-0005-0000-0000-0000A9130000}"/>
    <cellStyle name="Accent2 27" xfId="8176" xr:uid="{00000000-0005-0000-0000-0000AA130000}"/>
    <cellStyle name="Accent2 27 2" xfId="8177" xr:uid="{00000000-0005-0000-0000-0000AB130000}"/>
    <cellStyle name="Accent2 27 3" xfId="8178" xr:uid="{00000000-0005-0000-0000-0000AC130000}"/>
    <cellStyle name="Accent2 28" xfId="8179" xr:uid="{00000000-0005-0000-0000-0000AD130000}"/>
    <cellStyle name="Accent2 28 2" xfId="8180" xr:uid="{00000000-0005-0000-0000-0000AE130000}"/>
    <cellStyle name="Accent2 28 3" xfId="8181" xr:uid="{00000000-0005-0000-0000-0000AF130000}"/>
    <cellStyle name="Accent2 29" xfId="8182" xr:uid="{00000000-0005-0000-0000-0000B0130000}"/>
    <cellStyle name="Accent2 29 2" xfId="8183" xr:uid="{00000000-0005-0000-0000-0000B1130000}"/>
    <cellStyle name="Accent2 29 3" xfId="8184" xr:uid="{00000000-0005-0000-0000-0000B2130000}"/>
    <cellStyle name="Accent2 3" xfId="307" xr:uid="{00000000-0005-0000-0000-000092000000}"/>
    <cellStyle name="Accent2 3 2" xfId="8185" xr:uid="{00000000-0005-0000-0000-0000B4130000}"/>
    <cellStyle name="Accent2 30" xfId="8186" xr:uid="{00000000-0005-0000-0000-0000B5130000}"/>
    <cellStyle name="Accent2 31" xfId="8187" xr:uid="{00000000-0005-0000-0000-0000B6130000}"/>
    <cellStyle name="Accent2 31 2" xfId="8188" xr:uid="{00000000-0005-0000-0000-0000B7130000}"/>
    <cellStyle name="Accent2 32" xfId="8189" xr:uid="{00000000-0005-0000-0000-0000B8130000}"/>
    <cellStyle name="Accent2 33" xfId="8190" xr:uid="{00000000-0005-0000-0000-0000B9130000}"/>
    <cellStyle name="Accent2 34" xfId="8191" xr:uid="{00000000-0005-0000-0000-0000BA130000}"/>
    <cellStyle name="Accent2 35" xfId="8192" xr:uid="{00000000-0005-0000-0000-0000BB130000}"/>
    <cellStyle name="Accent2 36" xfId="8193" xr:uid="{00000000-0005-0000-0000-0000BC130000}"/>
    <cellStyle name="Accent2 37" xfId="8194" xr:uid="{00000000-0005-0000-0000-0000BD130000}"/>
    <cellStyle name="Accent2 38" xfId="8195" xr:uid="{00000000-0005-0000-0000-0000BE130000}"/>
    <cellStyle name="Accent2 39" xfId="8196" xr:uid="{00000000-0005-0000-0000-0000BF130000}"/>
    <cellStyle name="Accent2 4" xfId="308" xr:uid="{00000000-0005-0000-0000-000093000000}"/>
    <cellStyle name="Accent2 4 2" xfId="8197" xr:uid="{00000000-0005-0000-0000-0000C1130000}"/>
    <cellStyle name="Accent2 40" xfId="8198" xr:uid="{00000000-0005-0000-0000-0000C2130000}"/>
    <cellStyle name="Accent2 41" xfId="8199" xr:uid="{00000000-0005-0000-0000-0000C3130000}"/>
    <cellStyle name="Accent2 42" xfId="8200" xr:uid="{00000000-0005-0000-0000-0000C4130000}"/>
    <cellStyle name="Accent2 43" xfId="8201" xr:uid="{00000000-0005-0000-0000-0000C5130000}"/>
    <cellStyle name="Accent2 44" xfId="8202" xr:uid="{00000000-0005-0000-0000-0000C6130000}"/>
    <cellStyle name="Accent2 45" xfId="8203" xr:uid="{00000000-0005-0000-0000-0000C7130000}"/>
    <cellStyle name="Accent2 46" xfId="8204" xr:uid="{00000000-0005-0000-0000-0000C8130000}"/>
    <cellStyle name="Accent2 47" xfId="8205" xr:uid="{00000000-0005-0000-0000-0000C9130000}"/>
    <cellStyle name="Accent2 48" xfId="8206" xr:uid="{00000000-0005-0000-0000-0000CA130000}"/>
    <cellStyle name="Accent2 49" xfId="8207" xr:uid="{00000000-0005-0000-0000-0000CB130000}"/>
    <cellStyle name="Accent2 5" xfId="309" xr:uid="{00000000-0005-0000-0000-000094000000}"/>
    <cellStyle name="Accent2 5 2" xfId="8208" xr:uid="{00000000-0005-0000-0000-0000CD130000}"/>
    <cellStyle name="Accent2 50" xfId="8209" xr:uid="{00000000-0005-0000-0000-0000CE130000}"/>
    <cellStyle name="Accent2 51" xfId="8210" xr:uid="{00000000-0005-0000-0000-0000CF130000}"/>
    <cellStyle name="Accent2 52" xfId="8211" xr:uid="{00000000-0005-0000-0000-0000D0130000}"/>
    <cellStyle name="Accent2 53" xfId="8212" xr:uid="{00000000-0005-0000-0000-0000D1130000}"/>
    <cellStyle name="Accent2 54" xfId="8213" xr:uid="{00000000-0005-0000-0000-0000D2130000}"/>
    <cellStyle name="Accent2 55" xfId="8214" xr:uid="{00000000-0005-0000-0000-0000D3130000}"/>
    <cellStyle name="Accent2 56" xfId="8215" xr:uid="{00000000-0005-0000-0000-0000D4130000}"/>
    <cellStyle name="Accent2 57" xfId="8216" xr:uid="{00000000-0005-0000-0000-0000D5130000}"/>
    <cellStyle name="Accent2 58" xfId="8217" xr:uid="{00000000-0005-0000-0000-0000D6130000}"/>
    <cellStyle name="Accent2 59" xfId="8218" xr:uid="{00000000-0005-0000-0000-0000D7130000}"/>
    <cellStyle name="Accent2 6" xfId="310" xr:uid="{00000000-0005-0000-0000-000095000000}"/>
    <cellStyle name="Accent2 6 2" xfId="8219" xr:uid="{00000000-0005-0000-0000-0000D9130000}"/>
    <cellStyle name="Accent2 60" xfId="8220" xr:uid="{00000000-0005-0000-0000-0000DA130000}"/>
    <cellStyle name="Accent2 7" xfId="311" xr:uid="{00000000-0005-0000-0000-000096000000}"/>
    <cellStyle name="Accent2 7 2" xfId="8222" xr:uid="{00000000-0005-0000-0000-0000DC130000}"/>
    <cellStyle name="Accent2 7 3" xfId="8221" xr:uid="{00000000-0005-0000-0000-0000DB130000}"/>
    <cellStyle name="Accent2 8" xfId="8223" xr:uid="{00000000-0005-0000-0000-0000DD130000}"/>
    <cellStyle name="Accent2 9" xfId="8224" xr:uid="{00000000-0005-0000-0000-0000DE130000}"/>
    <cellStyle name="Accent3" xfId="89" builtinId="37" customBuiltin="1"/>
    <cellStyle name="Accent3 - 20%" xfId="312" xr:uid="{00000000-0005-0000-0000-000097000000}"/>
    <cellStyle name="Accent3 - 20% 2" xfId="8226" xr:uid="{00000000-0005-0000-0000-0000E0130000}"/>
    <cellStyle name="Accent3 - 20% 3" xfId="8227" xr:uid="{00000000-0005-0000-0000-0000E1130000}"/>
    <cellStyle name="Accent3 - 20% 3 2" xfId="8228" xr:uid="{00000000-0005-0000-0000-0000E2130000}"/>
    <cellStyle name="Accent3 - 20% 3 3" xfId="8229" xr:uid="{00000000-0005-0000-0000-0000E3130000}"/>
    <cellStyle name="Accent3 - 20% 4" xfId="8225" xr:uid="{00000000-0005-0000-0000-0000DF130000}"/>
    <cellStyle name="Accent3 - 40%" xfId="313" xr:uid="{00000000-0005-0000-0000-000098000000}"/>
    <cellStyle name="Accent3 - 40% 2" xfId="8231" xr:uid="{00000000-0005-0000-0000-0000E5130000}"/>
    <cellStyle name="Accent3 - 40% 3" xfId="8232" xr:uid="{00000000-0005-0000-0000-0000E6130000}"/>
    <cellStyle name="Accent3 - 40% 3 2" xfId="8233" xr:uid="{00000000-0005-0000-0000-0000E7130000}"/>
    <cellStyle name="Accent3 - 40% 3 3" xfId="8234" xr:uid="{00000000-0005-0000-0000-0000E8130000}"/>
    <cellStyle name="Accent3 - 40% 4" xfId="8230" xr:uid="{00000000-0005-0000-0000-0000E4130000}"/>
    <cellStyle name="Accent3 - 60%" xfId="314" xr:uid="{00000000-0005-0000-0000-000099000000}"/>
    <cellStyle name="Accent3 - 60% 2" xfId="8236" xr:uid="{00000000-0005-0000-0000-0000EA130000}"/>
    <cellStyle name="Accent3 - 60% 2 2" xfId="8237" xr:uid="{00000000-0005-0000-0000-0000EB130000}"/>
    <cellStyle name="Accent3 - 60% 2 3" xfId="8238" xr:uid="{00000000-0005-0000-0000-0000EC130000}"/>
    <cellStyle name="Accent3 - 60% 3" xfId="8235" xr:uid="{00000000-0005-0000-0000-0000E9130000}"/>
    <cellStyle name="Accent3 10" xfId="8239" xr:uid="{00000000-0005-0000-0000-0000ED130000}"/>
    <cellStyle name="Accent3 11" xfId="8240" xr:uid="{00000000-0005-0000-0000-0000EE130000}"/>
    <cellStyle name="Accent3 12" xfId="8241" xr:uid="{00000000-0005-0000-0000-0000EF130000}"/>
    <cellStyle name="Accent3 13" xfId="8242" xr:uid="{00000000-0005-0000-0000-0000F0130000}"/>
    <cellStyle name="Accent3 14" xfId="8243" xr:uid="{00000000-0005-0000-0000-0000F1130000}"/>
    <cellStyle name="Accent3 15" xfId="8244" xr:uid="{00000000-0005-0000-0000-0000F2130000}"/>
    <cellStyle name="Accent3 16" xfId="8245" xr:uid="{00000000-0005-0000-0000-0000F3130000}"/>
    <cellStyle name="Accent3 17" xfId="8246" xr:uid="{00000000-0005-0000-0000-0000F4130000}"/>
    <cellStyle name="Accent3 18" xfId="8247" xr:uid="{00000000-0005-0000-0000-0000F5130000}"/>
    <cellStyle name="Accent3 19" xfId="8248" xr:uid="{00000000-0005-0000-0000-0000F6130000}"/>
    <cellStyle name="Accent3 2" xfId="315" xr:uid="{00000000-0005-0000-0000-00009A000000}"/>
    <cellStyle name="Accent3 2 2" xfId="8250" xr:uid="{00000000-0005-0000-0000-0000F8130000}"/>
    <cellStyle name="Accent3 2 2 2" xfId="8251" xr:uid="{00000000-0005-0000-0000-0000F9130000}"/>
    <cellStyle name="Accent3 2 3" xfId="8252" xr:uid="{00000000-0005-0000-0000-0000FA130000}"/>
    <cellStyle name="Accent3 2 4" xfId="8249" xr:uid="{00000000-0005-0000-0000-0000F7130000}"/>
    <cellStyle name="Accent3 20" xfId="8253" xr:uid="{00000000-0005-0000-0000-0000FB130000}"/>
    <cellStyle name="Accent3 21" xfId="8254" xr:uid="{00000000-0005-0000-0000-0000FC130000}"/>
    <cellStyle name="Accent3 22" xfId="8255" xr:uid="{00000000-0005-0000-0000-0000FD130000}"/>
    <cellStyle name="Accent3 23" xfId="8256" xr:uid="{00000000-0005-0000-0000-0000FE130000}"/>
    <cellStyle name="Accent3 24" xfId="8257" xr:uid="{00000000-0005-0000-0000-0000FF130000}"/>
    <cellStyle name="Accent3 24 2" xfId="8258" xr:uid="{00000000-0005-0000-0000-000000140000}"/>
    <cellStyle name="Accent3 24 3" xfId="8259" xr:uid="{00000000-0005-0000-0000-000001140000}"/>
    <cellStyle name="Accent3 25" xfId="8260" xr:uid="{00000000-0005-0000-0000-000002140000}"/>
    <cellStyle name="Accent3 25 2" xfId="8261" xr:uid="{00000000-0005-0000-0000-000003140000}"/>
    <cellStyle name="Accent3 25 3" xfId="8262" xr:uid="{00000000-0005-0000-0000-000004140000}"/>
    <cellStyle name="Accent3 26" xfId="8263" xr:uid="{00000000-0005-0000-0000-000005140000}"/>
    <cellStyle name="Accent3 26 2" xfId="8264" xr:uid="{00000000-0005-0000-0000-000006140000}"/>
    <cellStyle name="Accent3 26 3" xfId="8265" xr:uid="{00000000-0005-0000-0000-000007140000}"/>
    <cellStyle name="Accent3 27" xfId="8266" xr:uid="{00000000-0005-0000-0000-000008140000}"/>
    <cellStyle name="Accent3 27 2" xfId="8267" xr:uid="{00000000-0005-0000-0000-000009140000}"/>
    <cellStyle name="Accent3 27 3" xfId="8268" xr:uid="{00000000-0005-0000-0000-00000A140000}"/>
    <cellStyle name="Accent3 28" xfId="8269" xr:uid="{00000000-0005-0000-0000-00000B140000}"/>
    <cellStyle name="Accent3 28 2" xfId="8270" xr:uid="{00000000-0005-0000-0000-00000C140000}"/>
    <cellStyle name="Accent3 28 3" xfId="8271" xr:uid="{00000000-0005-0000-0000-00000D140000}"/>
    <cellStyle name="Accent3 29" xfId="8272" xr:uid="{00000000-0005-0000-0000-00000E140000}"/>
    <cellStyle name="Accent3 29 2" xfId="8273" xr:uid="{00000000-0005-0000-0000-00000F140000}"/>
    <cellStyle name="Accent3 29 3" xfId="8274" xr:uid="{00000000-0005-0000-0000-000010140000}"/>
    <cellStyle name="Accent3 3" xfId="316" xr:uid="{00000000-0005-0000-0000-00009B000000}"/>
    <cellStyle name="Accent3 3 2" xfId="8275" xr:uid="{00000000-0005-0000-0000-000012140000}"/>
    <cellStyle name="Accent3 30" xfId="8276" xr:uid="{00000000-0005-0000-0000-000013140000}"/>
    <cellStyle name="Accent3 31" xfId="8277" xr:uid="{00000000-0005-0000-0000-000014140000}"/>
    <cellStyle name="Accent3 31 2" xfId="8278" xr:uid="{00000000-0005-0000-0000-000015140000}"/>
    <cellStyle name="Accent3 32" xfId="8279" xr:uid="{00000000-0005-0000-0000-000016140000}"/>
    <cellStyle name="Accent3 33" xfId="8280" xr:uid="{00000000-0005-0000-0000-000017140000}"/>
    <cellStyle name="Accent3 34" xfId="8281" xr:uid="{00000000-0005-0000-0000-000018140000}"/>
    <cellStyle name="Accent3 35" xfId="8282" xr:uid="{00000000-0005-0000-0000-000019140000}"/>
    <cellStyle name="Accent3 36" xfId="8283" xr:uid="{00000000-0005-0000-0000-00001A140000}"/>
    <cellStyle name="Accent3 37" xfId="8284" xr:uid="{00000000-0005-0000-0000-00001B140000}"/>
    <cellStyle name="Accent3 38" xfId="8285" xr:uid="{00000000-0005-0000-0000-00001C140000}"/>
    <cellStyle name="Accent3 39" xfId="8286" xr:uid="{00000000-0005-0000-0000-00001D140000}"/>
    <cellStyle name="Accent3 4" xfId="317" xr:uid="{00000000-0005-0000-0000-00009C000000}"/>
    <cellStyle name="Accent3 4 2" xfId="8287" xr:uid="{00000000-0005-0000-0000-00001F140000}"/>
    <cellStyle name="Accent3 40" xfId="8288" xr:uid="{00000000-0005-0000-0000-000020140000}"/>
    <cellStyle name="Accent3 41" xfId="8289" xr:uid="{00000000-0005-0000-0000-000021140000}"/>
    <cellStyle name="Accent3 42" xfId="8290" xr:uid="{00000000-0005-0000-0000-000022140000}"/>
    <cellStyle name="Accent3 43" xfId="8291" xr:uid="{00000000-0005-0000-0000-000023140000}"/>
    <cellStyle name="Accent3 44" xfId="8292" xr:uid="{00000000-0005-0000-0000-000024140000}"/>
    <cellStyle name="Accent3 45" xfId="8293" xr:uid="{00000000-0005-0000-0000-000025140000}"/>
    <cellStyle name="Accent3 46" xfId="8294" xr:uid="{00000000-0005-0000-0000-000026140000}"/>
    <cellStyle name="Accent3 47" xfId="8295" xr:uid="{00000000-0005-0000-0000-000027140000}"/>
    <cellStyle name="Accent3 48" xfId="8296" xr:uid="{00000000-0005-0000-0000-000028140000}"/>
    <cellStyle name="Accent3 49" xfId="8297" xr:uid="{00000000-0005-0000-0000-000029140000}"/>
    <cellStyle name="Accent3 5" xfId="318" xr:uid="{00000000-0005-0000-0000-00009D000000}"/>
    <cellStyle name="Accent3 5 2" xfId="8298" xr:uid="{00000000-0005-0000-0000-00002B140000}"/>
    <cellStyle name="Accent3 50" xfId="8299" xr:uid="{00000000-0005-0000-0000-00002C140000}"/>
    <cellStyle name="Accent3 51" xfId="8300" xr:uid="{00000000-0005-0000-0000-00002D140000}"/>
    <cellStyle name="Accent3 52" xfId="8301" xr:uid="{00000000-0005-0000-0000-00002E140000}"/>
    <cellStyle name="Accent3 53" xfId="8302" xr:uid="{00000000-0005-0000-0000-00002F140000}"/>
    <cellStyle name="Accent3 54" xfId="8303" xr:uid="{00000000-0005-0000-0000-000030140000}"/>
    <cellStyle name="Accent3 55" xfId="8304" xr:uid="{00000000-0005-0000-0000-000031140000}"/>
    <cellStyle name="Accent3 56" xfId="8305" xr:uid="{00000000-0005-0000-0000-000032140000}"/>
    <cellStyle name="Accent3 57" xfId="8306" xr:uid="{00000000-0005-0000-0000-000033140000}"/>
    <cellStyle name="Accent3 58" xfId="8307" xr:uid="{00000000-0005-0000-0000-000034140000}"/>
    <cellStyle name="Accent3 59" xfId="8308" xr:uid="{00000000-0005-0000-0000-000035140000}"/>
    <cellStyle name="Accent3 6" xfId="319" xr:uid="{00000000-0005-0000-0000-00009E000000}"/>
    <cellStyle name="Accent3 6 2" xfId="8309" xr:uid="{00000000-0005-0000-0000-000037140000}"/>
    <cellStyle name="Accent3 60" xfId="8310" xr:uid="{00000000-0005-0000-0000-000038140000}"/>
    <cellStyle name="Accent3 7" xfId="320" xr:uid="{00000000-0005-0000-0000-00009F000000}"/>
    <cellStyle name="Accent3 7 2" xfId="8312" xr:uid="{00000000-0005-0000-0000-00003A140000}"/>
    <cellStyle name="Accent3 7 3" xfId="8311" xr:uid="{00000000-0005-0000-0000-000039140000}"/>
    <cellStyle name="Accent3 8" xfId="8313" xr:uid="{00000000-0005-0000-0000-00003B140000}"/>
    <cellStyle name="Accent3 9" xfId="8314" xr:uid="{00000000-0005-0000-0000-00003C140000}"/>
    <cellStyle name="Accent4" xfId="93" builtinId="41" customBuiltin="1"/>
    <cellStyle name="Accent4 - 20%" xfId="321" xr:uid="{00000000-0005-0000-0000-0000A0000000}"/>
    <cellStyle name="Accent4 - 20% 2" xfId="8316" xr:uid="{00000000-0005-0000-0000-00003E140000}"/>
    <cellStyle name="Accent4 - 20% 3" xfId="8317" xr:uid="{00000000-0005-0000-0000-00003F140000}"/>
    <cellStyle name="Accent4 - 20% 3 2" xfId="8318" xr:uid="{00000000-0005-0000-0000-000040140000}"/>
    <cellStyle name="Accent4 - 20% 3 3" xfId="8319" xr:uid="{00000000-0005-0000-0000-000041140000}"/>
    <cellStyle name="Accent4 - 20% 4" xfId="8315" xr:uid="{00000000-0005-0000-0000-00003D140000}"/>
    <cellStyle name="Accent4 - 40%" xfId="322" xr:uid="{00000000-0005-0000-0000-0000A1000000}"/>
    <cellStyle name="Accent4 - 40% 2" xfId="8321" xr:uid="{00000000-0005-0000-0000-000043140000}"/>
    <cellStyle name="Accent4 - 40% 3" xfId="8322" xr:uid="{00000000-0005-0000-0000-000044140000}"/>
    <cellStyle name="Accent4 - 40% 3 2" xfId="8323" xr:uid="{00000000-0005-0000-0000-000045140000}"/>
    <cellStyle name="Accent4 - 40% 3 3" xfId="8324" xr:uid="{00000000-0005-0000-0000-000046140000}"/>
    <cellStyle name="Accent4 - 40% 4" xfId="8320" xr:uid="{00000000-0005-0000-0000-000042140000}"/>
    <cellStyle name="Accent4 - 60%" xfId="323" xr:uid="{00000000-0005-0000-0000-0000A2000000}"/>
    <cellStyle name="Accent4 - 60% 2" xfId="8326" xr:uid="{00000000-0005-0000-0000-000048140000}"/>
    <cellStyle name="Accent4 - 60% 2 2" xfId="8327" xr:uid="{00000000-0005-0000-0000-000049140000}"/>
    <cellStyle name="Accent4 - 60% 2 3" xfId="8328" xr:uid="{00000000-0005-0000-0000-00004A140000}"/>
    <cellStyle name="Accent4 - 60% 3" xfId="8325" xr:uid="{00000000-0005-0000-0000-000047140000}"/>
    <cellStyle name="Accent4 10" xfId="8329" xr:uid="{00000000-0005-0000-0000-00004B140000}"/>
    <cellStyle name="Accent4 11" xfId="8330" xr:uid="{00000000-0005-0000-0000-00004C140000}"/>
    <cellStyle name="Accent4 12" xfId="8331" xr:uid="{00000000-0005-0000-0000-00004D140000}"/>
    <cellStyle name="Accent4 13" xfId="8332" xr:uid="{00000000-0005-0000-0000-00004E140000}"/>
    <cellStyle name="Accent4 14" xfId="8333" xr:uid="{00000000-0005-0000-0000-00004F140000}"/>
    <cellStyle name="Accent4 15" xfId="8334" xr:uid="{00000000-0005-0000-0000-000050140000}"/>
    <cellStyle name="Accent4 16" xfId="8335" xr:uid="{00000000-0005-0000-0000-000051140000}"/>
    <cellStyle name="Accent4 17" xfId="8336" xr:uid="{00000000-0005-0000-0000-000052140000}"/>
    <cellStyle name="Accent4 18" xfId="8337" xr:uid="{00000000-0005-0000-0000-000053140000}"/>
    <cellStyle name="Accent4 19" xfId="8338" xr:uid="{00000000-0005-0000-0000-000054140000}"/>
    <cellStyle name="Accent4 2" xfId="324" xr:uid="{00000000-0005-0000-0000-0000A3000000}"/>
    <cellStyle name="Accent4 2 2" xfId="8340" xr:uid="{00000000-0005-0000-0000-000056140000}"/>
    <cellStyle name="Accent4 2 2 2" xfId="8341" xr:uid="{00000000-0005-0000-0000-000057140000}"/>
    <cellStyle name="Accent4 2 3" xfId="8342" xr:uid="{00000000-0005-0000-0000-000058140000}"/>
    <cellStyle name="Accent4 2 4" xfId="8339" xr:uid="{00000000-0005-0000-0000-000055140000}"/>
    <cellStyle name="Accent4 20" xfId="8343" xr:uid="{00000000-0005-0000-0000-000059140000}"/>
    <cellStyle name="Accent4 21" xfId="8344" xr:uid="{00000000-0005-0000-0000-00005A140000}"/>
    <cellStyle name="Accent4 22" xfId="8345" xr:uid="{00000000-0005-0000-0000-00005B140000}"/>
    <cellStyle name="Accent4 23" xfId="8346" xr:uid="{00000000-0005-0000-0000-00005C140000}"/>
    <cellStyle name="Accent4 24" xfId="8347" xr:uid="{00000000-0005-0000-0000-00005D140000}"/>
    <cellStyle name="Accent4 24 2" xfId="8348" xr:uid="{00000000-0005-0000-0000-00005E140000}"/>
    <cellStyle name="Accent4 24 3" xfId="8349" xr:uid="{00000000-0005-0000-0000-00005F140000}"/>
    <cellStyle name="Accent4 25" xfId="8350" xr:uid="{00000000-0005-0000-0000-000060140000}"/>
    <cellStyle name="Accent4 25 2" xfId="8351" xr:uid="{00000000-0005-0000-0000-000061140000}"/>
    <cellStyle name="Accent4 25 3" xfId="8352" xr:uid="{00000000-0005-0000-0000-000062140000}"/>
    <cellStyle name="Accent4 26" xfId="8353" xr:uid="{00000000-0005-0000-0000-000063140000}"/>
    <cellStyle name="Accent4 26 2" xfId="8354" xr:uid="{00000000-0005-0000-0000-000064140000}"/>
    <cellStyle name="Accent4 26 3" xfId="8355" xr:uid="{00000000-0005-0000-0000-000065140000}"/>
    <cellStyle name="Accent4 27" xfId="8356" xr:uid="{00000000-0005-0000-0000-000066140000}"/>
    <cellStyle name="Accent4 27 2" xfId="8357" xr:uid="{00000000-0005-0000-0000-000067140000}"/>
    <cellStyle name="Accent4 27 3" xfId="8358" xr:uid="{00000000-0005-0000-0000-000068140000}"/>
    <cellStyle name="Accent4 28" xfId="8359" xr:uid="{00000000-0005-0000-0000-000069140000}"/>
    <cellStyle name="Accent4 28 2" xfId="8360" xr:uid="{00000000-0005-0000-0000-00006A140000}"/>
    <cellStyle name="Accent4 28 3" xfId="8361" xr:uid="{00000000-0005-0000-0000-00006B140000}"/>
    <cellStyle name="Accent4 29" xfId="8362" xr:uid="{00000000-0005-0000-0000-00006C140000}"/>
    <cellStyle name="Accent4 29 2" xfId="8363" xr:uid="{00000000-0005-0000-0000-00006D140000}"/>
    <cellStyle name="Accent4 29 3" xfId="8364" xr:uid="{00000000-0005-0000-0000-00006E140000}"/>
    <cellStyle name="Accent4 3" xfId="325" xr:uid="{00000000-0005-0000-0000-0000A4000000}"/>
    <cellStyle name="Accent4 3 2" xfId="8366" xr:uid="{00000000-0005-0000-0000-000070140000}"/>
    <cellStyle name="Accent4 3 3" xfId="8367" xr:uid="{00000000-0005-0000-0000-000071140000}"/>
    <cellStyle name="Accent4 3 4" xfId="8365" xr:uid="{00000000-0005-0000-0000-00006F140000}"/>
    <cellStyle name="Accent4 30" xfId="8368" xr:uid="{00000000-0005-0000-0000-000072140000}"/>
    <cellStyle name="Accent4 31" xfId="8369" xr:uid="{00000000-0005-0000-0000-000073140000}"/>
    <cellStyle name="Accent4 31 2" xfId="8370" xr:uid="{00000000-0005-0000-0000-000074140000}"/>
    <cellStyle name="Accent4 32" xfId="8371" xr:uid="{00000000-0005-0000-0000-000075140000}"/>
    <cellStyle name="Accent4 33" xfId="8372" xr:uid="{00000000-0005-0000-0000-000076140000}"/>
    <cellStyle name="Accent4 34" xfId="8373" xr:uid="{00000000-0005-0000-0000-000077140000}"/>
    <cellStyle name="Accent4 35" xfId="8374" xr:uid="{00000000-0005-0000-0000-000078140000}"/>
    <cellStyle name="Accent4 36" xfId="8375" xr:uid="{00000000-0005-0000-0000-000079140000}"/>
    <cellStyle name="Accent4 37" xfId="8376" xr:uid="{00000000-0005-0000-0000-00007A140000}"/>
    <cellStyle name="Accent4 38" xfId="8377" xr:uid="{00000000-0005-0000-0000-00007B140000}"/>
    <cellStyle name="Accent4 39" xfId="8378" xr:uid="{00000000-0005-0000-0000-00007C140000}"/>
    <cellStyle name="Accent4 4" xfId="326" xr:uid="{00000000-0005-0000-0000-0000A5000000}"/>
    <cellStyle name="Accent4 4 2" xfId="8380" xr:uid="{00000000-0005-0000-0000-00007E140000}"/>
    <cellStyle name="Accent4 4 3" xfId="8381" xr:uid="{00000000-0005-0000-0000-00007F140000}"/>
    <cellStyle name="Accent4 4 4" xfId="8379" xr:uid="{00000000-0005-0000-0000-00007D140000}"/>
    <cellStyle name="Accent4 40" xfId="8382" xr:uid="{00000000-0005-0000-0000-000080140000}"/>
    <cellStyle name="Accent4 41" xfId="8383" xr:uid="{00000000-0005-0000-0000-000081140000}"/>
    <cellStyle name="Accent4 42" xfId="8384" xr:uid="{00000000-0005-0000-0000-000082140000}"/>
    <cellStyle name="Accent4 43" xfId="8385" xr:uid="{00000000-0005-0000-0000-000083140000}"/>
    <cellStyle name="Accent4 44" xfId="8386" xr:uid="{00000000-0005-0000-0000-000084140000}"/>
    <cellStyle name="Accent4 45" xfId="8387" xr:uid="{00000000-0005-0000-0000-000085140000}"/>
    <cellStyle name="Accent4 46" xfId="8388" xr:uid="{00000000-0005-0000-0000-000086140000}"/>
    <cellStyle name="Accent4 47" xfId="8389" xr:uid="{00000000-0005-0000-0000-000087140000}"/>
    <cellStyle name="Accent4 48" xfId="8390" xr:uid="{00000000-0005-0000-0000-000088140000}"/>
    <cellStyle name="Accent4 49" xfId="8391" xr:uid="{00000000-0005-0000-0000-000089140000}"/>
    <cellStyle name="Accent4 5" xfId="327" xr:uid="{00000000-0005-0000-0000-0000A6000000}"/>
    <cellStyle name="Accent4 5 2" xfId="8393" xr:uid="{00000000-0005-0000-0000-00008B140000}"/>
    <cellStyle name="Accent4 5 3" xfId="8394" xr:uid="{00000000-0005-0000-0000-00008C140000}"/>
    <cellStyle name="Accent4 5 4" xfId="8392" xr:uid="{00000000-0005-0000-0000-00008A140000}"/>
    <cellStyle name="Accent4 50" xfId="8395" xr:uid="{00000000-0005-0000-0000-00008D140000}"/>
    <cellStyle name="Accent4 51" xfId="8396" xr:uid="{00000000-0005-0000-0000-00008E140000}"/>
    <cellStyle name="Accent4 52" xfId="8397" xr:uid="{00000000-0005-0000-0000-00008F140000}"/>
    <cellStyle name="Accent4 53" xfId="8398" xr:uid="{00000000-0005-0000-0000-000090140000}"/>
    <cellStyle name="Accent4 54" xfId="8399" xr:uid="{00000000-0005-0000-0000-000091140000}"/>
    <cellStyle name="Accent4 55" xfId="8400" xr:uid="{00000000-0005-0000-0000-000092140000}"/>
    <cellStyle name="Accent4 56" xfId="8401" xr:uid="{00000000-0005-0000-0000-000093140000}"/>
    <cellStyle name="Accent4 57" xfId="8402" xr:uid="{00000000-0005-0000-0000-000094140000}"/>
    <cellStyle name="Accent4 58" xfId="8403" xr:uid="{00000000-0005-0000-0000-000095140000}"/>
    <cellStyle name="Accent4 59" xfId="8404" xr:uid="{00000000-0005-0000-0000-000096140000}"/>
    <cellStyle name="Accent4 6" xfId="328" xr:uid="{00000000-0005-0000-0000-0000A7000000}"/>
    <cellStyle name="Accent4 6 2" xfId="8406" xr:uid="{00000000-0005-0000-0000-000098140000}"/>
    <cellStyle name="Accent4 6 3" xfId="8407" xr:uid="{00000000-0005-0000-0000-000099140000}"/>
    <cellStyle name="Accent4 6 4" xfId="8405" xr:uid="{00000000-0005-0000-0000-000097140000}"/>
    <cellStyle name="Accent4 60" xfId="8408" xr:uid="{00000000-0005-0000-0000-00009A140000}"/>
    <cellStyle name="Accent4 7" xfId="329" xr:uid="{00000000-0005-0000-0000-0000A8000000}"/>
    <cellStyle name="Accent4 7 2" xfId="8410" xr:uid="{00000000-0005-0000-0000-00009C140000}"/>
    <cellStyle name="Accent4 7 3" xfId="8409" xr:uid="{00000000-0005-0000-0000-00009B140000}"/>
    <cellStyle name="Accent4 8" xfId="8411" xr:uid="{00000000-0005-0000-0000-00009D140000}"/>
    <cellStyle name="Accent4 9" xfId="8412" xr:uid="{00000000-0005-0000-0000-00009E140000}"/>
    <cellStyle name="Accent5" xfId="97" builtinId="45" customBuiltin="1"/>
    <cellStyle name="Accent5 - 20%" xfId="330" xr:uid="{00000000-0005-0000-0000-0000A9000000}"/>
    <cellStyle name="Accent5 - 20% 2" xfId="8414" xr:uid="{00000000-0005-0000-0000-0000A0140000}"/>
    <cellStyle name="Accent5 - 20% 3" xfId="8415" xr:uid="{00000000-0005-0000-0000-0000A1140000}"/>
    <cellStyle name="Accent5 - 20% 3 2" xfId="8416" xr:uid="{00000000-0005-0000-0000-0000A2140000}"/>
    <cellStyle name="Accent5 - 20% 3 3" xfId="8417" xr:uid="{00000000-0005-0000-0000-0000A3140000}"/>
    <cellStyle name="Accent5 - 20% 4" xfId="8413" xr:uid="{00000000-0005-0000-0000-00009F140000}"/>
    <cellStyle name="Accent5 - 40%" xfId="331" xr:uid="{00000000-0005-0000-0000-0000AA000000}"/>
    <cellStyle name="Accent5 - 40% 2" xfId="8418" xr:uid="{00000000-0005-0000-0000-0000A5140000}"/>
    <cellStyle name="Accent5 - 60%" xfId="332" xr:uid="{00000000-0005-0000-0000-0000AB000000}"/>
    <cellStyle name="Accent5 - 60% 2" xfId="8420" xr:uid="{00000000-0005-0000-0000-0000A7140000}"/>
    <cellStyle name="Accent5 - 60% 2 2" xfId="8421" xr:uid="{00000000-0005-0000-0000-0000A8140000}"/>
    <cellStyle name="Accent5 - 60% 2 3" xfId="8422" xr:uid="{00000000-0005-0000-0000-0000A9140000}"/>
    <cellStyle name="Accent5 - 60% 3" xfId="8419" xr:uid="{00000000-0005-0000-0000-0000A6140000}"/>
    <cellStyle name="Accent5 10" xfId="8423" xr:uid="{00000000-0005-0000-0000-0000AA140000}"/>
    <cellStyle name="Accent5 11" xfId="8424" xr:uid="{00000000-0005-0000-0000-0000AB140000}"/>
    <cellStyle name="Accent5 12" xfId="8425" xr:uid="{00000000-0005-0000-0000-0000AC140000}"/>
    <cellStyle name="Accent5 13" xfId="8426" xr:uid="{00000000-0005-0000-0000-0000AD140000}"/>
    <cellStyle name="Accent5 14" xfId="8427" xr:uid="{00000000-0005-0000-0000-0000AE140000}"/>
    <cellStyle name="Accent5 15" xfId="8428" xr:uid="{00000000-0005-0000-0000-0000AF140000}"/>
    <cellStyle name="Accent5 16" xfId="8429" xr:uid="{00000000-0005-0000-0000-0000B0140000}"/>
    <cellStyle name="Accent5 17" xfId="8430" xr:uid="{00000000-0005-0000-0000-0000B1140000}"/>
    <cellStyle name="Accent5 18" xfId="8431" xr:uid="{00000000-0005-0000-0000-0000B2140000}"/>
    <cellStyle name="Accent5 19" xfId="8432" xr:uid="{00000000-0005-0000-0000-0000B3140000}"/>
    <cellStyle name="Accent5 2" xfId="333" xr:uid="{00000000-0005-0000-0000-0000AC000000}"/>
    <cellStyle name="Accent5 2 2" xfId="8434" xr:uid="{00000000-0005-0000-0000-0000B5140000}"/>
    <cellStyle name="Accent5 2 2 2" xfId="8435" xr:uid="{00000000-0005-0000-0000-0000B6140000}"/>
    <cellStyle name="Accent5 2 3" xfId="8436" xr:uid="{00000000-0005-0000-0000-0000B7140000}"/>
    <cellStyle name="Accent5 2 4" xfId="8433" xr:uid="{00000000-0005-0000-0000-0000B4140000}"/>
    <cellStyle name="Accent5 20" xfId="8437" xr:uid="{00000000-0005-0000-0000-0000B8140000}"/>
    <cellStyle name="Accent5 21" xfId="8438" xr:uid="{00000000-0005-0000-0000-0000B9140000}"/>
    <cellStyle name="Accent5 22" xfId="8439" xr:uid="{00000000-0005-0000-0000-0000BA140000}"/>
    <cellStyle name="Accent5 23" xfId="8440" xr:uid="{00000000-0005-0000-0000-0000BB140000}"/>
    <cellStyle name="Accent5 24" xfId="8441" xr:uid="{00000000-0005-0000-0000-0000BC140000}"/>
    <cellStyle name="Accent5 24 2" xfId="8442" xr:uid="{00000000-0005-0000-0000-0000BD140000}"/>
    <cellStyle name="Accent5 24 3" xfId="8443" xr:uid="{00000000-0005-0000-0000-0000BE140000}"/>
    <cellStyle name="Accent5 25" xfId="8444" xr:uid="{00000000-0005-0000-0000-0000BF140000}"/>
    <cellStyle name="Accent5 25 2" xfId="8445" xr:uid="{00000000-0005-0000-0000-0000C0140000}"/>
    <cellStyle name="Accent5 25 3" xfId="8446" xr:uid="{00000000-0005-0000-0000-0000C1140000}"/>
    <cellStyle name="Accent5 26" xfId="8447" xr:uid="{00000000-0005-0000-0000-0000C2140000}"/>
    <cellStyle name="Accent5 26 2" xfId="8448" xr:uid="{00000000-0005-0000-0000-0000C3140000}"/>
    <cellStyle name="Accent5 26 3" xfId="8449" xr:uid="{00000000-0005-0000-0000-0000C4140000}"/>
    <cellStyle name="Accent5 27" xfId="8450" xr:uid="{00000000-0005-0000-0000-0000C5140000}"/>
    <cellStyle name="Accent5 27 2" xfId="8451" xr:uid="{00000000-0005-0000-0000-0000C6140000}"/>
    <cellStyle name="Accent5 27 3" xfId="8452" xr:uid="{00000000-0005-0000-0000-0000C7140000}"/>
    <cellStyle name="Accent5 28" xfId="8453" xr:uid="{00000000-0005-0000-0000-0000C8140000}"/>
    <cellStyle name="Accent5 28 2" xfId="8454" xr:uid="{00000000-0005-0000-0000-0000C9140000}"/>
    <cellStyle name="Accent5 28 3" xfId="8455" xr:uid="{00000000-0005-0000-0000-0000CA140000}"/>
    <cellStyle name="Accent5 29" xfId="8456" xr:uid="{00000000-0005-0000-0000-0000CB140000}"/>
    <cellStyle name="Accent5 3" xfId="334" xr:uid="{00000000-0005-0000-0000-0000AD000000}"/>
    <cellStyle name="Accent5 3 2" xfId="8457" xr:uid="{00000000-0005-0000-0000-0000CD140000}"/>
    <cellStyle name="Accent5 30" xfId="8458" xr:uid="{00000000-0005-0000-0000-0000CE140000}"/>
    <cellStyle name="Accent5 31" xfId="8459" xr:uid="{00000000-0005-0000-0000-0000CF140000}"/>
    <cellStyle name="Accent5 31 2" xfId="8460" xr:uid="{00000000-0005-0000-0000-0000D0140000}"/>
    <cellStyle name="Accent5 32" xfId="8461" xr:uid="{00000000-0005-0000-0000-0000D1140000}"/>
    <cellStyle name="Accent5 33" xfId="8462" xr:uid="{00000000-0005-0000-0000-0000D2140000}"/>
    <cellStyle name="Accent5 34" xfId="8463" xr:uid="{00000000-0005-0000-0000-0000D3140000}"/>
    <cellStyle name="Accent5 35" xfId="8464" xr:uid="{00000000-0005-0000-0000-0000D4140000}"/>
    <cellStyle name="Accent5 36" xfId="8465" xr:uid="{00000000-0005-0000-0000-0000D5140000}"/>
    <cellStyle name="Accent5 37" xfId="8466" xr:uid="{00000000-0005-0000-0000-0000D6140000}"/>
    <cellStyle name="Accent5 38" xfId="8467" xr:uid="{00000000-0005-0000-0000-0000D7140000}"/>
    <cellStyle name="Accent5 39" xfId="8468" xr:uid="{00000000-0005-0000-0000-0000D8140000}"/>
    <cellStyle name="Accent5 4" xfId="335" xr:uid="{00000000-0005-0000-0000-0000AE000000}"/>
    <cellStyle name="Accent5 4 2" xfId="8469" xr:uid="{00000000-0005-0000-0000-0000DA140000}"/>
    <cellStyle name="Accent5 40" xfId="8470" xr:uid="{00000000-0005-0000-0000-0000DB140000}"/>
    <cellStyle name="Accent5 41" xfId="8471" xr:uid="{00000000-0005-0000-0000-0000DC140000}"/>
    <cellStyle name="Accent5 42" xfId="8472" xr:uid="{00000000-0005-0000-0000-0000DD140000}"/>
    <cellStyle name="Accent5 43" xfId="8473" xr:uid="{00000000-0005-0000-0000-0000DE140000}"/>
    <cellStyle name="Accent5 44" xfId="8474" xr:uid="{00000000-0005-0000-0000-0000DF140000}"/>
    <cellStyle name="Accent5 45" xfId="8475" xr:uid="{00000000-0005-0000-0000-0000E0140000}"/>
    <cellStyle name="Accent5 46" xfId="8476" xr:uid="{00000000-0005-0000-0000-0000E1140000}"/>
    <cellStyle name="Accent5 47" xfId="8477" xr:uid="{00000000-0005-0000-0000-0000E2140000}"/>
    <cellStyle name="Accent5 48" xfId="8478" xr:uid="{00000000-0005-0000-0000-0000E3140000}"/>
    <cellStyle name="Accent5 49" xfId="8479" xr:uid="{00000000-0005-0000-0000-0000E4140000}"/>
    <cellStyle name="Accent5 5" xfId="336" xr:uid="{00000000-0005-0000-0000-0000AF000000}"/>
    <cellStyle name="Accent5 5 2" xfId="8480" xr:uid="{00000000-0005-0000-0000-0000E6140000}"/>
    <cellStyle name="Accent5 50" xfId="8481" xr:uid="{00000000-0005-0000-0000-0000E7140000}"/>
    <cellStyle name="Accent5 51" xfId="8482" xr:uid="{00000000-0005-0000-0000-0000E8140000}"/>
    <cellStyle name="Accent5 52" xfId="8483" xr:uid="{00000000-0005-0000-0000-0000E9140000}"/>
    <cellStyle name="Accent5 53" xfId="8484" xr:uid="{00000000-0005-0000-0000-0000EA140000}"/>
    <cellStyle name="Accent5 54" xfId="8485" xr:uid="{00000000-0005-0000-0000-0000EB140000}"/>
    <cellStyle name="Accent5 55" xfId="8486" xr:uid="{00000000-0005-0000-0000-0000EC140000}"/>
    <cellStyle name="Accent5 56" xfId="8487" xr:uid="{00000000-0005-0000-0000-0000ED140000}"/>
    <cellStyle name="Accent5 57" xfId="8488" xr:uid="{00000000-0005-0000-0000-0000EE140000}"/>
    <cellStyle name="Accent5 58" xfId="8489" xr:uid="{00000000-0005-0000-0000-0000EF140000}"/>
    <cellStyle name="Accent5 59" xfId="8490" xr:uid="{00000000-0005-0000-0000-0000F0140000}"/>
    <cellStyle name="Accent5 6" xfId="337" xr:uid="{00000000-0005-0000-0000-0000B0000000}"/>
    <cellStyle name="Accent5 6 2" xfId="8491" xr:uid="{00000000-0005-0000-0000-0000F2140000}"/>
    <cellStyle name="Accent5 60" xfId="8492" xr:uid="{00000000-0005-0000-0000-0000F3140000}"/>
    <cellStyle name="Accent5 7" xfId="338" xr:uid="{00000000-0005-0000-0000-0000B1000000}"/>
    <cellStyle name="Accent5 7 2" xfId="8494" xr:uid="{00000000-0005-0000-0000-0000F5140000}"/>
    <cellStyle name="Accent5 7 3" xfId="8493" xr:uid="{00000000-0005-0000-0000-0000F4140000}"/>
    <cellStyle name="Accent5 8" xfId="8495" xr:uid="{00000000-0005-0000-0000-0000F6140000}"/>
    <cellStyle name="Accent5 9" xfId="8496" xr:uid="{00000000-0005-0000-0000-0000F7140000}"/>
    <cellStyle name="Accent6" xfId="101" builtinId="49" customBuiltin="1"/>
    <cellStyle name="Accent6 - 20%" xfId="339" xr:uid="{00000000-0005-0000-0000-0000B2000000}"/>
    <cellStyle name="Accent6 - 20% 2" xfId="8497" xr:uid="{00000000-0005-0000-0000-0000F9140000}"/>
    <cellStyle name="Accent6 - 40%" xfId="340" xr:uid="{00000000-0005-0000-0000-0000B3000000}"/>
    <cellStyle name="Accent6 - 40% 2" xfId="8499" xr:uid="{00000000-0005-0000-0000-0000FB140000}"/>
    <cellStyle name="Accent6 - 40% 3" xfId="8500" xr:uid="{00000000-0005-0000-0000-0000FC140000}"/>
    <cellStyle name="Accent6 - 40% 3 2" xfId="8501" xr:uid="{00000000-0005-0000-0000-0000FD140000}"/>
    <cellStyle name="Accent6 - 40% 3 3" xfId="8502" xr:uid="{00000000-0005-0000-0000-0000FE140000}"/>
    <cellStyle name="Accent6 - 40% 4" xfId="8498" xr:uid="{00000000-0005-0000-0000-0000FA140000}"/>
    <cellStyle name="Accent6 - 60%" xfId="341" xr:uid="{00000000-0005-0000-0000-0000B4000000}"/>
    <cellStyle name="Accent6 - 60% 2" xfId="8504" xr:uid="{00000000-0005-0000-0000-000000150000}"/>
    <cellStyle name="Accent6 - 60% 2 2" xfId="8505" xr:uid="{00000000-0005-0000-0000-000001150000}"/>
    <cellStyle name="Accent6 - 60% 2 3" xfId="8506" xr:uid="{00000000-0005-0000-0000-000002150000}"/>
    <cellStyle name="Accent6 - 60% 3" xfId="8503" xr:uid="{00000000-0005-0000-0000-0000FF140000}"/>
    <cellStyle name="Accent6 10" xfId="8507" xr:uid="{00000000-0005-0000-0000-000003150000}"/>
    <cellStyle name="Accent6 11" xfId="8508" xr:uid="{00000000-0005-0000-0000-000004150000}"/>
    <cellStyle name="Accent6 12" xfId="8509" xr:uid="{00000000-0005-0000-0000-000005150000}"/>
    <cellStyle name="Accent6 13" xfId="8510" xr:uid="{00000000-0005-0000-0000-000006150000}"/>
    <cellStyle name="Accent6 14" xfId="8511" xr:uid="{00000000-0005-0000-0000-000007150000}"/>
    <cellStyle name="Accent6 15" xfId="8512" xr:uid="{00000000-0005-0000-0000-000008150000}"/>
    <cellStyle name="Accent6 16" xfId="8513" xr:uid="{00000000-0005-0000-0000-000009150000}"/>
    <cellStyle name="Accent6 17" xfId="8514" xr:uid="{00000000-0005-0000-0000-00000A150000}"/>
    <cellStyle name="Accent6 18" xfId="8515" xr:uid="{00000000-0005-0000-0000-00000B150000}"/>
    <cellStyle name="Accent6 19" xfId="8516" xr:uid="{00000000-0005-0000-0000-00000C150000}"/>
    <cellStyle name="Accent6 2" xfId="342" xr:uid="{00000000-0005-0000-0000-0000B5000000}"/>
    <cellStyle name="Accent6 2 2" xfId="8518" xr:uid="{00000000-0005-0000-0000-00000E150000}"/>
    <cellStyle name="Accent6 2 2 2" xfId="8519" xr:uid="{00000000-0005-0000-0000-00000F150000}"/>
    <cellStyle name="Accent6 2 3" xfId="8520" xr:uid="{00000000-0005-0000-0000-000010150000}"/>
    <cellStyle name="Accent6 2 4" xfId="8517" xr:uid="{00000000-0005-0000-0000-00000D150000}"/>
    <cellStyle name="Accent6 20" xfId="8521" xr:uid="{00000000-0005-0000-0000-000011150000}"/>
    <cellStyle name="Accent6 21" xfId="8522" xr:uid="{00000000-0005-0000-0000-000012150000}"/>
    <cellStyle name="Accent6 22" xfId="8523" xr:uid="{00000000-0005-0000-0000-000013150000}"/>
    <cellStyle name="Accent6 23" xfId="8524" xr:uid="{00000000-0005-0000-0000-000014150000}"/>
    <cellStyle name="Accent6 24" xfId="8525" xr:uid="{00000000-0005-0000-0000-000015150000}"/>
    <cellStyle name="Accent6 24 2" xfId="8526" xr:uid="{00000000-0005-0000-0000-000016150000}"/>
    <cellStyle name="Accent6 24 3" xfId="8527" xr:uid="{00000000-0005-0000-0000-000017150000}"/>
    <cellStyle name="Accent6 25" xfId="8528" xr:uid="{00000000-0005-0000-0000-000018150000}"/>
    <cellStyle name="Accent6 25 2" xfId="8529" xr:uid="{00000000-0005-0000-0000-000019150000}"/>
    <cellStyle name="Accent6 25 3" xfId="8530" xr:uid="{00000000-0005-0000-0000-00001A150000}"/>
    <cellStyle name="Accent6 26" xfId="8531" xr:uid="{00000000-0005-0000-0000-00001B150000}"/>
    <cellStyle name="Accent6 26 2" xfId="8532" xr:uid="{00000000-0005-0000-0000-00001C150000}"/>
    <cellStyle name="Accent6 26 3" xfId="8533" xr:uid="{00000000-0005-0000-0000-00001D150000}"/>
    <cellStyle name="Accent6 27" xfId="8534" xr:uid="{00000000-0005-0000-0000-00001E150000}"/>
    <cellStyle name="Accent6 27 2" xfId="8535" xr:uid="{00000000-0005-0000-0000-00001F150000}"/>
    <cellStyle name="Accent6 27 3" xfId="8536" xr:uid="{00000000-0005-0000-0000-000020150000}"/>
    <cellStyle name="Accent6 28" xfId="8537" xr:uid="{00000000-0005-0000-0000-000021150000}"/>
    <cellStyle name="Accent6 28 2" xfId="8538" xr:uid="{00000000-0005-0000-0000-000022150000}"/>
    <cellStyle name="Accent6 28 3" xfId="8539" xr:uid="{00000000-0005-0000-0000-000023150000}"/>
    <cellStyle name="Accent6 29" xfId="8540" xr:uid="{00000000-0005-0000-0000-000024150000}"/>
    <cellStyle name="Accent6 29 2" xfId="8541" xr:uid="{00000000-0005-0000-0000-000025150000}"/>
    <cellStyle name="Accent6 29 3" xfId="8542" xr:uid="{00000000-0005-0000-0000-000026150000}"/>
    <cellStyle name="Accent6 3" xfId="343" xr:uid="{00000000-0005-0000-0000-0000B6000000}"/>
    <cellStyle name="Accent6 3 2" xfId="8544" xr:uid="{00000000-0005-0000-0000-000028150000}"/>
    <cellStyle name="Accent6 3 3" xfId="8545" xr:uid="{00000000-0005-0000-0000-000029150000}"/>
    <cellStyle name="Accent6 3 4" xfId="8543" xr:uid="{00000000-0005-0000-0000-000027150000}"/>
    <cellStyle name="Accent6 30" xfId="8546" xr:uid="{00000000-0005-0000-0000-00002A150000}"/>
    <cellStyle name="Accent6 31" xfId="8547" xr:uid="{00000000-0005-0000-0000-00002B150000}"/>
    <cellStyle name="Accent6 31 2" xfId="8548" xr:uid="{00000000-0005-0000-0000-00002C150000}"/>
    <cellStyle name="Accent6 32" xfId="8549" xr:uid="{00000000-0005-0000-0000-00002D150000}"/>
    <cellStyle name="Accent6 33" xfId="8550" xr:uid="{00000000-0005-0000-0000-00002E150000}"/>
    <cellStyle name="Accent6 34" xfId="8551" xr:uid="{00000000-0005-0000-0000-00002F150000}"/>
    <cellStyle name="Accent6 35" xfId="8552" xr:uid="{00000000-0005-0000-0000-000030150000}"/>
    <cellStyle name="Accent6 36" xfId="8553" xr:uid="{00000000-0005-0000-0000-000031150000}"/>
    <cellStyle name="Accent6 37" xfId="8554" xr:uid="{00000000-0005-0000-0000-000032150000}"/>
    <cellStyle name="Accent6 38" xfId="8555" xr:uid="{00000000-0005-0000-0000-000033150000}"/>
    <cellStyle name="Accent6 39" xfId="8556" xr:uid="{00000000-0005-0000-0000-000034150000}"/>
    <cellStyle name="Accent6 4" xfId="344" xr:uid="{00000000-0005-0000-0000-0000B7000000}"/>
    <cellStyle name="Accent6 4 2" xfId="8558" xr:uid="{00000000-0005-0000-0000-000036150000}"/>
    <cellStyle name="Accent6 4 3" xfId="8559" xr:uid="{00000000-0005-0000-0000-000037150000}"/>
    <cellStyle name="Accent6 4 4" xfId="8557" xr:uid="{00000000-0005-0000-0000-000035150000}"/>
    <cellStyle name="Accent6 40" xfId="8560" xr:uid="{00000000-0005-0000-0000-000038150000}"/>
    <cellStyle name="Accent6 41" xfId="8561" xr:uid="{00000000-0005-0000-0000-000039150000}"/>
    <cellStyle name="Accent6 42" xfId="8562" xr:uid="{00000000-0005-0000-0000-00003A150000}"/>
    <cellStyle name="Accent6 43" xfId="8563" xr:uid="{00000000-0005-0000-0000-00003B150000}"/>
    <cellStyle name="Accent6 44" xfId="8564" xr:uid="{00000000-0005-0000-0000-00003C150000}"/>
    <cellStyle name="Accent6 45" xfId="8565" xr:uid="{00000000-0005-0000-0000-00003D150000}"/>
    <cellStyle name="Accent6 46" xfId="8566" xr:uid="{00000000-0005-0000-0000-00003E150000}"/>
    <cellStyle name="Accent6 47" xfId="8567" xr:uid="{00000000-0005-0000-0000-00003F150000}"/>
    <cellStyle name="Accent6 48" xfId="8568" xr:uid="{00000000-0005-0000-0000-000040150000}"/>
    <cellStyle name="Accent6 49" xfId="8569" xr:uid="{00000000-0005-0000-0000-000041150000}"/>
    <cellStyle name="Accent6 5" xfId="345" xr:uid="{00000000-0005-0000-0000-0000B8000000}"/>
    <cellStyle name="Accent6 5 2" xfId="8571" xr:uid="{00000000-0005-0000-0000-000043150000}"/>
    <cellStyle name="Accent6 5 3" xfId="8572" xr:uid="{00000000-0005-0000-0000-000044150000}"/>
    <cellStyle name="Accent6 5 4" xfId="8570" xr:uid="{00000000-0005-0000-0000-000042150000}"/>
    <cellStyle name="Accent6 50" xfId="8573" xr:uid="{00000000-0005-0000-0000-000045150000}"/>
    <cellStyle name="Accent6 51" xfId="8574" xr:uid="{00000000-0005-0000-0000-000046150000}"/>
    <cellStyle name="Accent6 52" xfId="8575" xr:uid="{00000000-0005-0000-0000-000047150000}"/>
    <cellStyle name="Accent6 53" xfId="8576" xr:uid="{00000000-0005-0000-0000-000048150000}"/>
    <cellStyle name="Accent6 54" xfId="8577" xr:uid="{00000000-0005-0000-0000-000049150000}"/>
    <cellStyle name="Accent6 55" xfId="8578" xr:uid="{00000000-0005-0000-0000-00004A150000}"/>
    <cellStyle name="Accent6 56" xfId="8579" xr:uid="{00000000-0005-0000-0000-00004B150000}"/>
    <cellStyle name="Accent6 57" xfId="8580" xr:uid="{00000000-0005-0000-0000-00004C150000}"/>
    <cellStyle name="Accent6 58" xfId="8581" xr:uid="{00000000-0005-0000-0000-00004D150000}"/>
    <cellStyle name="Accent6 59" xfId="8582" xr:uid="{00000000-0005-0000-0000-00004E150000}"/>
    <cellStyle name="Accent6 6" xfId="346" xr:uid="{00000000-0005-0000-0000-0000B9000000}"/>
    <cellStyle name="Accent6 6 2" xfId="8584" xr:uid="{00000000-0005-0000-0000-000050150000}"/>
    <cellStyle name="Accent6 6 3" xfId="8585" xr:uid="{00000000-0005-0000-0000-000051150000}"/>
    <cellStyle name="Accent6 6 4" xfId="8583" xr:uid="{00000000-0005-0000-0000-00004F150000}"/>
    <cellStyle name="Accent6 60" xfId="8586" xr:uid="{00000000-0005-0000-0000-000052150000}"/>
    <cellStyle name="Accent6 7" xfId="347" xr:uid="{00000000-0005-0000-0000-0000BA000000}"/>
    <cellStyle name="Accent6 7 2" xfId="8588" xr:uid="{00000000-0005-0000-0000-000054150000}"/>
    <cellStyle name="Accent6 7 3" xfId="8587" xr:uid="{00000000-0005-0000-0000-000053150000}"/>
    <cellStyle name="Accent6 8" xfId="8589" xr:uid="{00000000-0005-0000-0000-000055150000}"/>
    <cellStyle name="Accent6 9" xfId="8590" xr:uid="{00000000-0005-0000-0000-000056150000}"/>
    <cellStyle name="Actual Date" xfId="348" xr:uid="{00000000-0005-0000-0000-0000BB000000}"/>
    <cellStyle name="Actual Date 2" xfId="349" xr:uid="{00000000-0005-0000-0000-0000BC000000}"/>
    <cellStyle name="Actual Date 2 2" xfId="8591" xr:uid="{00000000-0005-0000-0000-000059150000}"/>
    <cellStyle name="Actual Date 2 3" xfId="8592" xr:uid="{00000000-0005-0000-0000-00005A150000}"/>
    <cellStyle name="Actual Date 2 4" xfId="5494" xr:uid="{00000000-0005-0000-0000-000058150000}"/>
    <cellStyle name="Actual Date 3" xfId="350" xr:uid="{00000000-0005-0000-0000-0000BD000000}"/>
    <cellStyle name="Actual Date 4" xfId="8593" xr:uid="{00000000-0005-0000-0000-00005C150000}"/>
    <cellStyle name="Actual Date 5" xfId="8594" xr:uid="{00000000-0005-0000-0000-00005D150000}"/>
    <cellStyle name="Actual Date_2010-2012 Program Workbook_Incent_FS" xfId="351" xr:uid="{00000000-0005-0000-0000-0000BE000000}"/>
    <cellStyle name="Address" xfId="352" xr:uid="{00000000-0005-0000-0000-0000BF000000}"/>
    <cellStyle name="Address 2" xfId="5493" xr:uid="{00000000-0005-0000-0000-000060150000}"/>
    <cellStyle name="Address 2 2" xfId="15264" xr:uid="{00000000-0005-0000-0000-000060150000}"/>
    <cellStyle name="Address 3" xfId="5508" xr:uid="{00000000-0005-0000-0000-00005F150000}"/>
    <cellStyle name="ariel" xfId="8595" xr:uid="{00000000-0005-0000-0000-000061150000}"/>
    <cellStyle name="ariel 2" xfId="8596" xr:uid="{00000000-0005-0000-0000-000062150000}"/>
    <cellStyle name="ariel 3" xfId="8597" xr:uid="{00000000-0005-0000-0000-000063150000}"/>
    <cellStyle name="ariel_Table G-2" xfId="8598" xr:uid="{00000000-0005-0000-0000-000064150000}"/>
    <cellStyle name="Array Enter" xfId="353" xr:uid="{00000000-0005-0000-0000-0000C0000000}"/>
    <cellStyle name="Array Enter 2" xfId="8599" xr:uid="{00000000-0005-0000-0000-000065150000}"/>
    <cellStyle name="Bad" xfId="71" builtinId="27" customBuiltin="1"/>
    <cellStyle name="Bad 10" xfId="8600" xr:uid="{00000000-0005-0000-0000-000066150000}"/>
    <cellStyle name="Bad 2" xfId="354" xr:uid="{00000000-0005-0000-0000-0000C1000000}"/>
    <cellStyle name="Bad 2 2" xfId="8602" xr:uid="{00000000-0005-0000-0000-000068150000}"/>
    <cellStyle name="Bad 2 2 2" xfId="8603" xr:uid="{00000000-0005-0000-0000-000069150000}"/>
    <cellStyle name="Bad 2 2 2 2" xfId="8604" xr:uid="{00000000-0005-0000-0000-00006A150000}"/>
    <cellStyle name="Bad 2 2 3" xfId="8605" xr:uid="{00000000-0005-0000-0000-00006B150000}"/>
    <cellStyle name="Bad 2 3" xfId="8606" xr:uid="{00000000-0005-0000-0000-00006C150000}"/>
    <cellStyle name="Bad 2 3 2" xfId="8607" xr:uid="{00000000-0005-0000-0000-00006D150000}"/>
    <cellStyle name="Bad 2 3 3" xfId="8608" xr:uid="{00000000-0005-0000-0000-00006E150000}"/>
    <cellStyle name="Bad 2 4" xfId="8609" xr:uid="{00000000-0005-0000-0000-00006F150000}"/>
    <cellStyle name="Bad 2 5" xfId="8601" xr:uid="{00000000-0005-0000-0000-000067150000}"/>
    <cellStyle name="Bad 3" xfId="355" xr:uid="{00000000-0005-0000-0000-0000C2000000}"/>
    <cellStyle name="Bad 3 2" xfId="8611" xr:uid="{00000000-0005-0000-0000-000071150000}"/>
    <cellStyle name="Bad 3 3" xfId="8610" xr:uid="{00000000-0005-0000-0000-000070150000}"/>
    <cellStyle name="Bad 4" xfId="356" xr:uid="{00000000-0005-0000-0000-0000C3000000}"/>
    <cellStyle name="Bad 4 2" xfId="8612" xr:uid="{00000000-0005-0000-0000-000073150000}"/>
    <cellStyle name="Bad 4 3" xfId="8613" xr:uid="{00000000-0005-0000-0000-000074150000}"/>
    <cellStyle name="Bad 5" xfId="357" xr:uid="{00000000-0005-0000-0000-0000C4000000}"/>
    <cellStyle name="Bad 6" xfId="358" xr:uid="{00000000-0005-0000-0000-0000C5000000}"/>
    <cellStyle name="Bad 7" xfId="359" xr:uid="{00000000-0005-0000-0000-0000C6000000}"/>
    <cellStyle name="Bad 8" xfId="8614" xr:uid="{00000000-0005-0000-0000-000078150000}"/>
    <cellStyle name="Bad 9" xfId="8615" xr:uid="{00000000-0005-0000-0000-000079150000}"/>
    <cellStyle name="basic" xfId="360" xr:uid="{00000000-0005-0000-0000-0000C7000000}"/>
    <cellStyle name="billion" xfId="361" xr:uid="{00000000-0005-0000-0000-0000C8000000}"/>
    <cellStyle name="Calc Currency (0)" xfId="362" xr:uid="{00000000-0005-0000-0000-0000C9000000}"/>
    <cellStyle name="Calculation" xfId="75" builtinId="22" customBuiltin="1"/>
    <cellStyle name="Calculation 10" xfId="8616" xr:uid="{00000000-0005-0000-0000-00007D150000}"/>
    <cellStyle name="Calculation 10 2" xfId="20124" xr:uid="{00000000-0005-0000-0000-00007D150000}"/>
    <cellStyle name="Calculation 11" xfId="8617" xr:uid="{00000000-0005-0000-0000-00007E150000}"/>
    <cellStyle name="Calculation 11 2" xfId="20125" xr:uid="{00000000-0005-0000-0000-00007E150000}"/>
    <cellStyle name="Calculation 2" xfId="363" xr:uid="{00000000-0005-0000-0000-0000CA000000}"/>
    <cellStyle name="Calculation 2 2" xfId="364" xr:uid="{00000000-0005-0000-0000-0000CB000000}"/>
    <cellStyle name="Calculation 2 2 2" xfId="8619" xr:uid="{00000000-0005-0000-0000-000081150000}"/>
    <cellStyle name="Calculation 2 2 2 2" xfId="20128" xr:uid="{00000000-0005-0000-0000-000081150000}"/>
    <cellStyle name="Calculation 2 2 3" xfId="20127" xr:uid="{00000000-0005-0000-0000-000080150000}"/>
    <cellStyle name="Calculation 2 3" xfId="8620" xr:uid="{00000000-0005-0000-0000-000082150000}"/>
    <cellStyle name="Calculation 2 3 2" xfId="20129" xr:uid="{00000000-0005-0000-0000-000082150000}"/>
    <cellStyle name="Calculation 2 4" xfId="8618" xr:uid="{00000000-0005-0000-0000-00007F150000}"/>
    <cellStyle name="Calculation 2 5" xfId="20126" xr:uid="{00000000-0005-0000-0000-00007F150000}"/>
    <cellStyle name="Calculation 3" xfId="365" xr:uid="{00000000-0005-0000-0000-0000CC000000}"/>
    <cellStyle name="Calculation 3 2" xfId="366" xr:uid="{00000000-0005-0000-0000-0000CD000000}"/>
    <cellStyle name="Calculation 3 2 2" xfId="20131" xr:uid="{00000000-0005-0000-0000-000084150000}"/>
    <cellStyle name="Calculation 3 3" xfId="8621" xr:uid="{00000000-0005-0000-0000-000085150000}"/>
    <cellStyle name="Calculation 3 4" xfId="20130" xr:uid="{00000000-0005-0000-0000-000083150000}"/>
    <cellStyle name="Calculation 4" xfId="367" xr:uid="{00000000-0005-0000-0000-0000CE000000}"/>
    <cellStyle name="Calculation 4 2" xfId="368" xr:uid="{00000000-0005-0000-0000-0000CF000000}"/>
    <cellStyle name="Calculation 4 3" xfId="20132" xr:uid="{00000000-0005-0000-0000-000086150000}"/>
    <cellStyle name="Calculation 5" xfId="369" xr:uid="{00000000-0005-0000-0000-0000D0000000}"/>
    <cellStyle name="Calculation 5 2" xfId="370" xr:uid="{00000000-0005-0000-0000-0000D1000000}"/>
    <cellStyle name="Calculation 5 3" xfId="20133" xr:uid="{00000000-0005-0000-0000-000087150000}"/>
    <cellStyle name="Calculation 6" xfId="371" xr:uid="{00000000-0005-0000-0000-0000D2000000}"/>
    <cellStyle name="Calculation 6 2" xfId="372" xr:uid="{00000000-0005-0000-0000-0000D3000000}"/>
    <cellStyle name="Calculation 6 3" xfId="20134" xr:uid="{00000000-0005-0000-0000-000088150000}"/>
    <cellStyle name="Calculation 7" xfId="373" xr:uid="{00000000-0005-0000-0000-0000D4000000}"/>
    <cellStyle name="Calculation 7 2" xfId="374" xr:uid="{00000000-0005-0000-0000-0000D5000000}"/>
    <cellStyle name="Calculation 7 3" xfId="20135" xr:uid="{00000000-0005-0000-0000-000089150000}"/>
    <cellStyle name="Calculation 8" xfId="8622" xr:uid="{00000000-0005-0000-0000-00008A150000}"/>
    <cellStyle name="Calculation 9" xfId="8623" xr:uid="{00000000-0005-0000-0000-00008B150000}"/>
    <cellStyle name="Check Cell" xfId="77" builtinId="23" customBuiltin="1"/>
    <cellStyle name="Check Cell 10" xfId="8624" xr:uid="{00000000-0005-0000-0000-00008C150000}"/>
    <cellStyle name="Check Cell 2" xfId="375" xr:uid="{00000000-0005-0000-0000-0000D6000000}"/>
    <cellStyle name="Check Cell 2 2" xfId="8626" xr:uid="{00000000-0005-0000-0000-00008E150000}"/>
    <cellStyle name="Check Cell 2 2 2" xfId="8627" xr:uid="{00000000-0005-0000-0000-00008F150000}"/>
    <cellStyle name="Check Cell 2 3" xfId="8628" xr:uid="{00000000-0005-0000-0000-000090150000}"/>
    <cellStyle name="Check Cell 2 4" xfId="8625" xr:uid="{00000000-0005-0000-0000-00008D150000}"/>
    <cellStyle name="Check Cell 3" xfId="376" xr:uid="{00000000-0005-0000-0000-0000D7000000}"/>
    <cellStyle name="Check Cell 3 2" xfId="8629" xr:uid="{00000000-0005-0000-0000-000092150000}"/>
    <cellStyle name="Check Cell 3 3" xfId="8630" xr:uid="{00000000-0005-0000-0000-000093150000}"/>
    <cellStyle name="Check Cell 4" xfId="377" xr:uid="{00000000-0005-0000-0000-0000D8000000}"/>
    <cellStyle name="Check Cell 5" xfId="378" xr:uid="{00000000-0005-0000-0000-0000D9000000}"/>
    <cellStyle name="Check Cell 6" xfId="379" xr:uid="{00000000-0005-0000-0000-0000DA000000}"/>
    <cellStyle name="Check Cell 7" xfId="380" xr:uid="{00000000-0005-0000-0000-0000DB000000}"/>
    <cellStyle name="Check Cell 8" xfId="8631" xr:uid="{00000000-0005-0000-0000-000098150000}"/>
    <cellStyle name="Check Cell 9" xfId="8632" xr:uid="{00000000-0005-0000-0000-000099150000}"/>
    <cellStyle name="City" xfId="381" xr:uid="{00000000-0005-0000-0000-0000DC000000}"/>
    <cellStyle name="City 2" xfId="5492" xr:uid="{00000000-0005-0000-0000-00009B150000}"/>
    <cellStyle name="City 2 2" xfId="15239" xr:uid="{00000000-0005-0000-0000-00009B150000}"/>
    <cellStyle name="City 3" xfId="5560" xr:uid="{00000000-0005-0000-0000-00009A150000}"/>
    <cellStyle name="Comma" xfId="64" builtinId="3"/>
    <cellStyle name="Comma  - Style1" xfId="382" xr:uid="{00000000-0005-0000-0000-0000DE000000}"/>
    <cellStyle name="Comma  - Style1 2" xfId="5491" xr:uid="{00000000-0005-0000-0000-00009E150000}"/>
    <cellStyle name="Comma  - Style2" xfId="383" xr:uid="{00000000-0005-0000-0000-0000DF000000}"/>
    <cellStyle name="Comma  - Style2 2" xfId="5490" xr:uid="{00000000-0005-0000-0000-0000A0150000}"/>
    <cellStyle name="Comma  - Style3" xfId="384" xr:uid="{00000000-0005-0000-0000-0000E0000000}"/>
    <cellStyle name="Comma  - Style3 2" xfId="5489" xr:uid="{00000000-0005-0000-0000-0000A2150000}"/>
    <cellStyle name="Comma  - Style4" xfId="385" xr:uid="{00000000-0005-0000-0000-0000E1000000}"/>
    <cellStyle name="Comma  - Style4 2" xfId="5488" xr:uid="{00000000-0005-0000-0000-0000A4150000}"/>
    <cellStyle name="Comma  - Style5" xfId="386" xr:uid="{00000000-0005-0000-0000-0000E2000000}"/>
    <cellStyle name="Comma  - Style5 2" xfId="5487" xr:uid="{00000000-0005-0000-0000-0000A6150000}"/>
    <cellStyle name="Comma  - Style6" xfId="387" xr:uid="{00000000-0005-0000-0000-0000E3000000}"/>
    <cellStyle name="Comma  - Style6 2" xfId="5550" xr:uid="{00000000-0005-0000-0000-0000A8150000}"/>
    <cellStyle name="Comma  - Style7" xfId="388" xr:uid="{00000000-0005-0000-0000-0000E4000000}"/>
    <cellStyle name="Comma  - Style7 2" xfId="5486" xr:uid="{00000000-0005-0000-0000-0000AA150000}"/>
    <cellStyle name="Comma  - Style8" xfId="389" xr:uid="{00000000-0005-0000-0000-0000E5000000}"/>
    <cellStyle name="Comma  - Style8 2" xfId="5485" xr:uid="{00000000-0005-0000-0000-0000AC150000}"/>
    <cellStyle name="Comma [0] 2" xfId="8633" xr:uid="{00000000-0005-0000-0000-0000AD150000}"/>
    <cellStyle name="Comma [0] 2 2" xfId="8634" xr:uid="{00000000-0005-0000-0000-0000AE150000}"/>
    <cellStyle name="Comma [0] 2 2 2" xfId="8635" xr:uid="{00000000-0005-0000-0000-0000AF150000}"/>
    <cellStyle name="Comma [0] 2 3" xfId="8636" xr:uid="{00000000-0005-0000-0000-0000B0150000}"/>
    <cellStyle name="Comma [0] 3" xfId="8637" xr:uid="{00000000-0005-0000-0000-0000B1150000}"/>
    <cellStyle name="Comma 10" xfId="390" xr:uid="{00000000-0005-0000-0000-0000E6000000}"/>
    <cellStyle name="Comma 10 2" xfId="5483" xr:uid="{00000000-0005-0000-0000-0000B3150000}"/>
    <cellStyle name="Comma 10 2 2" xfId="8638" xr:uid="{00000000-0005-0000-0000-0000B4150000}"/>
    <cellStyle name="Comma 10 2 2 2" xfId="8639" xr:uid="{00000000-0005-0000-0000-0000B5150000}"/>
    <cellStyle name="Comma 10 2 3" xfId="8640" xr:uid="{00000000-0005-0000-0000-0000B6150000}"/>
    <cellStyle name="Comma 10 2 3 2" xfId="8641" xr:uid="{00000000-0005-0000-0000-0000B7150000}"/>
    <cellStyle name="Comma 10 3" xfId="8642" xr:uid="{00000000-0005-0000-0000-0000B8150000}"/>
    <cellStyle name="Comma 10 3 2" xfId="8643" xr:uid="{00000000-0005-0000-0000-0000B9150000}"/>
    <cellStyle name="Comma 10 4" xfId="8644" xr:uid="{00000000-0005-0000-0000-0000BA150000}"/>
    <cellStyle name="Comma 10 5" xfId="8645" xr:uid="{00000000-0005-0000-0000-0000BB150000}"/>
    <cellStyle name="Comma 10 6" xfId="8646" xr:uid="{00000000-0005-0000-0000-0000BC150000}"/>
    <cellStyle name="Comma 10 7" xfId="5484" xr:uid="{00000000-0005-0000-0000-0000B2150000}"/>
    <cellStyle name="Comma 100" xfId="8647" xr:uid="{00000000-0005-0000-0000-0000BD150000}"/>
    <cellStyle name="Comma 101" xfId="8648" xr:uid="{00000000-0005-0000-0000-0000BE150000}"/>
    <cellStyle name="Comma 102" xfId="8649" xr:uid="{00000000-0005-0000-0000-0000BF150000}"/>
    <cellStyle name="Comma 103" xfId="8650" xr:uid="{00000000-0005-0000-0000-0000C0150000}"/>
    <cellStyle name="Comma 104" xfId="8651" xr:uid="{00000000-0005-0000-0000-0000C1150000}"/>
    <cellStyle name="Comma 105" xfId="8652" xr:uid="{00000000-0005-0000-0000-0000C2150000}"/>
    <cellStyle name="Comma 106" xfId="8653" xr:uid="{00000000-0005-0000-0000-0000C3150000}"/>
    <cellStyle name="Comma 107" xfId="8654" xr:uid="{00000000-0005-0000-0000-0000C4150000}"/>
    <cellStyle name="Comma 108" xfId="8655" xr:uid="{00000000-0005-0000-0000-0000C5150000}"/>
    <cellStyle name="Comma 109" xfId="8656" xr:uid="{00000000-0005-0000-0000-0000C6150000}"/>
    <cellStyle name="Comma 11" xfId="391" xr:uid="{00000000-0005-0000-0000-0000E7000000}"/>
    <cellStyle name="Comma 11 2" xfId="5481" xr:uid="{00000000-0005-0000-0000-0000C8150000}"/>
    <cellStyle name="Comma 11 2 2" xfId="8657" xr:uid="{00000000-0005-0000-0000-0000C9150000}"/>
    <cellStyle name="Comma 11 2 2 2" xfId="8658" xr:uid="{00000000-0005-0000-0000-0000CA150000}"/>
    <cellStyle name="Comma 11 3" xfId="8659" xr:uid="{00000000-0005-0000-0000-0000CB150000}"/>
    <cellStyle name="Comma 11 3 2" xfId="8660" xr:uid="{00000000-0005-0000-0000-0000CC150000}"/>
    <cellStyle name="Comma 11 4" xfId="8661" xr:uid="{00000000-0005-0000-0000-0000CD150000}"/>
    <cellStyle name="Comma 11 5" xfId="5482" xr:uid="{00000000-0005-0000-0000-0000C7150000}"/>
    <cellStyle name="Comma 110" xfId="8662" xr:uid="{00000000-0005-0000-0000-0000CE150000}"/>
    <cellStyle name="Comma 111" xfId="8663" xr:uid="{00000000-0005-0000-0000-0000CF150000}"/>
    <cellStyle name="Comma 112" xfId="8664" xr:uid="{00000000-0005-0000-0000-0000D0150000}"/>
    <cellStyle name="Comma 113" xfId="5507" xr:uid="{00000000-0005-0000-0000-0000C1200000}"/>
    <cellStyle name="Comma 114" xfId="5500" xr:uid="{00000000-0005-0000-0000-0000BA4E0000}"/>
    <cellStyle name="Comma 115" xfId="13594" xr:uid="{00000000-0005-0000-0000-00005C500000}"/>
    <cellStyle name="Comma 116" xfId="20535" xr:uid="{12A2F1FA-E9CF-451B-BE52-93BF7210B93A}"/>
    <cellStyle name="Comma 117" xfId="20537" xr:uid="{16161602-253E-40AA-974E-F858333CD9EB}"/>
    <cellStyle name="Comma 117 2" xfId="20553" xr:uid="{38B1619A-B829-4005-8F58-4531BCD53FB3}"/>
    <cellStyle name="Comma 117 2 2" xfId="20565" xr:uid="{45822DFC-07CA-40B5-8723-40F8F3FFE95A}"/>
    <cellStyle name="Comma 118" xfId="20576" xr:uid="{88319FD2-5A9B-4B0F-94E5-B714B385A4BC}"/>
    <cellStyle name="Comma 12" xfId="392" xr:uid="{00000000-0005-0000-0000-0000E8000000}"/>
    <cellStyle name="Comma 12 2" xfId="5479" xr:uid="{00000000-0005-0000-0000-0000D2150000}"/>
    <cellStyle name="Comma 12 2 2" xfId="8665" xr:uid="{00000000-0005-0000-0000-0000D3150000}"/>
    <cellStyle name="Comma 12 2 2 2" xfId="8666" xr:uid="{00000000-0005-0000-0000-0000D4150000}"/>
    <cellStyle name="Comma 12 2 3" xfId="8667" xr:uid="{00000000-0005-0000-0000-0000D5150000}"/>
    <cellStyle name="Comma 12 2 3 2" xfId="8668" xr:uid="{00000000-0005-0000-0000-0000D6150000}"/>
    <cellStyle name="Comma 12 3" xfId="8669" xr:uid="{00000000-0005-0000-0000-0000D7150000}"/>
    <cellStyle name="Comma 12 3 2" xfId="8670" xr:uid="{00000000-0005-0000-0000-0000D8150000}"/>
    <cellStyle name="Comma 12 3 2 2" xfId="8671" xr:uid="{00000000-0005-0000-0000-0000D9150000}"/>
    <cellStyle name="Comma 12 3 3" xfId="8672" xr:uid="{00000000-0005-0000-0000-0000DA150000}"/>
    <cellStyle name="Comma 12 3 4" xfId="8673" xr:uid="{00000000-0005-0000-0000-0000DB150000}"/>
    <cellStyle name="Comma 12 4" xfId="8674" xr:uid="{00000000-0005-0000-0000-0000DC150000}"/>
    <cellStyle name="Comma 12 4 2" xfId="8675" xr:uid="{00000000-0005-0000-0000-0000DD150000}"/>
    <cellStyle name="Comma 12 5" xfId="8676" xr:uid="{00000000-0005-0000-0000-0000DE150000}"/>
    <cellStyle name="Comma 12 5 2" xfId="8677" xr:uid="{00000000-0005-0000-0000-0000DF150000}"/>
    <cellStyle name="Comma 12 6" xfId="8678" xr:uid="{00000000-0005-0000-0000-0000E0150000}"/>
    <cellStyle name="Comma 12 7" xfId="8679" xr:uid="{00000000-0005-0000-0000-0000E1150000}"/>
    <cellStyle name="Comma 12 8" xfId="5480" xr:uid="{00000000-0005-0000-0000-0000D1150000}"/>
    <cellStyle name="Comma 13" xfId="393" xr:uid="{00000000-0005-0000-0000-0000E9000000}"/>
    <cellStyle name="Comma 13 2" xfId="5477" xr:uid="{00000000-0005-0000-0000-0000E3150000}"/>
    <cellStyle name="Comma 13 2 2" xfId="8680" xr:uid="{00000000-0005-0000-0000-0000E4150000}"/>
    <cellStyle name="Comma 13 2 2 2" xfId="8681" xr:uid="{00000000-0005-0000-0000-0000E5150000}"/>
    <cellStyle name="Comma 13 3" xfId="8682" xr:uid="{00000000-0005-0000-0000-0000E6150000}"/>
    <cellStyle name="Comma 13 3 2" xfId="8683" xr:uid="{00000000-0005-0000-0000-0000E7150000}"/>
    <cellStyle name="Comma 13 4" xfId="8684" xr:uid="{00000000-0005-0000-0000-0000E8150000}"/>
    <cellStyle name="Comma 13 5" xfId="8685" xr:uid="{00000000-0005-0000-0000-0000E9150000}"/>
    <cellStyle name="Comma 13 6" xfId="8686" xr:uid="{00000000-0005-0000-0000-0000EA150000}"/>
    <cellStyle name="Comma 13 7" xfId="5478" xr:uid="{00000000-0005-0000-0000-0000E2150000}"/>
    <cellStyle name="Comma 14" xfId="394" xr:uid="{00000000-0005-0000-0000-0000EA000000}"/>
    <cellStyle name="Comma 14 2" xfId="5475" xr:uid="{00000000-0005-0000-0000-0000EC150000}"/>
    <cellStyle name="Comma 14 2 2" xfId="8687" xr:uid="{00000000-0005-0000-0000-0000ED150000}"/>
    <cellStyle name="Comma 14 3" xfId="8688" xr:uid="{00000000-0005-0000-0000-0000EE150000}"/>
    <cellStyle name="Comma 14 3 2" xfId="8689" xr:uid="{00000000-0005-0000-0000-0000EF150000}"/>
    <cellStyle name="Comma 14 4" xfId="8690" xr:uid="{00000000-0005-0000-0000-0000F0150000}"/>
    <cellStyle name="Comma 14 5" xfId="8691" xr:uid="{00000000-0005-0000-0000-0000F1150000}"/>
    <cellStyle name="Comma 14 6" xfId="8692" xr:uid="{00000000-0005-0000-0000-0000F2150000}"/>
    <cellStyle name="Comma 14 7" xfId="5476" xr:uid="{00000000-0005-0000-0000-0000EB150000}"/>
    <cellStyle name="Comma 15" xfId="395" xr:uid="{00000000-0005-0000-0000-0000EB000000}"/>
    <cellStyle name="Comma 15 2" xfId="5474" xr:uid="{00000000-0005-0000-0000-0000F4150000}"/>
    <cellStyle name="Comma 15 2 2" xfId="8693" xr:uid="{00000000-0005-0000-0000-0000F5150000}"/>
    <cellStyle name="Comma 15 3" xfId="8694" xr:uid="{00000000-0005-0000-0000-0000F6150000}"/>
    <cellStyle name="Comma 15 3 2" xfId="8695" xr:uid="{00000000-0005-0000-0000-0000F7150000}"/>
    <cellStyle name="Comma 15 4" xfId="8696" xr:uid="{00000000-0005-0000-0000-0000F8150000}"/>
    <cellStyle name="Comma 15 5" xfId="8697" xr:uid="{00000000-0005-0000-0000-0000F9150000}"/>
    <cellStyle name="Comma 16" xfId="396" xr:uid="{00000000-0005-0000-0000-0000EC000000}"/>
    <cellStyle name="Comma 16 2" xfId="5472" xr:uid="{00000000-0005-0000-0000-0000FB150000}"/>
    <cellStyle name="Comma 16 2 2" xfId="8698" xr:uid="{00000000-0005-0000-0000-0000FC150000}"/>
    <cellStyle name="Comma 16 3" xfId="8699" xr:uid="{00000000-0005-0000-0000-0000FD150000}"/>
    <cellStyle name="Comma 16 3 2" xfId="8700" xr:uid="{00000000-0005-0000-0000-0000FE150000}"/>
    <cellStyle name="Comma 16 4" xfId="8701" xr:uid="{00000000-0005-0000-0000-0000FF150000}"/>
    <cellStyle name="Comma 16 5" xfId="8702" xr:uid="{00000000-0005-0000-0000-000000160000}"/>
    <cellStyle name="Comma 16 6" xfId="8703" xr:uid="{00000000-0005-0000-0000-000001160000}"/>
    <cellStyle name="Comma 16 7" xfId="5473" xr:uid="{00000000-0005-0000-0000-0000FA150000}"/>
    <cellStyle name="Comma 17" xfId="2927" xr:uid="{00000000-0005-0000-0000-0000ED000000}"/>
    <cellStyle name="Comma 17 10" xfId="8704" xr:uid="{00000000-0005-0000-0000-000003160000}"/>
    <cellStyle name="Comma 17 10 2" xfId="8705" xr:uid="{00000000-0005-0000-0000-000004160000}"/>
    <cellStyle name="Comma 17 10 2 2" xfId="8706" xr:uid="{00000000-0005-0000-0000-000005160000}"/>
    <cellStyle name="Comma 17 10 3" xfId="8707" xr:uid="{00000000-0005-0000-0000-000006160000}"/>
    <cellStyle name="Comma 17 10 3 2" xfId="8708" xr:uid="{00000000-0005-0000-0000-000007160000}"/>
    <cellStyle name="Comma 17 11" xfId="8709" xr:uid="{00000000-0005-0000-0000-000008160000}"/>
    <cellStyle name="Comma 17 12" xfId="8710" xr:uid="{00000000-0005-0000-0000-000009160000}"/>
    <cellStyle name="Comma 17 13" xfId="5547" xr:uid="{00000000-0005-0000-0000-000002160000}"/>
    <cellStyle name="Comma 17 2" xfId="5549" xr:uid="{00000000-0005-0000-0000-00000A160000}"/>
    <cellStyle name="Comma 17 2 10" xfId="8711" xr:uid="{00000000-0005-0000-0000-00000B160000}"/>
    <cellStyle name="Comma 17 2 2" xfId="8712" xr:uid="{00000000-0005-0000-0000-00000C160000}"/>
    <cellStyle name="Comma 17 2 2 2" xfId="8713" xr:uid="{00000000-0005-0000-0000-00000D160000}"/>
    <cellStyle name="Comma 17 2 2 2 2" xfId="8714" xr:uid="{00000000-0005-0000-0000-00000E160000}"/>
    <cellStyle name="Comma 17 2 2 2 2 2" xfId="8715" xr:uid="{00000000-0005-0000-0000-00000F160000}"/>
    <cellStyle name="Comma 17 2 2 2 3" xfId="8716" xr:uid="{00000000-0005-0000-0000-000010160000}"/>
    <cellStyle name="Comma 17 2 2 2 3 2" xfId="8717" xr:uid="{00000000-0005-0000-0000-000011160000}"/>
    <cellStyle name="Comma 17 2 2 2 4" xfId="8718" xr:uid="{00000000-0005-0000-0000-000012160000}"/>
    <cellStyle name="Comma 17 2 2 2 4 2" xfId="8719" xr:uid="{00000000-0005-0000-0000-000013160000}"/>
    <cellStyle name="Comma 17 2 2 2 5" xfId="8720" xr:uid="{00000000-0005-0000-0000-000014160000}"/>
    <cellStyle name="Comma 17 2 2 2 5 2" xfId="8721" xr:uid="{00000000-0005-0000-0000-000015160000}"/>
    <cellStyle name="Comma 17 2 2 2 5 2 2" xfId="8722" xr:uid="{00000000-0005-0000-0000-000016160000}"/>
    <cellStyle name="Comma 17 2 2 2 5 3" xfId="8723" xr:uid="{00000000-0005-0000-0000-000017160000}"/>
    <cellStyle name="Comma 17 2 2 2 5 3 2" xfId="8724" xr:uid="{00000000-0005-0000-0000-000018160000}"/>
    <cellStyle name="Comma 17 2 2 3" xfId="8725" xr:uid="{00000000-0005-0000-0000-000019160000}"/>
    <cellStyle name="Comma 17 2 2 3 2" xfId="8726" xr:uid="{00000000-0005-0000-0000-00001A160000}"/>
    <cellStyle name="Comma 17 2 2 3 2 2" xfId="8727" xr:uid="{00000000-0005-0000-0000-00001B160000}"/>
    <cellStyle name="Comma 17 2 2 3 2 3" xfId="8728" xr:uid="{00000000-0005-0000-0000-00001C160000}"/>
    <cellStyle name="Comma 17 2 2 3 3" xfId="8729" xr:uid="{00000000-0005-0000-0000-00001D160000}"/>
    <cellStyle name="Comma 17 2 2 3 4" xfId="8730" xr:uid="{00000000-0005-0000-0000-00001E160000}"/>
    <cellStyle name="Comma 17 2 2 4" xfId="8731" xr:uid="{00000000-0005-0000-0000-00001F160000}"/>
    <cellStyle name="Comma 17 2 2 4 2" xfId="8732" xr:uid="{00000000-0005-0000-0000-000020160000}"/>
    <cellStyle name="Comma 17 2 2 5" xfId="8733" xr:uid="{00000000-0005-0000-0000-000021160000}"/>
    <cellStyle name="Comma 17 2 2 5 2" xfId="8734" xr:uid="{00000000-0005-0000-0000-000022160000}"/>
    <cellStyle name="Comma 17 2 2 5 3" xfId="8735" xr:uid="{00000000-0005-0000-0000-000023160000}"/>
    <cellStyle name="Comma 17 2 2 5 4" xfId="8736" xr:uid="{00000000-0005-0000-0000-000024160000}"/>
    <cellStyle name="Comma 17 2 2 6" xfId="8737" xr:uid="{00000000-0005-0000-0000-000025160000}"/>
    <cellStyle name="Comma 17 2 2 6 2" xfId="8738" xr:uid="{00000000-0005-0000-0000-000026160000}"/>
    <cellStyle name="Comma 17 2 2 7" xfId="8739" xr:uid="{00000000-0005-0000-0000-000027160000}"/>
    <cellStyle name="Comma 17 2 2 7 2" xfId="8740" xr:uid="{00000000-0005-0000-0000-000028160000}"/>
    <cellStyle name="Comma 17 2 2 7 2 2" xfId="8741" xr:uid="{00000000-0005-0000-0000-000029160000}"/>
    <cellStyle name="Comma 17 2 2 7 3" xfId="8742" xr:uid="{00000000-0005-0000-0000-00002A160000}"/>
    <cellStyle name="Comma 17 2 2 7 3 2" xfId="8743" xr:uid="{00000000-0005-0000-0000-00002B160000}"/>
    <cellStyle name="Comma 17 2 2 8" xfId="8744" xr:uid="{00000000-0005-0000-0000-00002C160000}"/>
    <cellStyle name="Comma 17 2 3" xfId="8745" xr:uid="{00000000-0005-0000-0000-00002D160000}"/>
    <cellStyle name="Comma 17 2 3 2" xfId="8746" xr:uid="{00000000-0005-0000-0000-00002E160000}"/>
    <cellStyle name="Comma 17 2 3 3" xfId="8747" xr:uid="{00000000-0005-0000-0000-00002F160000}"/>
    <cellStyle name="Comma 17 2 3 3 2" xfId="8748" xr:uid="{00000000-0005-0000-0000-000030160000}"/>
    <cellStyle name="Comma 17 2 3 4" xfId="8749" xr:uid="{00000000-0005-0000-0000-000031160000}"/>
    <cellStyle name="Comma 17 2 3 4 2" xfId="8750" xr:uid="{00000000-0005-0000-0000-000032160000}"/>
    <cellStyle name="Comma 17 2 3 5" xfId="8751" xr:uid="{00000000-0005-0000-0000-000033160000}"/>
    <cellStyle name="Comma 17 2 3 5 2" xfId="8752" xr:uid="{00000000-0005-0000-0000-000034160000}"/>
    <cellStyle name="Comma 17 2 3 6" xfId="8753" xr:uid="{00000000-0005-0000-0000-000035160000}"/>
    <cellStyle name="Comma 17 2 3 6 2" xfId="8754" xr:uid="{00000000-0005-0000-0000-000036160000}"/>
    <cellStyle name="Comma 17 2 3 6 2 2" xfId="8755" xr:uid="{00000000-0005-0000-0000-000037160000}"/>
    <cellStyle name="Comma 17 2 3 6 3" xfId="8756" xr:uid="{00000000-0005-0000-0000-000038160000}"/>
    <cellStyle name="Comma 17 2 3 6 3 2" xfId="8757" xr:uid="{00000000-0005-0000-0000-000039160000}"/>
    <cellStyle name="Comma 17 2 4" xfId="8758" xr:uid="{00000000-0005-0000-0000-00003A160000}"/>
    <cellStyle name="Comma 17 2 5" xfId="8759" xr:uid="{00000000-0005-0000-0000-00003B160000}"/>
    <cellStyle name="Comma 17 2 5 2" xfId="8760" xr:uid="{00000000-0005-0000-0000-00003C160000}"/>
    <cellStyle name="Comma 17 2 5 2 2" xfId="8761" xr:uid="{00000000-0005-0000-0000-00003D160000}"/>
    <cellStyle name="Comma 17 2 5 2 3" xfId="8762" xr:uid="{00000000-0005-0000-0000-00003E160000}"/>
    <cellStyle name="Comma 17 2 5 3" xfId="8763" xr:uid="{00000000-0005-0000-0000-00003F160000}"/>
    <cellStyle name="Comma 17 2 5 4" xfId="8764" xr:uid="{00000000-0005-0000-0000-000040160000}"/>
    <cellStyle name="Comma 17 2 6" xfId="8765" xr:uid="{00000000-0005-0000-0000-000041160000}"/>
    <cellStyle name="Comma 17 2 6 2" xfId="8766" xr:uid="{00000000-0005-0000-0000-000042160000}"/>
    <cellStyle name="Comma 17 2 7" xfId="8767" xr:uid="{00000000-0005-0000-0000-000043160000}"/>
    <cellStyle name="Comma 17 2 7 2" xfId="8768" xr:uid="{00000000-0005-0000-0000-000044160000}"/>
    <cellStyle name="Comma 17 2 7 3" xfId="8769" xr:uid="{00000000-0005-0000-0000-000045160000}"/>
    <cellStyle name="Comma 17 2 7 4" xfId="8770" xr:uid="{00000000-0005-0000-0000-000046160000}"/>
    <cellStyle name="Comma 17 2 8" xfId="8771" xr:uid="{00000000-0005-0000-0000-000047160000}"/>
    <cellStyle name="Comma 17 2 8 2" xfId="8772" xr:uid="{00000000-0005-0000-0000-000048160000}"/>
    <cellStyle name="Comma 17 2 8 3" xfId="8773" xr:uid="{00000000-0005-0000-0000-000049160000}"/>
    <cellStyle name="Comma 17 2 8 4" xfId="8774" xr:uid="{00000000-0005-0000-0000-00004A160000}"/>
    <cellStyle name="Comma 17 2 9" xfId="8775" xr:uid="{00000000-0005-0000-0000-00004B160000}"/>
    <cellStyle name="Comma 17 2 9 2" xfId="8776" xr:uid="{00000000-0005-0000-0000-00004C160000}"/>
    <cellStyle name="Comma 17 2 9 2 2" xfId="8777" xr:uid="{00000000-0005-0000-0000-00004D160000}"/>
    <cellStyle name="Comma 17 2 9 3" xfId="8778" xr:uid="{00000000-0005-0000-0000-00004E160000}"/>
    <cellStyle name="Comma 17 2 9 3 2" xfId="8779" xr:uid="{00000000-0005-0000-0000-00004F160000}"/>
    <cellStyle name="Comma 17 3" xfId="8780" xr:uid="{00000000-0005-0000-0000-000050160000}"/>
    <cellStyle name="Comma 17 3 2" xfId="8781" xr:uid="{00000000-0005-0000-0000-000051160000}"/>
    <cellStyle name="Comma 17 3 2 2" xfId="8782" xr:uid="{00000000-0005-0000-0000-000052160000}"/>
    <cellStyle name="Comma 17 3 2 2 2" xfId="8783" xr:uid="{00000000-0005-0000-0000-000053160000}"/>
    <cellStyle name="Comma 17 3 2 3" xfId="8784" xr:uid="{00000000-0005-0000-0000-000054160000}"/>
    <cellStyle name="Comma 17 3 2 3 2" xfId="8785" xr:uid="{00000000-0005-0000-0000-000055160000}"/>
    <cellStyle name="Comma 17 3 2 4" xfId="8786" xr:uid="{00000000-0005-0000-0000-000056160000}"/>
    <cellStyle name="Comma 17 3 2 4 2" xfId="8787" xr:uid="{00000000-0005-0000-0000-000057160000}"/>
    <cellStyle name="Comma 17 3 2 5" xfId="8788" xr:uid="{00000000-0005-0000-0000-000058160000}"/>
    <cellStyle name="Comma 17 3 2 5 2" xfId="8789" xr:uid="{00000000-0005-0000-0000-000059160000}"/>
    <cellStyle name="Comma 17 3 2 5 2 2" xfId="8790" xr:uid="{00000000-0005-0000-0000-00005A160000}"/>
    <cellStyle name="Comma 17 3 2 5 3" xfId="8791" xr:uid="{00000000-0005-0000-0000-00005B160000}"/>
    <cellStyle name="Comma 17 3 2 5 3 2" xfId="8792" xr:uid="{00000000-0005-0000-0000-00005C160000}"/>
    <cellStyle name="Comma 17 3 3" xfId="8793" xr:uid="{00000000-0005-0000-0000-00005D160000}"/>
    <cellStyle name="Comma 17 3 3 2" xfId="8794" xr:uid="{00000000-0005-0000-0000-00005E160000}"/>
    <cellStyle name="Comma 17 3 3 2 2" xfId="8795" xr:uid="{00000000-0005-0000-0000-00005F160000}"/>
    <cellStyle name="Comma 17 3 3 2 3" xfId="8796" xr:uid="{00000000-0005-0000-0000-000060160000}"/>
    <cellStyle name="Comma 17 3 3 3" xfId="8797" xr:uid="{00000000-0005-0000-0000-000061160000}"/>
    <cellStyle name="Comma 17 3 3 4" xfId="8798" xr:uid="{00000000-0005-0000-0000-000062160000}"/>
    <cellStyle name="Comma 17 3 4" xfId="8799" xr:uid="{00000000-0005-0000-0000-000063160000}"/>
    <cellStyle name="Comma 17 3 4 2" xfId="8800" xr:uid="{00000000-0005-0000-0000-000064160000}"/>
    <cellStyle name="Comma 17 3 5" xfId="8801" xr:uid="{00000000-0005-0000-0000-000065160000}"/>
    <cellStyle name="Comma 17 3 5 2" xfId="8802" xr:uid="{00000000-0005-0000-0000-000066160000}"/>
    <cellStyle name="Comma 17 3 5 3" xfId="8803" xr:uid="{00000000-0005-0000-0000-000067160000}"/>
    <cellStyle name="Comma 17 3 5 4" xfId="8804" xr:uid="{00000000-0005-0000-0000-000068160000}"/>
    <cellStyle name="Comma 17 3 6" xfId="8805" xr:uid="{00000000-0005-0000-0000-000069160000}"/>
    <cellStyle name="Comma 17 3 6 2" xfId="8806" xr:uid="{00000000-0005-0000-0000-00006A160000}"/>
    <cellStyle name="Comma 17 3 7" xfId="8807" xr:uid="{00000000-0005-0000-0000-00006B160000}"/>
    <cellStyle name="Comma 17 3 7 2" xfId="8808" xr:uid="{00000000-0005-0000-0000-00006C160000}"/>
    <cellStyle name="Comma 17 3 7 2 2" xfId="8809" xr:uid="{00000000-0005-0000-0000-00006D160000}"/>
    <cellStyle name="Comma 17 3 7 3" xfId="8810" xr:uid="{00000000-0005-0000-0000-00006E160000}"/>
    <cellStyle name="Comma 17 3 7 3 2" xfId="8811" xr:uid="{00000000-0005-0000-0000-00006F160000}"/>
    <cellStyle name="Comma 17 3 8" xfId="8812" xr:uid="{00000000-0005-0000-0000-000070160000}"/>
    <cellStyle name="Comma 17 4" xfId="8813" xr:uid="{00000000-0005-0000-0000-000071160000}"/>
    <cellStyle name="Comma 17 4 2" xfId="8814" xr:uid="{00000000-0005-0000-0000-000072160000}"/>
    <cellStyle name="Comma 17 4 3" xfId="8815" xr:uid="{00000000-0005-0000-0000-000073160000}"/>
    <cellStyle name="Comma 17 4 3 2" xfId="8816" xr:uid="{00000000-0005-0000-0000-000074160000}"/>
    <cellStyle name="Comma 17 4 4" xfId="8817" xr:uid="{00000000-0005-0000-0000-000075160000}"/>
    <cellStyle name="Comma 17 4 4 2" xfId="8818" xr:uid="{00000000-0005-0000-0000-000076160000}"/>
    <cellStyle name="Comma 17 4 4 3" xfId="8819" xr:uid="{00000000-0005-0000-0000-000077160000}"/>
    <cellStyle name="Comma 17 4 4 4" xfId="8820" xr:uid="{00000000-0005-0000-0000-000078160000}"/>
    <cellStyle name="Comma 17 4 5" xfId="8821" xr:uid="{00000000-0005-0000-0000-000079160000}"/>
    <cellStyle name="Comma 17 4 5 2" xfId="8822" xr:uid="{00000000-0005-0000-0000-00007A160000}"/>
    <cellStyle name="Comma 17 4 6" xfId="8823" xr:uid="{00000000-0005-0000-0000-00007B160000}"/>
    <cellStyle name="Comma 17 4 6 2" xfId="8824" xr:uid="{00000000-0005-0000-0000-00007C160000}"/>
    <cellStyle name="Comma 17 4 6 2 2" xfId="8825" xr:uid="{00000000-0005-0000-0000-00007D160000}"/>
    <cellStyle name="Comma 17 4 6 3" xfId="8826" xr:uid="{00000000-0005-0000-0000-00007E160000}"/>
    <cellStyle name="Comma 17 4 6 3 2" xfId="8827" xr:uid="{00000000-0005-0000-0000-00007F160000}"/>
    <cellStyle name="Comma 17 4 7" xfId="8828" xr:uid="{00000000-0005-0000-0000-000080160000}"/>
    <cellStyle name="Comma 17 5" xfId="8829" xr:uid="{00000000-0005-0000-0000-000081160000}"/>
    <cellStyle name="Comma 17 6" xfId="8830" xr:uid="{00000000-0005-0000-0000-000082160000}"/>
    <cellStyle name="Comma 17 6 2" xfId="8831" xr:uid="{00000000-0005-0000-0000-000083160000}"/>
    <cellStyle name="Comma 17 6 2 2" xfId="8832" xr:uid="{00000000-0005-0000-0000-000084160000}"/>
    <cellStyle name="Comma 17 6 2 3" xfId="8833" xr:uid="{00000000-0005-0000-0000-000085160000}"/>
    <cellStyle name="Comma 17 6 3" xfId="8834" xr:uid="{00000000-0005-0000-0000-000086160000}"/>
    <cellStyle name="Comma 17 6 4" xfId="8835" xr:uid="{00000000-0005-0000-0000-000087160000}"/>
    <cellStyle name="Comma 17 7" xfId="8836" xr:uid="{00000000-0005-0000-0000-000088160000}"/>
    <cellStyle name="Comma 17 7 2" xfId="8837" xr:uid="{00000000-0005-0000-0000-000089160000}"/>
    <cellStyle name="Comma 17 8" xfId="8838" xr:uid="{00000000-0005-0000-0000-00008A160000}"/>
    <cellStyle name="Comma 17 8 2" xfId="8839" xr:uid="{00000000-0005-0000-0000-00008B160000}"/>
    <cellStyle name="Comma 17 8 3" xfId="8840" xr:uid="{00000000-0005-0000-0000-00008C160000}"/>
    <cellStyle name="Comma 17 8 4" xfId="8841" xr:uid="{00000000-0005-0000-0000-00008D160000}"/>
    <cellStyle name="Comma 17 9" xfId="8842" xr:uid="{00000000-0005-0000-0000-00008E160000}"/>
    <cellStyle name="Comma 17 9 2" xfId="8843" xr:uid="{00000000-0005-0000-0000-00008F160000}"/>
    <cellStyle name="Comma 17 9 3" xfId="8844" xr:uid="{00000000-0005-0000-0000-000090160000}"/>
    <cellStyle name="Comma 17 9 4" xfId="8845" xr:uid="{00000000-0005-0000-0000-000091160000}"/>
    <cellStyle name="Comma 18" xfId="2917" xr:uid="{00000000-0005-0000-0000-0000EE000000}"/>
    <cellStyle name="Comma 18 2" xfId="8846" xr:uid="{00000000-0005-0000-0000-000093160000}"/>
    <cellStyle name="Comma 18 2 2" xfId="8847" xr:uid="{00000000-0005-0000-0000-000094160000}"/>
    <cellStyle name="Comma 18 3" xfId="8848" xr:uid="{00000000-0005-0000-0000-000095160000}"/>
    <cellStyle name="Comma 18 4" xfId="8849" xr:uid="{00000000-0005-0000-0000-000096160000}"/>
    <cellStyle name="Comma 18 5" xfId="5471" xr:uid="{00000000-0005-0000-0000-000092160000}"/>
    <cellStyle name="Comma 19" xfId="2915" xr:uid="{00000000-0005-0000-0000-0000EF000000}"/>
    <cellStyle name="Comma 19 2" xfId="8850" xr:uid="{00000000-0005-0000-0000-000098160000}"/>
    <cellStyle name="Comma 19 3" xfId="8851" xr:uid="{00000000-0005-0000-0000-000099160000}"/>
    <cellStyle name="Comma 19 4" xfId="8852" xr:uid="{00000000-0005-0000-0000-00009A160000}"/>
    <cellStyle name="Comma 19 5" xfId="5548" xr:uid="{00000000-0005-0000-0000-000097160000}"/>
    <cellStyle name="Comma 2" xfId="4" xr:uid="{00000000-0005-0000-0000-000000000000}"/>
    <cellStyle name="Comma 2 10" xfId="8853" xr:uid="{00000000-0005-0000-0000-00009C160000}"/>
    <cellStyle name="Comma 2 11" xfId="8854" xr:uid="{00000000-0005-0000-0000-00009D160000}"/>
    <cellStyle name="Comma 2 12" xfId="20567" xr:uid="{59C17EA5-08AD-4D80-AC1C-ED4B65E39469}"/>
    <cellStyle name="Comma 2 2" xfId="61" xr:uid="{00000000-0005-0000-0000-000001000000}"/>
    <cellStyle name="Comma 2 2 2" xfId="163" xr:uid="{00000000-0005-0000-0000-000001000000}"/>
    <cellStyle name="Comma 2 2 2 2" xfId="398" xr:uid="{00000000-0005-0000-0000-0000F2000000}"/>
    <cellStyle name="Comma 2 2 2 2 2" xfId="8855" xr:uid="{00000000-0005-0000-0000-0000A0160000}"/>
    <cellStyle name="Comma 2 2 2 3" xfId="8856" xr:uid="{00000000-0005-0000-0000-0000A1160000}"/>
    <cellStyle name="Comma 2 2 2 4" xfId="5470" xr:uid="{00000000-0005-0000-0000-00009F160000}"/>
    <cellStyle name="Comma 2 2 3" xfId="397" xr:uid="{00000000-0005-0000-0000-0000F1000000}"/>
    <cellStyle name="Comma 2 2 3 2" xfId="8857" xr:uid="{00000000-0005-0000-0000-0000A2160000}"/>
    <cellStyle name="Comma 2 2 4" xfId="8858" xr:uid="{00000000-0005-0000-0000-0000A3160000}"/>
    <cellStyle name="Comma 2 3" xfId="109" xr:uid="{00000000-0005-0000-0000-000000000000}"/>
    <cellStyle name="Comma 2 3 2" xfId="399" xr:uid="{00000000-0005-0000-0000-0000F3000000}"/>
    <cellStyle name="Comma 2 3 2 2" xfId="8859" xr:uid="{00000000-0005-0000-0000-0000A5160000}"/>
    <cellStyle name="Comma 2 3 3" xfId="8860" xr:uid="{00000000-0005-0000-0000-0000A6160000}"/>
    <cellStyle name="Comma 2 3 3 2" xfId="8861" xr:uid="{00000000-0005-0000-0000-0000A7160000}"/>
    <cellStyle name="Comma 2 3 4" xfId="8862" xr:uid="{00000000-0005-0000-0000-0000A8160000}"/>
    <cellStyle name="Comma 2 3 5" xfId="8863" xr:uid="{00000000-0005-0000-0000-0000A9160000}"/>
    <cellStyle name="Comma 2 3 6" xfId="8864" xr:uid="{00000000-0005-0000-0000-0000AA160000}"/>
    <cellStyle name="Comma 2 3 6 2" xfId="8865" xr:uid="{00000000-0005-0000-0000-0000AB160000}"/>
    <cellStyle name="Comma 2 3 6 3" xfId="8866" xr:uid="{00000000-0005-0000-0000-0000AC160000}"/>
    <cellStyle name="Comma 2 3 6 4" xfId="8867" xr:uid="{00000000-0005-0000-0000-0000AD160000}"/>
    <cellStyle name="Comma 2 3 7" xfId="8868" xr:uid="{00000000-0005-0000-0000-0000AE160000}"/>
    <cellStyle name="Comma 2 3 8" xfId="8869" xr:uid="{00000000-0005-0000-0000-0000AF160000}"/>
    <cellStyle name="Comma 2 3 9" xfId="5551" xr:uid="{00000000-0005-0000-0000-0000A4160000}"/>
    <cellStyle name="Comma 2 4" xfId="2869" xr:uid="{00000000-0005-0000-0000-0000F4000000}"/>
    <cellStyle name="Comma 2 4 2" xfId="2930" xr:uid="{00000000-0005-0000-0000-0000F5000000}"/>
    <cellStyle name="Comma 2 4 2 2" xfId="8870" xr:uid="{00000000-0005-0000-0000-0000B1160000}"/>
    <cellStyle name="Comma 2 4 3" xfId="5469" xr:uid="{00000000-0005-0000-0000-0000B0160000}"/>
    <cellStyle name="Comma 2 5" xfId="2874" xr:uid="{00000000-0005-0000-0000-0000F6000000}"/>
    <cellStyle name="Comma 2 5 2" xfId="8872" xr:uid="{00000000-0005-0000-0000-0000B3160000}"/>
    <cellStyle name="Comma 2 5 2 2" xfId="8873" xr:uid="{00000000-0005-0000-0000-0000B4160000}"/>
    <cellStyle name="Comma 2 5 2 2 2" xfId="8874" xr:uid="{00000000-0005-0000-0000-0000B5160000}"/>
    <cellStyle name="Comma 2 5 2 2 3" xfId="8875" xr:uid="{00000000-0005-0000-0000-0000B6160000}"/>
    <cellStyle name="Comma 2 5 2 2 4" xfId="8876" xr:uid="{00000000-0005-0000-0000-0000B7160000}"/>
    <cellStyle name="Comma 2 5 2 3" xfId="8877" xr:uid="{00000000-0005-0000-0000-0000B8160000}"/>
    <cellStyle name="Comma 2 5 2 3 2" xfId="8878" xr:uid="{00000000-0005-0000-0000-0000B9160000}"/>
    <cellStyle name="Comma 2 5 2 4" xfId="8879" xr:uid="{00000000-0005-0000-0000-0000BA160000}"/>
    <cellStyle name="Comma 2 5 2 5" xfId="8880" xr:uid="{00000000-0005-0000-0000-0000BB160000}"/>
    <cellStyle name="Comma 2 5 2 5 2" xfId="8881" xr:uid="{00000000-0005-0000-0000-0000BC160000}"/>
    <cellStyle name="Comma 2 5 2 6" xfId="8882" xr:uid="{00000000-0005-0000-0000-0000BD160000}"/>
    <cellStyle name="Comma 2 5 2 6 2" xfId="8883" xr:uid="{00000000-0005-0000-0000-0000BE160000}"/>
    <cellStyle name="Comma 2 5 2 6 2 2" xfId="8884" xr:uid="{00000000-0005-0000-0000-0000BF160000}"/>
    <cellStyle name="Comma 2 5 2 6 3" xfId="8885" xr:uid="{00000000-0005-0000-0000-0000C0160000}"/>
    <cellStyle name="Comma 2 5 2 6 3 2" xfId="8886" xr:uid="{00000000-0005-0000-0000-0000C1160000}"/>
    <cellStyle name="Comma 2 5 2 7" xfId="8887" xr:uid="{00000000-0005-0000-0000-0000C2160000}"/>
    <cellStyle name="Comma 2 5 2 8" xfId="8888" xr:uid="{00000000-0005-0000-0000-0000C3160000}"/>
    <cellStyle name="Comma 2 5 3" xfId="8889" xr:uid="{00000000-0005-0000-0000-0000C4160000}"/>
    <cellStyle name="Comma 2 5 3 2" xfId="8890" xr:uid="{00000000-0005-0000-0000-0000C5160000}"/>
    <cellStyle name="Comma 2 5 4" xfId="8891" xr:uid="{00000000-0005-0000-0000-0000C6160000}"/>
    <cellStyle name="Comma 2 5 4 2" xfId="8892" xr:uid="{00000000-0005-0000-0000-0000C7160000}"/>
    <cellStyle name="Comma 2 5 5" xfId="8893" xr:uid="{00000000-0005-0000-0000-0000C8160000}"/>
    <cellStyle name="Comma 2 5 5 2" xfId="8894" xr:uid="{00000000-0005-0000-0000-0000C9160000}"/>
    <cellStyle name="Comma 2 5 6" xfId="8895" xr:uid="{00000000-0005-0000-0000-0000CA160000}"/>
    <cellStyle name="Comma 2 5 6 2" xfId="8896" xr:uid="{00000000-0005-0000-0000-0000CB160000}"/>
    <cellStyle name="Comma 2 5 6 2 2" xfId="8897" xr:uid="{00000000-0005-0000-0000-0000CC160000}"/>
    <cellStyle name="Comma 2 5 6 3" xfId="8898" xr:uid="{00000000-0005-0000-0000-0000CD160000}"/>
    <cellStyle name="Comma 2 5 6 3 2" xfId="8899" xr:uid="{00000000-0005-0000-0000-0000CE160000}"/>
    <cellStyle name="Comma 2 5 7" xfId="8871" xr:uid="{00000000-0005-0000-0000-0000B2160000}"/>
    <cellStyle name="Comma 2 6" xfId="2934" xr:uid="{00000000-0005-0000-0000-0000F7000000}"/>
    <cellStyle name="Comma 2 6 10" xfId="8900" xr:uid="{00000000-0005-0000-0000-0000CF160000}"/>
    <cellStyle name="Comma 2 6 2" xfId="8901" xr:uid="{00000000-0005-0000-0000-0000D0160000}"/>
    <cellStyle name="Comma 2 6 2 2" xfId="8902" xr:uid="{00000000-0005-0000-0000-0000D1160000}"/>
    <cellStyle name="Comma 2 6 2 2 2" xfId="8903" xr:uid="{00000000-0005-0000-0000-0000D2160000}"/>
    <cellStyle name="Comma 2 6 2 3" xfId="8904" xr:uid="{00000000-0005-0000-0000-0000D3160000}"/>
    <cellStyle name="Comma 2 6 2 4" xfId="8905" xr:uid="{00000000-0005-0000-0000-0000D4160000}"/>
    <cellStyle name="Comma 2 6 2 4 2" xfId="8906" xr:uid="{00000000-0005-0000-0000-0000D5160000}"/>
    <cellStyle name="Comma 2 6 2 5" xfId="8907" xr:uid="{00000000-0005-0000-0000-0000D6160000}"/>
    <cellStyle name="Comma 2 6 2 5 2" xfId="8908" xr:uid="{00000000-0005-0000-0000-0000D7160000}"/>
    <cellStyle name="Comma 2 6 2 5 2 2" xfId="8909" xr:uid="{00000000-0005-0000-0000-0000D8160000}"/>
    <cellStyle name="Comma 2 6 2 5 3" xfId="8910" xr:uid="{00000000-0005-0000-0000-0000D9160000}"/>
    <cellStyle name="Comma 2 6 2 5 3 2" xfId="8911" xr:uid="{00000000-0005-0000-0000-0000DA160000}"/>
    <cellStyle name="Comma 2 6 2 6" xfId="8912" xr:uid="{00000000-0005-0000-0000-0000DB160000}"/>
    <cellStyle name="Comma 2 6 2 7" xfId="8913" xr:uid="{00000000-0005-0000-0000-0000DC160000}"/>
    <cellStyle name="Comma 2 6 3" xfId="8914" xr:uid="{00000000-0005-0000-0000-0000DD160000}"/>
    <cellStyle name="Comma 2 6 3 2" xfId="8915" xr:uid="{00000000-0005-0000-0000-0000DE160000}"/>
    <cellStyle name="Comma 2 6 4" xfId="8916" xr:uid="{00000000-0005-0000-0000-0000DF160000}"/>
    <cellStyle name="Comma 2 6 4 2" xfId="8917" xr:uid="{00000000-0005-0000-0000-0000E0160000}"/>
    <cellStyle name="Comma 2 6 5" xfId="8918" xr:uid="{00000000-0005-0000-0000-0000E1160000}"/>
    <cellStyle name="Comma 2 6 6" xfId="8919" xr:uid="{00000000-0005-0000-0000-0000E2160000}"/>
    <cellStyle name="Comma 2 6 6 2" xfId="8920" xr:uid="{00000000-0005-0000-0000-0000E3160000}"/>
    <cellStyle name="Comma 2 6 7" xfId="8921" xr:uid="{00000000-0005-0000-0000-0000E4160000}"/>
    <cellStyle name="Comma 2 6 7 2" xfId="8922" xr:uid="{00000000-0005-0000-0000-0000E5160000}"/>
    <cellStyle name="Comma 2 6 7 2 2" xfId="8923" xr:uid="{00000000-0005-0000-0000-0000E6160000}"/>
    <cellStyle name="Comma 2 6 7 3" xfId="8924" xr:uid="{00000000-0005-0000-0000-0000E7160000}"/>
    <cellStyle name="Comma 2 6 7 3 2" xfId="8925" xr:uid="{00000000-0005-0000-0000-0000E8160000}"/>
    <cellStyle name="Comma 2 6 8" xfId="8926" xr:uid="{00000000-0005-0000-0000-0000E9160000}"/>
    <cellStyle name="Comma 2 6 9" xfId="8927" xr:uid="{00000000-0005-0000-0000-0000EA160000}"/>
    <cellStyle name="Comma 2 7" xfId="8928" xr:uid="{00000000-0005-0000-0000-0000EB160000}"/>
    <cellStyle name="Comma 2 7 2" xfId="8929" xr:uid="{00000000-0005-0000-0000-0000EC160000}"/>
    <cellStyle name="Comma 2 7 2 2" xfId="8930" xr:uid="{00000000-0005-0000-0000-0000ED160000}"/>
    <cellStyle name="Comma 2 7 2 2 2" xfId="8931" xr:uid="{00000000-0005-0000-0000-0000EE160000}"/>
    <cellStyle name="Comma 2 7 2 3" xfId="8932" xr:uid="{00000000-0005-0000-0000-0000EF160000}"/>
    <cellStyle name="Comma 2 7 2 4" xfId="8933" xr:uid="{00000000-0005-0000-0000-0000F0160000}"/>
    <cellStyle name="Comma 2 7 2 4 2" xfId="8934" xr:uid="{00000000-0005-0000-0000-0000F1160000}"/>
    <cellStyle name="Comma 2 7 2 5" xfId="8935" xr:uid="{00000000-0005-0000-0000-0000F2160000}"/>
    <cellStyle name="Comma 2 7 2 5 2" xfId="8936" xr:uid="{00000000-0005-0000-0000-0000F3160000}"/>
    <cellStyle name="Comma 2 7 2 5 2 2" xfId="8937" xr:uid="{00000000-0005-0000-0000-0000F4160000}"/>
    <cellStyle name="Comma 2 7 2 5 3" xfId="8938" xr:uid="{00000000-0005-0000-0000-0000F5160000}"/>
    <cellStyle name="Comma 2 7 2 5 3 2" xfId="8939" xr:uid="{00000000-0005-0000-0000-0000F6160000}"/>
    <cellStyle name="Comma 2 7 2 6" xfId="8940" xr:uid="{00000000-0005-0000-0000-0000F7160000}"/>
    <cellStyle name="Comma 2 7 2 7" xfId="8941" xr:uid="{00000000-0005-0000-0000-0000F8160000}"/>
    <cellStyle name="Comma 2 7 3" xfId="8942" xr:uid="{00000000-0005-0000-0000-0000F9160000}"/>
    <cellStyle name="Comma 2 7 3 2" xfId="8943" xr:uid="{00000000-0005-0000-0000-0000FA160000}"/>
    <cellStyle name="Comma 2 7 4" xfId="8944" xr:uid="{00000000-0005-0000-0000-0000FB160000}"/>
    <cellStyle name="Comma 2 7 4 2" xfId="8945" xr:uid="{00000000-0005-0000-0000-0000FC160000}"/>
    <cellStyle name="Comma 2 7 5" xfId="8946" xr:uid="{00000000-0005-0000-0000-0000FD160000}"/>
    <cellStyle name="Comma 2 7 6" xfId="8947" xr:uid="{00000000-0005-0000-0000-0000FE160000}"/>
    <cellStyle name="Comma 2 7 6 2" xfId="8948" xr:uid="{00000000-0005-0000-0000-0000FF160000}"/>
    <cellStyle name="Comma 2 7 7" xfId="8949" xr:uid="{00000000-0005-0000-0000-000000170000}"/>
    <cellStyle name="Comma 2 7 7 2" xfId="8950" xr:uid="{00000000-0005-0000-0000-000001170000}"/>
    <cellStyle name="Comma 2 7 7 2 2" xfId="8951" xr:uid="{00000000-0005-0000-0000-000002170000}"/>
    <cellStyle name="Comma 2 7 7 3" xfId="8952" xr:uid="{00000000-0005-0000-0000-000003170000}"/>
    <cellStyle name="Comma 2 7 7 3 2" xfId="8953" xr:uid="{00000000-0005-0000-0000-000004170000}"/>
    <cellStyle name="Comma 2 7 8" xfId="8954" xr:uid="{00000000-0005-0000-0000-000005170000}"/>
    <cellStyle name="Comma 2 7 9" xfId="8955" xr:uid="{00000000-0005-0000-0000-000006170000}"/>
    <cellStyle name="Comma 2 8" xfId="8956" xr:uid="{00000000-0005-0000-0000-000007170000}"/>
    <cellStyle name="Comma 2 8 2" xfId="8957" xr:uid="{00000000-0005-0000-0000-000008170000}"/>
    <cellStyle name="Comma 2 8 2 2" xfId="8958" xr:uid="{00000000-0005-0000-0000-000009170000}"/>
    <cellStyle name="Comma 2 8 2 2 2" xfId="8959" xr:uid="{00000000-0005-0000-0000-00000A170000}"/>
    <cellStyle name="Comma 2 8 2 3" xfId="8960" xr:uid="{00000000-0005-0000-0000-00000B170000}"/>
    <cellStyle name="Comma 2 8 2 4" xfId="8961" xr:uid="{00000000-0005-0000-0000-00000C170000}"/>
    <cellStyle name="Comma 2 8 2 4 2" xfId="8962" xr:uid="{00000000-0005-0000-0000-00000D170000}"/>
    <cellStyle name="Comma 2 8 2 5" xfId="8963" xr:uid="{00000000-0005-0000-0000-00000E170000}"/>
    <cellStyle name="Comma 2 8 2 5 2" xfId="8964" xr:uid="{00000000-0005-0000-0000-00000F170000}"/>
    <cellStyle name="Comma 2 8 2 5 2 2" xfId="8965" xr:uid="{00000000-0005-0000-0000-000010170000}"/>
    <cellStyle name="Comma 2 8 2 5 3" xfId="8966" xr:uid="{00000000-0005-0000-0000-000011170000}"/>
    <cellStyle name="Comma 2 8 2 5 3 2" xfId="8967" xr:uid="{00000000-0005-0000-0000-000012170000}"/>
    <cellStyle name="Comma 2 8 2 6" xfId="8968" xr:uid="{00000000-0005-0000-0000-000013170000}"/>
    <cellStyle name="Comma 2 8 2 7" xfId="8969" xr:uid="{00000000-0005-0000-0000-000014170000}"/>
    <cellStyle name="Comma 2 8 3" xfId="8970" xr:uid="{00000000-0005-0000-0000-000015170000}"/>
    <cellStyle name="Comma 2 8 3 2" xfId="8971" xr:uid="{00000000-0005-0000-0000-000016170000}"/>
    <cellStyle name="Comma 2 8 4" xfId="8972" xr:uid="{00000000-0005-0000-0000-000017170000}"/>
    <cellStyle name="Comma 2 8 4 2" xfId="8973" xr:uid="{00000000-0005-0000-0000-000018170000}"/>
    <cellStyle name="Comma 2 8 5" xfId="8974" xr:uid="{00000000-0005-0000-0000-000019170000}"/>
    <cellStyle name="Comma 2 8 6" xfId="8975" xr:uid="{00000000-0005-0000-0000-00001A170000}"/>
    <cellStyle name="Comma 2 8 6 2" xfId="8976" xr:uid="{00000000-0005-0000-0000-00001B170000}"/>
    <cellStyle name="Comma 2 8 7" xfId="8977" xr:uid="{00000000-0005-0000-0000-00001C170000}"/>
    <cellStyle name="Comma 2 8 7 2" xfId="8978" xr:uid="{00000000-0005-0000-0000-00001D170000}"/>
    <cellStyle name="Comma 2 8 7 2 2" xfId="8979" xr:uid="{00000000-0005-0000-0000-00001E170000}"/>
    <cellStyle name="Comma 2 8 7 3" xfId="8980" xr:uid="{00000000-0005-0000-0000-00001F170000}"/>
    <cellStyle name="Comma 2 8 7 3 2" xfId="8981" xr:uid="{00000000-0005-0000-0000-000020170000}"/>
    <cellStyle name="Comma 2 8 8" xfId="8982" xr:uid="{00000000-0005-0000-0000-000021170000}"/>
    <cellStyle name="Comma 2 8 9" xfId="8983" xr:uid="{00000000-0005-0000-0000-000022170000}"/>
    <cellStyle name="Comma 2 9" xfId="5288" xr:uid="{00000000-0005-0000-0000-000023170000}"/>
    <cellStyle name="Comma 20" xfId="2995" xr:uid="{00000000-0005-0000-0000-0000F8000000}"/>
    <cellStyle name="Comma 20 2" xfId="8984" xr:uid="{00000000-0005-0000-0000-000025170000}"/>
    <cellStyle name="Comma 20 3" xfId="8985" xr:uid="{00000000-0005-0000-0000-000026170000}"/>
    <cellStyle name="Comma 20 3 2" xfId="8986" xr:uid="{00000000-0005-0000-0000-000027170000}"/>
    <cellStyle name="Comma 20 4" xfId="8987" xr:uid="{00000000-0005-0000-0000-000028170000}"/>
    <cellStyle name="Comma 20 5" xfId="5468" xr:uid="{00000000-0005-0000-0000-000024170000}"/>
    <cellStyle name="Comma 21" xfId="2991" xr:uid="{00000000-0005-0000-0000-0000F9000000}"/>
    <cellStyle name="Comma 21 2" xfId="8988" xr:uid="{00000000-0005-0000-0000-00002A170000}"/>
    <cellStyle name="Comma 21 3" xfId="8989" xr:uid="{00000000-0005-0000-0000-00002B170000}"/>
    <cellStyle name="Comma 21 3 2" xfId="8990" xr:uid="{00000000-0005-0000-0000-00002C170000}"/>
    <cellStyle name="Comma 21 4" xfId="8991" xr:uid="{00000000-0005-0000-0000-00002D170000}"/>
    <cellStyle name="Comma 21 5" xfId="5467" xr:uid="{00000000-0005-0000-0000-000029170000}"/>
    <cellStyle name="Comma 22" xfId="2988" xr:uid="{00000000-0005-0000-0000-0000FA000000}"/>
    <cellStyle name="Comma 22 2" xfId="8992" xr:uid="{00000000-0005-0000-0000-00002F170000}"/>
    <cellStyle name="Comma 22 3" xfId="8993" xr:uid="{00000000-0005-0000-0000-000030170000}"/>
    <cellStyle name="Comma 22 3 2" xfId="8994" xr:uid="{00000000-0005-0000-0000-000031170000}"/>
    <cellStyle name="Comma 22 4" xfId="8995" xr:uid="{00000000-0005-0000-0000-000032170000}"/>
    <cellStyle name="Comma 22 5" xfId="5466" xr:uid="{00000000-0005-0000-0000-00002E170000}"/>
    <cellStyle name="Comma 23" xfId="2985" xr:uid="{00000000-0005-0000-0000-0000FB000000}"/>
    <cellStyle name="Comma 23 2" xfId="8996" xr:uid="{00000000-0005-0000-0000-000034170000}"/>
    <cellStyle name="Comma 23 3" xfId="8997" xr:uid="{00000000-0005-0000-0000-000035170000}"/>
    <cellStyle name="Comma 23 3 2" xfId="8998" xr:uid="{00000000-0005-0000-0000-000036170000}"/>
    <cellStyle name="Comma 23 4" xfId="8999" xr:uid="{00000000-0005-0000-0000-000037170000}"/>
    <cellStyle name="Comma 23 5" xfId="5465" xr:uid="{00000000-0005-0000-0000-000033170000}"/>
    <cellStyle name="Comma 24" xfId="2982" xr:uid="{00000000-0005-0000-0000-0000FC000000}"/>
    <cellStyle name="Comma 24 2" xfId="9000" xr:uid="{00000000-0005-0000-0000-000039170000}"/>
    <cellStyle name="Comma 24 3" xfId="9001" xr:uid="{00000000-0005-0000-0000-00003A170000}"/>
    <cellStyle name="Comma 24 3 2" xfId="9002" xr:uid="{00000000-0005-0000-0000-00003B170000}"/>
    <cellStyle name="Comma 24 4" xfId="9003" xr:uid="{00000000-0005-0000-0000-00003C170000}"/>
    <cellStyle name="Comma 24 5" xfId="5464" xr:uid="{00000000-0005-0000-0000-000038170000}"/>
    <cellStyle name="Comma 25" xfId="2979" xr:uid="{00000000-0005-0000-0000-0000FD000000}"/>
    <cellStyle name="Comma 25 2" xfId="9004" xr:uid="{00000000-0005-0000-0000-00003E170000}"/>
    <cellStyle name="Comma 25 3" xfId="9005" xr:uid="{00000000-0005-0000-0000-00003F170000}"/>
    <cellStyle name="Comma 25 3 2" xfId="9006" xr:uid="{00000000-0005-0000-0000-000040170000}"/>
    <cellStyle name="Comma 25 4" xfId="9007" xr:uid="{00000000-0005-0000-0000-000041170000}"/>
    <cellStyle name="Comma 25 5" xfId="5463" xr:uid="{00000000-0005-0000-0000-00003D170000}"/>
    <cellStyle name="Comma 26" xfId="2976" xr:uid="{00000000-0005-0000-0000-0000FE000000}"/>
    <cellStyle name="Comma 26 2" xfId="9008" xr:uid="{00000000-0005-0000-0000-000043170000}"/>
    <cellStyle name="Comma 26 3" xfId="9009" xr:uid="{00000000-0005-0000-0000-000044170000}"/>
    <cellStyle name="Comma 26 3 2" xfId="9010" xr:uid="{00000000-0005-0000-0000-000045170000}"/>
    <cellStyle name="Comma 26 4" xfId="9011" xr:uid="{00000000-0005-0000-0000-000046170000}"/>
    <cellStyle name="Comma 26 5" xfId="5462" xr:uid="{00000000-0005-0000-0000-000042170000}"/>
    <cellStyle name="Comma 27" xfId="2974" xr:uid="{00000000-0005-0000-0000-0000FF000000}"/>
    <cellStyle name="Comma 27 2" xfId="9012" xr:uid="{00000000-0005-0000-0000-000048170000}"/>
    <cellStyle name="Comma 27 3" xfId="9013" xr:uid="{00000000-0005-0000-0000-000049170000}"/>
    <cellStyle name="Comma 27 3 2" xfId="9014" xr:uid="{00000000-0005-0000-0000-00004A170000}"/>
    <cellStyle name="Comma 27 4" xfId="9015" xr:uid="{00000000-0005-0000-0000-00004B170000}"/>
    <cellStyle name="Comma 27 5" xfId="5546" xr:uid="{00000000-0005-0000-0000-000047170000}"/>
    <cellStyle name="Comma 28" xfId="2967" xr:uid="{00000000-0005-0000-0000-000000010000}"/>
    <cellStyle name="Comma 28 2" xfId="9016" xr:uid="{00000000-0005-0000-0000-00004D170000}"/>
    <cellStyle name="Comma 28 3" xfId="9017" xr:uid="{00000000-0005-0000-0000-00004E170000}"/>
    <cellStyle name="Comma 28 3 2" xfId="9018" xr:uid="{00000000-0005-0000-0000-00004F170000}"/>
    <cellStyle name="Comma 28 4" xfId="9019" xr:uid="{00000000-0005-0000-0000-000050170000}"/>
    <cellStyle name="Comma 28 5" xfId="5461" xr:uid="{00000000-0005-0000-0000-00004C170000}"/>
    <cellStyle name="Comma 29" xfId="2964" xr:uid="{00000000-0005-0000-0000-000001010000}"/>
    <cellStyle name="Comma 29 2" xfId="9020" xr:uid="{00000000-0005-0000-0000-000052170000}"/>
    <cellStyle name="Comma 29 3" xfId="9021" xr:uid="{00000000-0005-0000-0000-000053170000}"/>
    <cellStyle name="Comma 29 3 2" xfId="9022" xr:uid="{00000000-0005-0000-0000-000054170000}"/>
    <cellStyle name="Comma 29 4" xfId="9023" xr:uid="{00000000-0005-0000-0000-000055170000}"/>
    <cellStyle name="Comma 29 5" xfId="5460" xr:uid="{00000000-0005-0000-0000-000051170000}"/>
    <cellStyle name="Comma 3" xfId="400" xr:uid="{00000000-0005-0000-0000-000002010000}"/>
    <cellStyle name="Comma 3 2" xfId="401" xr:uid="{00000000-0005-0000-0000-000003010000}"/>
    <cellStyle name="Comma 3 2 2" xfId="9024" xr:uid="{00000000-0005-0000-0000-000058170000}"/>
    <cellStyle name="Comma 3 3" xfId="402" xr:uid="{00000000-0005-0000-0000-000004010000}"/>
    <cellStyle name="Comma 3 3 2" xfId="9025" xr:uid="{00000000-0005-0000-0000-00005A170000}"/>
    <cellStyle name="Comma 3 3 2 2" xfId="9026" xr:uid="{00000000-0005-0000-0000-00005B170000}"/>
    <cellStyle name="Comma 3 3 3" xfId="9027" xr:uid="{00000000-0005-0000-0000-00005C170000}"/>
    <cellStyle name="Comma 3 4" xfId="9028" xr:uid="{00000000-0005-0000-0000-00005D170000}"/>
    <cellStyle name="Comma 3 4 2" xfId="9029" xr:uid="{00000000-0005-0000-0000-00005E170000}"/>
    <cellStyle name="Comma 3 4 3" xfId="9030" xr:uid="{00000000-0005-0000-0000-00005F170000}"/>
    <cellStyle name="Comma 3 5" xfId="9031" xr:uid="{00000000-0005-0000-0000-000060170000}"/>
    <cellStyle name="Comma 3 5 2" xfId="9032" xr:uid="{00000000-0005-0000-0000-000061170000}"/>
    <cellStyle name="Comma 3 6" xfId="9033" xr:uid="{00000000-0005-0000-0000-000062170000}"/>
    <cellStyle name="Comma 3 6 2" xfId="9034" xr:uid="{00000000-0005-0000-0000-000063170000}"/>
    <cellStyle name="Comma 3 7" xfId="20546" xr:uid="{3F226CB6-D172-4072-A9EC-B164386A84B9}"/>
    <cellStyle name="Comma 30" xfId="2961" xr:uid="{00000000-0005-0000-0000-000005010000}"/>
    <cellStyle name="Comma 30 2" xfId="9035" xr:uid="{00000000-0005-0000-0000-000065170000}"/>
    <cellStyle name="Comma 30 3" xfId="9036" xr:uid="{00000000-0005-0000-0000-000066170000}"/>
    <cellStyle name="Comma 30 3 2" xfId="9037" xr:uid="{00000000-0005-0000-0000-000067170000}"/>
    <cellStyle name="Comma 30 4" xfId="9038" xr:uid="{00000000-0005-0000-0000-000068170000}"/>
    <cellStyle name="Comma 30 5" xfId="5459" xr:uid="{00000000-0005-0000-0000-000064170000}"/>
    <cellStyle name="Comma 31" xfId="2958" xr:uid="{00000000-0005-0000-0000-000006010000}"/>
    <cellStyle name="Comma 31 2" xfId="9039" xr:uid="{00000000-0005-0000-0000-00006A170000}"/>
    <cellStyle name="Comma 31 3" xfId="9040" xr:uid="{00000000-0005-0000-0000-00006B170000}"/>
    <cellStyle name="Comma 31 3 2" xfId="9041" xr:uid="{00000000-0005-0000-0000-00006C170000}"/>
    <cellStyle name="Comma 31 4" xfId="9042" xr:uid="{00000000-0005-0000-0000-00006D170000}"/>
    <cellStyle name="Comma 31 5" xfId="5458" xr:uid="{00000000-0005-0000-0000-000069170000}"/>
    <cellStyle name="Comma 32" xfId="2955" xr:uid="{00000000-0005-0000-0000-000007010000}"/>
    <cellStyle name="Comma 32 2" xfId="9043" xr:uid="{00000000-0005-0000-0000-00006F170000}"/>
    <cellStyle name="Comma 32 3" xfId="9044" xr:uid="{00000000-0005-0000-0000-000070170000}"/>
    <cellStyle name="Comma 32 3 2" xfId="9045" xr:uid="{00000000-0005-0000-0000-000071170000}"/>
    <cellStyle name="Comma 32 4" xfId="9046" xr:uid="{00000000-0005-0000-0000-000072170000}"/>
    <cellStyle name="Comma 32 5" xfId="5457" xr:uid="{00000000-0005-0000-0000-00006E170000}"/>
    <cellStyle name="Comma 33" xfId="2952" xr:uid="{00000000-0005-0000-0000-000008010000}"/>
    <cellStyle name="Comma 33 2" xfId="9047" xr:uid="{00000000-0005-0000-0000-000074170000}"/>
    <cellStyle name="Comma 33 3" xfId="9048" xr:uid="{00000000-0005-0000-0000-000075170000}"/>
    <cellStyle name="Comma 33 3 2" xfId="9049" xr:uid="{00000000-0005-0000-0000-000076170000}"/>
    <cellStyle name="Comma 33 4" xfId="9050" xr:uid="{00000000-0005-0000-0000-000077170000}"/>
    <cellStyle name="Comma 33 5" xfId="5456" xr:uid="{00000000-0005-0000-0000-000073170000}"/>
    <cellStyle name="Comma 34" xfId="2947" xr:uid="{00000000-0005-0000-0000-000009010000}"/>
    <cellStyle name="Comma 34 2" xfId="9051" xr:uid="{00000000-0005-0000-0000-000079170000}"/>
    <cellStyle name="Comma 34 3" xfId="9052" xr:uid="{00000000-0005-0000-0000-00007A170000}"/>
    <cellStyle name="Comma 34 3 2" xfId="9053" xr:uid="{00000000-0005-0000-0000-00007B170000}"/>
    <cellStyle name="Comma 34 4" xfId="9054" xr:uid="{00000000-0005-0000-0000-00007C170000}"/>
    <cellStyle name="Comma 34 5" xfId="9055" xr:uid="{00000000-0005-0000-0000-00007D170000}"/>
    <cellStyle name="Comma 34 6" xfId="9056" xr:uid="{00000000-0005-0000-0000-00007E170000}"/>
    <cellStyle name="Comma 34 7" xfId="5455" xr:uid="{00000000-0005-0000-0000-000078170000}"/>
    <cellStyle name="Comma 35" xfId="2945" xr:uid="{00000000-0005-0000-0000-00000A010000}"/>
    <cellStyle name="Comma 35 2" xfId="9057" xr:uid="{00000000-0005-0000-0000-000080170000}"/>
    <cellStyle name="Comma 35 3" xfId="9058" xr:uid="{00000000-0005-0000-0000-000081170000}"/>
    <cellStyle name="Comma 35 3 2" xfId="9059" xr:uid="{00000000-0005-0000-0000-000082170000}"/>
    <cellStyle name="Comma 35 4" xfId="9060" xr:uid="{00000000-0005-0000-0000-000083170000}"/>
    <cellStyle name="Comma 35 5" xfId="9061" xr:uid="{00000000-0005-0000-0000-000084170000}"/>
    <cellStyle name="Comma 35 6" xfId="9062" xr:uid="{00000000-0005-0000-0000-000085170000}"/>
    <cellStyle name="Comma 35 7" xfId="5545" xr:uid="{00000000-0005-0000-0000-00007F170000}"/>
    <cellStyle name="Comma 36" xfId="5454" xr:uid="{00000000-0005-0000-0000-000086170000}"/>
    <cellStyle name="Comma 36 2" xfId="9063" xr:uid="{00000000-0005-0000-0000-000087170000}"/>
    <cellStyle name="Comma 36 3" xfId="9064" xr:uid="{00000000-0005-0000-0000-000088170000}"/>
    <cellStyle name="Comma 36 3 2" xfId="9065" xr:uid="{00000000-0005-0000-0000-000089170000}"/>
    <cellStyle name="Comma 36 4" xfId="9066" xr:uid="{00000000-0005-0000-0000-00008A170000}"/>
    <cellStyle name="Comma 36 5" xfId="9067" xr:uid="{00000000-0005-0000-0000-00008B170000}"/>
    <cellStyle name="Comma 36 6" xfId="9068" xr:uid="{00000000-0005-0000-0000-00008C170000}"/>
    <cellStyle name="Comma 37" xfId="5453" xr:uid="{00000000-0005-0000-0000-00008D170000}"/>
    <cellStyle name="Comma 37 2" xfId="9069" xr:uid="{00000000-0005-0000-0000-00008E170000}"/>
    <cellStyle name="Comma 37 3" xfId="9070" xr:uid="{00000000-0005-0000-0000-00008F170000}"/>
    <cellStyle name="Comma 37 3 2" xfId="9071" xr:uid="{00000000-0005-0000-0000-000090170000}"/>
    <cellStyle name="Comma 37 4" xfId="9072" xr:uid="{00000000-0005-0000-0000-000091170000}"/>
    <cellStyle name="Comma 37 5" xfId="9073" xr:uid="{00000000-0005-0000-0000-000092170000}"/>
    <cellStyle name="Comma 37 6" xfId="9074" xr:uid="{00000000-0005-0000-0000-000093170000}"/>
    <cellStyle name="Comma 38" xfId="5452" xr:uid="{00000000-0005-0000-0000-000094170000}"/>
    <cellStyle name="Comma 38 2" xfId="9075" xr:uid="{00000000-0005-0000-0000-000095170000}"/>
    <cellStyle name="Comma 38 3" xfId="9076" xr:uid="{00000000-0005-0000-0000-000096170000}"/>
    <cellStyle name="Comma 38 3 2" xfId="9077" xr:uid="{00000000-0005-0000-0000-000097170000}"/>
    <cellStyle name="Comma 38 4" xfId="9078" xr:uid="{00000000-0005-0000-0000-000098170000}"/>
    <cellStyle name="Comma 38 5" xfId="9079" xr:uid="{00000000-0005-0000-0000-000099170000}"/>
    <cellStyle name="Comma 38 6" xfId="9080" xr:uid="{00000000-0005-0000-0000-00009A170000}"/>
    <cellStyle name="Comma 39" xfId="5451" xr:uid="{00000000-0005-0000-0000-00009B170000}"/>
    <cellStyle name="Comma 39 2" xfId="9081" xr:uid="{00000000-0005-0000-0000-00009C170000}"/>
    <cellStyle name="Comma 39 2 2" xfId="9082" xr:uid="{00000000-0005-0000-0000-00009D170000}"/>
    <cellStyle name="Comma 39 2 2 2" xfId="9083" xr:uid="{00000000-0005-0000-0000-00009E170000}"/>
    <cellStyle name="Comma 39 2 2 2 2" xfId="9084" xr:uid="{00000000-0005-0000-0000-00009F170000}"/>
    <cellStyle name="Comma 39 2 2 2 3" xfId="9085" xr:uid="{00000000-0005-0000-0000-0000A0170000}"/>
    <cellStyle name="Comma 39 2 2 3" xfId="9086" xr:uid="{00000000-0005-0000-0000-0000A1170000}"/>
    <cellStyle name="Comma 39 2 2 4" xfId="9087" xr:uid="{00000000-0005-0000-0000-0000A2170000}"/>
    <cellStyle name="Comma 39 2 3" xfId="9088" xr:uid="{00000000-0005-0000-0000-0000A3170000}"/>
    <cellStyle name="Comma 39 2 3 2" xfId="9089" xr:uid="{00000000-0005-0000-0000-0000A4170000}"/>
    <cellStyle name="Comma 39 2 4" xfId="9090" xr:uid="{00000000-0005-0000-0000-0000A5170000}"/>
    <cellStyle name="Comma 39 2 5" xfId="9091" xr:uid="{00000000-0005-0000-0000-0000A6170000}"/>
    <cellStyle name="Comma 39 2 5 2" xfId="9092" xr:uid="{00000000-0005-0000-0000-0000A7170000}"/>
    <cellStyle name="Comma 39 2 6" xfId="9093" xr:uid="{00000000-0005-0000-0000-0000A8170000}"/>
    <cellStyle name="Comma 39 2 6 2" xfId="9094" xr:uid="{00000000-0005-0000-0000-0000A9170000}"/>
    <cellStyle name="Comma 39 2 6 2 2" xfId="9095" xr:uid="{00000000-0005-0000-0000-0000AA170000}"/>
    <cellStyle name="Comma 39 2 6 3" xfId="9096" xr:uid="{00000000-0005-0000-0000-0000AB170000}"/>
    <cellStyle name="Comma 39 2 6 3 2" xfId="9097" xr:uid="{00000000-0005-0000-0000-0000AC170000}"/>
    <cellStyle name="Comma 39 2 7" xfId="9098" xr:uid="{00000000-0005-0000-0000-0000AD170000}"/>
    <cellStyle name="Comma 39 2 8" xfId="9099" xr:uid="{00000000-0005-0000-0000-0000AE170000}"/>
    <cellStyle name="Comma 39 3" xfId="9100" xr:uid="{00000000-0005-0000-0000-0000AF170000}"/>
    <cellStyle name="Comma 39 3 2" xfId="9101" xr:uid="{00000000-0005-0000-0000-0000B0170000}"/>
    <cellStyle name="Comma 39 3 3" xfId="9102" xr:uid="{00000000-0005-0000-0000-0000B1170000}"/>
    <cellStyle name="Comma 39 3 4" xfId="9103" xr:uid="{00000000-0005-0000-0000-0000B2170000}"/>
    <cellStyle name="Comma 39 4" xfId="9104" xr:uid="{00000000-0005-0000-0000-0000B3170000}"/>
    <cellStyle name="Comma 39 4 2" xfId="9105" xr:uid="{00000000-0005-0000-0000-0000B4170000}"/>
    <cellStyle name="Comma 39 4 3" xfId="9106" xr:uid="{00000000-0005-0000-0000-0000B5170000}"/>
    <cellStyle name="Comma 39 4 4" xfId="9107" xr:uid="{00000000-0005-0000-0000-0000B6170000}"/>
    <cellStyle name="Comma 39 5" xfId="9108" xr:uid="{00000000-0005-0000-0000-0000B7170000}"/>
    <cellStyle name="Comma 39 5 2" xfId="9109" xr:uid="{00000000-0005-0000-0000-0000B8170000}"/>
    <cellStyle name="Comma 39 5 3" xfId="9110" xr:uid="{00000000-0005-0000-0000-0000B9170000}"/>
    <cellStyle name="Comma 39 5 4" xfId="9111" xr:uid="{00000000-0005-0000-0000-0000BA170000}"/>
    <cellStyle name="Comma 39 6" xfId="9112" xr:uid="{00000000-0005-0000-0000-0000BB170000}"/>
    <cellStyle name="Comma 39 6 2" xfId="9113" xr:uid="{00000000-0005-0000-0000-0000BC170000}"/>
    <cellStyle name="Comma 39 6 2 2" xfId="9114" xr:uid="{00000000-0005-0000-0000-0000BD170000}"/>
    <cellStyle name="Comma 39 6 3" xfId="9115" xr:uid="{00000000-0005-0000-0000-0000BE170000}"/>
    <cellStyle name="Comma 39 6 3 2" xfId="9116" xr:uid="{00000000-0005-0000-0000-0000BF170000}"/>
    <cellStyle name="Comma 39 7" xfId="9117" xr:uid="{00000000-0005-0000-0000-0000C0170000}"/>
    <cellStyle name="Comma 39 8" xfId="9118" xr:uid="{00000000-0005-0000-0000-0000C1170000}"/>
    <cellStyle name="Comma 39 9" xfId="9119" xr:uid="{00000000-0005-0000-0000-0000C2170000}"/>
    <cellStyle name="Comma 4" xfId="403" xr:uid="{00000000-0005-0000-0000-00000B010000}"/>
    <cellStyle name="Comma 4 10" xfId="5450" xr:uid="{00000000-0005-0000-0000-0000C3170000}"/>
    <cellStyle name="Comma 4 2" xfId="404" xr:uid="{00000000-0005-0000-0000-00000C010000}"/>
    <cellStyle name="Comma 4 2 2" xfId="9120" xr:uid="{00000000-0005-0000-0000-0000C5170000}"/>
    <cellStyle name="Comma 4 2 2 2" xfId="9121" xr:uid="{00000000-0005-0000-0000-0000C6170000}"/>
    <cellStyle name="Comma 4 2 2 3" xfId="9122" xr:uid="{00000000-0005-0000-0000-0000C7170000}"/>
    <cellStyle name="Comma 4 2 3" xfId="9123" xr:uid="{00000000-0005-0000-0000-0000C8170000}"/>
    <cellStyle name="Comma 4 2 4" xfId="9124" xr:uid="{00000000-0005-0000-0000-0000C9170000}"/>
    <cellStyle name="Comma 4 2 5" xfId="5449" xr:uid="{00000000-0005-0000-0000-0000C4170000}"/>
    <cellStyle name="Comma 4 3" xfId="405" xr:uid="{00000000-0005-0000-0000-00000D010000}"/>
    <cellStyle name="Comma 4 3 2" xfId="9125" xr:uid="{00000000-0005-0000-0000-0000CA170000}"/>
    <cellStyle name="Comma 4 4" xfId="9126" xr:uid="{00000000-0005-0000-0000-0000CB170000}"/>
    <cellStyle name="Comma 4 4 2" xfId="9127" xr:uid="{00000000-0005-0000-0000-0000CC170000}"/>
    <cellStyle name="Comma 4 5" xfId="9128" xr:uid="{00000000-0005-0000-0000-0000CD170000}"/>
    <cellStyle name="Comma 4 6" xfId="9129" xr:uid="{00000000-0005-0000-0000-0000CE170000}"/>
    <cellStyle name="Comma 4 6 2" xfId="9130" xr:uid="{00000000-0005-0000-0000-0000CF170000}"/>
    <cellStyle name="Comma 4 6 2 2" xfId="9131" xr:uid="{00000000-0005-0000-0000-0000D0170000}"/>
    <cellStyle name="Comma 4 6 3" xfId="9132" xr:uid="{00000000-0005-0000-0000-0000D1170000}"/>
    <cellStyle name="Comma 4 6 4" xfId="9133" xr:uid="{00000000-0005-0000-0000-0000D2170000}"/>
    <cellStyle name="Comma 4 6 4 2" xfId="9134" xr:uid="{00000000-0005-0000-0000-0000D3170000}"/>
    <cellStyle name="Comma 4 6 5" xfId="9135" xr:uid="{00000000-0005-0000-0000-0000D4170000}"/>
    <cellStyle name="Comma 4 6 5 2" xfId="9136" xr:uid="{00000000-0005-0000-0000-0000D5170000}"/>
    <cellStyle name="Comma 4 6 5 2 2" xfId="9137" xr:uid="{00000000-0005-0000-0000-0000D6170000}"/>
    <cellStyle name="Comma 4 6 5 3" xfId="9138" xr:uid="{00000000-0005-0000-0000-0000D7170000}"/>
    <cellStyle name="Comma 4 6 5 3 2" xfId="9139" xr:uid="{00000000-0005-0000-0000-0000D8170000}"/>
    <cellStyle name="Comma 4 6 6" xfId="9140" xr:uid="{00000000-0005-0000-0000-0000D9170000}"/>
    <cellStyle name="Comma 4 6 7" xfId="9141" xr:uid="{00000000-0005-0000-0000-0000DA170000}"/>
    <cellStyle name="Comma 4 6 8" xfId="9142" xr:uid="{00000000-0005-0000-0000-0000DB170000}"/>
    <cellStyle name="Comma 4 7" xfId="9143" xr:uid="{00000000-0005-0000-0000-0000DC170000}"/>
    <cellStyle name="Comma 4 8" xfId="9144" xr:uid="{00000000-0005-0000-0000-0000DD170000}"/>
    <cellStyle name="Comma 4 9" xfId="9145" xr:uid="{00000000-0005-0000-0000-0000DE170000}"/>
    <cellStyle name="Comma 4_App b.3 Unspent_" xfId="406" xr:uid="{00000000-0005-0000-0000-00000E010000}"/>
    <cellStyle name="Comma 40" xfId="5448" xr:uid="{00000000-0005-0000-0000-0000DF170000}"/>
    <cellStyle name="Comma 40 2" xfId="9146" xr:uid="{00000000-0005-0000-0000-0000E0170000}"/>
    <cellStyle name="Comma 40 2 2" xfId="9147" xr:uid="{00000000-0005-0000-0000-0000E1170000}"/>
    <cellStyle name="Comma 40 2 2 2" xfId="9148" xr:uid="{00000000-0005-0000-0000-0000E2170000}"/>
    <cellStyle name="Comma 40 2 2 2 2" xfId="9149" xr:uid="{00000000-0005-0000-0000-0000E3170000}"/>
    <cellStyle name="Comma 40 2 2 2 3" xfId="9150" xr:uid="{00000000-0005-0000-0000-0000E4170000}"/>
    <cellStyle name="Comma 40 2 2 3" xfId="9151" xr:uid="{00000000-0005-0000-0000-0000E5170000}"/>
    <cellStyle name="Comma 40 2 2 4" xfId="9152" xr:uid="{00000000-0005-0000-0000-0000E6170000}"/>
    <cellStyle name="Comma 40 2 3" xfId="9153" xr:uid="{00000000-0005-0000-0000-0000E7170000}"/>
    <cellStyle name="Comma 40 2 3 2" xfId="9154" xr:uid="{00000000-0005-0000-0000-0000E8170000}"/>
    <cellStyle name="Comma 40 2 4" xfId="9155" xr:uid="{00000000-0005-0000-0000-0000E9170000}"/>
    <cellStyle name="Comma 40 2 5" xfId="9156" xr:uid="{00000000-0005-0000-0000-0000EA170000}"/>
    <cellStyle name="Comma 40 2 5 2" xfId="9157" xr:uid="{00000000-0005-0000-0000-0000EB170000}"/>
    <cellStyle name="Comma 40 2 6" xfId="9158" xr:uid="{00000000-0005-0000-0000-0000EC170000}"/>
    <cellStyle name="Comma 40 2 6 2" xfId="9159" xr:uid="{00000000-0005-0000-0000-0000ED170000}"/>
    <cellStyle name="Comma 40 2 6 2 2" xfId="9160" xr:uid="{00000000-0005-0000-0000-0000EE170000}"/>
    <cellStyle name="Comma 40 2 6 3" xfId="9161" xr:uid="{00000000-0005-0000-0000-0000EF170000}"/>
    <cellStyle name="Comma 40 2 6 3 2" xfId="9162" xr:uid="{00000000-0005-0000-0000-0000F0170000}"/>
    <cellStyle name="Comma 40 2 7" xfId="9163" xr:uid="{00000000-0005-0000-0000-0000F1170000}"/>
    <cellStyle name="Comma 40 2 8" xfId="9164" xr:uid="{00000000-0005-0000-0000-0000F2170000}"/>
    <cellStyle name="Comma 40 3" xfId="9165" xr:uid="{00000000-0005-0000-0000-0000F3170000}"/>
    <cellStyle name="Comma 40 3 2" xfId="9166" xr:uid="{00000000-0005-0000-0000-0000F4170000}"/>
    <cellStyle name="Comma 40 3 3" xfId="9167" xr:uid="{00000000-0005-0000-0000-0000F5170000}"/>
    <cellStyle name="Comma 40 3 4" xfId="9168" xr:uid="{00000000-0005-0000-0000-0000F6170000}"/>
    <cellStyle name="Comma 40 4" xfId="9169" xr:uid="{00000000-0005-0000-0000-0000F7170000}"/>
    <cellStyle name="Comma 40 4 2" xfId="9170" xr:uid="{00000000-0005-0000-0000-0000F8170000}"/>
    <cellStyle name="Comma 40 4 3" xfId="9171" xr:uid="{00000000-0005-0000-0000-0000F9170000}"/>
    <cellStyle name="Comma 40 4 4" xfId="9172" xr:uid="{00000000-0005-0000-0000-0000FA170000}"/>
    <cellStyle name="Comma 40 5" xfId="9173" xr:uid="{00000000-0005-0000-0000-0000FB170000}"/>
    <cellStyle name="Comma 40 5 2" xfId="9174" xr:uid="{00000000-0005-0000-0000-0000FC170000}"/>
    <cellStyle name="Comma 40 5 3" xfId="9175" xr:uid="{00000000-0005-0000-0000-0000FD170000}"/>
    <cellStyle name="Comma 40 5 4" xfId="9176" xr:uid="{00000000-0005-0000-0000-0000FE170000}"/>
    <cellStyle name="Comma 40 6" xfId="9177" xr:uid="{00000000-0005-0000-0000-0000FF170000}"/>
    <cellStyle name="Comma 40 6 2" xfId="9178" xr:uid="{00000000-0005-0000-0000-000000180000}"/>
    <cellStyle name="Comma 40 6 2 2" xfId="9179" xr:uid="{00000000-0005-0000-0000-000001180000}"/>
    <cellStyle name="Comma 40 6 3" xfId="9180" xr:uid="{00000000-0005-0000-0000-000002180000}"/>
    <cellStyle name="Comma 40 6 3 2" xfId="9181" xr:uid="{00000000-0005-0000-0000-000003180000}"/>
    <cellStyle name="Comma 40 7" xfId="9182" xr:uid="{00000000-0005-0000-0000-000004180000}"/>
    <cellStyle name="Comma 41" xfId="5447" xr:uid="{00000000-0005-0000-0000-000005180000}"/>
    <cellStyle name="Comma 41 2" xfId="9183" xr:uid="{00000000-0005-0000-0000-000006180000}"/>
    <cellStyle name="Comma 41 2 2" xfId="9184" xr:uid="{00000000-0005-0000-0000-000007180000}"/>
    <cellStyle name="Comma 41 2 2 2" xfId="9185" xr:uid="{00000000-0005-0000-0000-000008180000}"/>
    <cellStyle name="Comma 41 2 2 2 2" xfId="9186" xr:uid="{00000000-0005-0000-0000-000009180000}"/>
    <cellStyle name="Comma 41 2 2 2 3" xfId="9187" xr:uid="{00000000-0005-0000-0000-00000A180000}"/>
    <cellStyle name="Comma 41 2 2 3" xfId="9188" xr:uid="{00000000-0005-0000-0000-00000B180000}"/>
    <cellStyle name="Comma 41 2 2 4" xfId="9189" xr:uid="{00000000-0005-0000-0000-00000C180000}"/>
    <cellStyle name="Comma 41 2 3" xfId="9190" xr:uid="{00000000-0005-0000-0000-00000D180000}"/>
    <cellStyle name="Comma 41 2 3 2" xfId="9191" xr:uid="{00000000-0005-0000-0000-00000E180000}"/>
    <cellStyle name="Comma 41 2 4" xfId="9192" xr:uid="{00000000-0005-0000-0000-00000F180000}"/>
    <cellStyle name="Comma 41 2 5" xfId="9193" xr:uid="{00000000-0005-0000-0000-000010180000}"/>
    <cellStyle name="Comma 41 2 5 2" xfId="9194" xr:uid="{00000000-0005-0000-0000-000011180000}"/>
    <cellStyle name="Comma 41 2 6" xfId="9195" xr:uid="{00000000-0005-0000-0000-000012180000}"/>
    <cellStyle name="Comma 41 2 6 2" xfId="9196" xr:uid="{00000000-0005-0000-0000-000013180000}"/>
    <cellStyle name="Comma 41 2 6 2 2" xfId="9197" xr:uid="{00000000-0005-0000-0000-000014180000}"/>
    <cellStyle name="Comma 41 2 6 3" xfId="9198" xr:uid="{00000000-0005-0000-0000-000015180000}"/>
    <cellStyle name="Comma 41 2 6 3 2" xfId="9199" xr:uid="{00000000-0005-0000-0000-000016180000}"/>
    <cellStyle name="Comma 41 2 7" xfId="9200" xr:uid="{00000000-0005-0000-0000-000017180000}"/>
    <cellStyle name="Comma 41 2 8" xfId="9201" xr:uid="{00000000-0005-0000-0000-000018180000}"/>
    <cellStyle name="Comma 41 3" xfId="9202" xr:uid="{00000000-0005-0000-0000-000019180000}"/>
    <cellStyle name="Comma 41 3 2" xfId="9203" xr:uid="{00000000-0005-0000-0000-00001A180000}"/>
    <cellStyle name="Comma 41 3 3" xfId="9204" xr:uid="{00000000-0005-0000-0000-00001B180000}"/>
    <cellStyle name="Comma 41 3 4" xfId="9205" xr:uid="{00000000-0005-0000-0000-00001C180000}"/>
    <cellStyle name="Comma 41 4" xfId="9206" xr:uid="{00000000-0005-0000-0000-00001D180000}"/>
    <cellStyle name="Comma 41 4 2" xfId="9207" xr:uid="{00000000-0005-0000-0000-00001E180000}"/>
    <cellStyle name="Comma 41 4 3" xfId="9208" xr:uid="{00000000-0005-0000-0000-00001F180000}"/>
    <cellStyle name="Comma 41 4 4" xfId="9209" xr:uid="{00000000-0005-0000-0000-000020180000}"/>
    <cellStyle name="Comma 41 5" xfId="9210" xr:uid="{00000000-0005-0000-0000-000021180000}"/>
    <cellStyle name="Comma 41 5 2" xfId="9211" xr:uid="{00000000-0005-0000-0000-000022180000}"/>
    <cellStyle name="Comma 41 5 3" xfId="9212" xr:uid="{00000000-0005-0000-0000-000023180000}"/>
    <cellStyle name="Comma 41 5 4" xfId="9213" xr:uid="{00000000-0005-0000-0000-000024180000}"/>
    <cellStyle name="Comma 41 6" xfId="9214" xr:uid="{00000000-0005-0000-0000-000025180000}"/>
    <cellStyle name="Comma 41 6 2" xfId="9215" xr:uid="{00000000-0005-0000-0000-000026180000}"/>
    <cellStyle name="Comma 41 6 2 2" xfId="9216" xr:uid="{00000000-0005-0000-0000-000027180000}"/>
    <cellStyle name="Comma 41 6 3" xfId="9217" xr:uid="{00000000-0005-0000-0000-000028180000}"/>
    <cellStyle name="Comma 41 6 3 2" xfId="9218" xr:uid="{00000000-0005-0000-0000-000029180000}"/>
    <cellStyle name="Comma 41 7" xfId="9219" xr:uid="{00000000-0005-0000-0000-00002A180000}"/>
    <cellStyle name="Comma 42" xfId="5544" xr:uid="{00000000-0005-0000-0000-00002B180000}"/>
    <cellStyle name="Comma 42 2" xfId="9220" xr:uid="{00000000-0005-0000-0000-00002C180000}"/>
    <cellStyle name="Comma 42 2 2" xfId="9221" xr:uid="{00000000-0005-0000-0000-00002D180000}"/>
    <cellStyle name="Comma 42 2 2 2" xfId="9222" xr:uid="{00000000-0005-0000-0000-00002E180000}"/>
    <cellStyle name="Comma 42 2 2 3" xfId="9223" xr:uid="{00000000-0005-0000-0000-00002F180000}"/>
    <cellStyle name="Comma 42 2 2 4" xfId="9224" xr:uid="{00000000-0005-0000-0000-000030180000}"/>
    <cellStyle name="Comma 42 2 3" xfId="9225" xr:uid="{00000000-0005-0000-0000-000031180000}"/>
    <cellStyle name="Comma 42 2 4" xfId="9226" xr:uid="{00000000-0005-0000-0000-000032180000}"/>
    <cellStyle name="Comma 42 2 4 2" xfId="9227" xr:uid="{00000000-0005-0000-0000-000033180000}"/>
    <cellStyle name="Comma 42 2 5" xfId="9228" xr:uid="{00000000-0005-0000-0000-000034180000}"/>
    <cellStyle name="Comma 42 2 5 2" xfId="9229" xr:uid="{00000000-0005-0000-0000-000035180000}"/>
    <cellStyle name="Comma 42 2 5 2 2" xfId="9230" xr:uid="{00000000-0005-0000-0000-000036180000}"/>
    <cellStyle name="Comma 42 2 5 3" xfId="9231" xr:uid="{00000000-0005-0000-0000-000037180000}"/>
    <cellStyle name="Comma 42 2 5 3 2" xfId="9232" xr:uid="{00000000-0005-0000-0000-000038180000}"/>
    <cellStyle name="Comma 42 2 6" xfId="9233" xr:uid="{00000000-0005-0000-0000-000039180000}"/>
    <cellStyle name="Comma 42 2 7" xfId="9234" xr:uid="{00000000-0005-0000-0000-00003A180000}"/>
    <cellStyle name="Comma 42 3" xfId="9235" xr:uid="{00000000-0005-0000-0000-00003B180000}"/>
    <cellStyle name="Comma 42 3 2" xfId="9236" xr:uid="{00000000-0005-0000-0000-00003C180000}"/>
    <cellStyle name="Comma 42 3 3" xfId="9237" xr:uid="{00000000-0005-0000-0000-00003D180000}"/>
    <cellStyle name="Comma 42 3 4" xfId="9238" xr:uid="{00000000-0005-0000-0000-00003E180000}"/>
    <cellStyle name="Comma 42 4" xfId="9239" xr:uid="{00000000-0005-0000-0000-00003F180000}"/>
    <cellStyle name="Comma 42 4 2" xfId="9240" xr:uid="{00000000-0005-0000-0000-000040180000}"/>
    <cellStyle name="Comma 42 4 3" xfId="9241" xr:uid="{00000000-0005-0000-0000-000041180000}"/>
    <cellStyle name="Comma 42 4 4" xfId="9242" xr:uid="{00000000-0005-0000-0000-000042180000}"/>
    <cellStyle name="Comma 42 5" xfId="9243" xr:uid="{00000000-0005-0000-0000-000043180000}"/>
    <cellStyle name="Comma 42 5 2" xfId="9244" xr:uid="{00000000-0005-0000-0000-000044180000}"/>
    <cellStyle name="Comma 42 5 3" xfId="9245" xr:uid="{00000000-0005-0000-0000-000045180000}"/>
    <cellStyle name="Comma 42 6" xfId="9246" xr:uid="{00000000-0005-0000-0000-000046180000}"/>
    <cellStyle name="Comma 42 6 2" xfId="9247" xr:uid="{00000000-0005-0000-0000-000047180000}"/>
    <cellStyle name="Comma 42 7" xfId="9248" xr:uid="{00000000-0005-0000-0000-000048180000}"/>
    <cellStyle name="Comma 42 7 2" xfId="9249" xr:uid="{00000000-0005-0000-0000-000049180000}"/>
    <cellStyle name="Comma 42 7 2 2" xfId="9250" xr:uid="{00000000-0005-0000-0000-00004A180000}"/>
    <cellStyle name="Comma 42 7 3" xfId="9251" xr:uid="{00000000-0005-0000-0000-00004B180000}"/>
    <cellStyle name="Comma 42 7 3 2" xfId="9252" xr:uid="{00000000-0005-0000-0000-00004C180000}"/>
    <cellStyle name="Comma 42 8" xfId="9253" xr:uid="{00000000-0005-0000-0000-00004D180000}"/>
    <cellStyle name="Comma 43" xfId="5446" xr:uid="{00000000-0005-0000-0000-00004E180000}"/>
    <cellStyle name="Comma 43 2" xfId="9254" xr:uid="{00000000-0005-0000-0000-00004F180000}"/>
    <cellStyle name="Comma 43 2 2" xfId="9255" xr:uid="{00000000-0005-0000-0000-000050180000}"/>
    <cellStyle name="Comma 43 2 2 2" xfId="9256" xr:uid="{00000000-0005-0000-0000-000051180000}"/>
    <cellStyle name="Comma 43 2 2 3" xfId="9257" xr:uid="{00000000-0005-0000-0000-000052180000}"/>
    <cellStyle name="Comma 43 2 2 4" xfId="9258" xr:uid="{00000000-0005-0000-0000-000053180000}"/>
    <cellStyle name="Comma 43 2 3" xfId="9259" xr:uid="{00000000-0005-0000-0000-000054180000}"/>
    <cellStyle name="Comma 43 2 4" xfId="9260" xr:uid="{00000000-0005-0000-0000-000055180000}"/>
    <cellStyle name="Comma 43 2 4 2" xfId="9261" xr:uid="{00000000-0005-0000-0000-000056180000}"/>
    <cellStyle name="Comma 43 2 5" xfId="9262" xr:uid="{00000000-0005-0000-0000-000057180000}"/>
    <cellStyle name="Comma 43 2 5 2" xfId="9263" xr:uid="{00000000-0005-0000-0000-000058180000}"/>
    <cellStyle name="Comma 43 2 5 2 2" xfId="9264" xr:uid="{00000000-0005-0000-0000-000059180000}"/>
    <cellStyle name="Comma 43 2 5 3" xfId="9265" xr:uid="{00000000-0005-0000-0000-00005A180000}"/>
    <cellStyle name="Comma 43 2 5 3 2" xfId="9266" xr:uid="{00000000-0005-0000-0000-00005B180000}"/>
    <cellStyle name="Comma 43 2 6" xfId="9267" xr:uid="{00000000-0005-0000-0000-00005C180000}"/>
    <cellStyle name="Comma 43 2 7" xfId="9268" xr:uid="{00000000-0005-0000-0000-00005D180000}"/>
    <cellStyle name="Comma 43 3" xfId="9269" xr:uid="{00000000-0005-0000-0000-00005E180000}"/>
    <cellStyle name="Comma 43 3 2" xfId="9270" xr:uid="{00000000-0005-0000-0000-00005F180000}"/>
    <cellStyle name="Comma 43 3 3" xfId="9271" xr:uid="{00000000-0005-0000-0000-000060180000}"/>
    <cellStyle name="Comma 43 3 4" xfId="9272" xr:uid="{00000000-0005-0000-0000-000061180000}"/>
    <cellStyle name="Comma 43 4" xfId="9273" xr:uid="{00000000-0005-0000-0000-000062180000}"/>
    <cellStyle name="Comma 43 4 2" xfId="9274" xr:uid="{00000000-0005-0000-0000-000063180000}"/>
    <cellStyle name="Comma 43 4 3" xfId="9275" xr:uid="{00000000-0005-0000-0000-000064180000}"/>
    <cellStyle name="Comma 43 4 4" xfId="9276" xr:uid="{00000000-0005-0000-0000-000065180000}"/>
    <cellStyle name="Comma 43 5" xfId="9277" xr:uid="{00000000-0005-0000-0000-000066180000}"/>
    <cellStyle name="Comma 43 5 2" xfId="9278" xr:uid="{00000000-0005-0000-0000-000067180000}"/>
    <cellStyle name="Comma 43 5 3" xfId="9279" xr:uid="{00000000-0005-0000-0000-000068180000}"/>
    <cellStyle name="Comma 43 6" xfId="9280" xr:uid="{00000000-0005-0000-0000-000069180000}"/>
    <cellStyle name="Comma 43 6 2" xfId="9281" xr:uid="{00000000-0005-0000-0000-00006A180000}"/>
    <cellStyle name="Comma 43 7" xfId="9282" xr:uid="{00000000-0005-0000-0000-00006B180000}"/>
    <cellStyle name="Comma 43 7 2" xfId="9283" xr:uid="{00000000-0005-0000-0000-00006C180000}"/>
    <cellStyle name="Comma 43 7 2 2" xfId="9284" xr:uid="{00000000-0005-0000-0000-00006D180000}"/>
    <cellStyle name="Comma 43 7 3" xfId="9285" xr:uid="{00000000-0005-0000-0000-00006E180000}"/>
    <cellStyle name="Comma 43 7 3 2" xfId="9286" xr:uid="{00000000-0005-0000-0000-00006F180000}"/>
    <cellStyle name="Comma 43 8" xfId="9287" xr:uid="{00000000-0005-0000-0000-000070180000}"/>
    <cellStyle name="Comma 44" xfId="5445" xr:uid="{00000000-0005-0000-0000-000071180000}"/>
    <cellStyle name="Comma 44 2" xfId="9288" xr:uid="{00000000-0005-0000-0000-000072180000}"/>
    <cellStyle name="Comma 44 2 2" xfId="9289" xr:uid="{00000000-0005-0000-0000-000073180000}"/>
    <cellStyle name="Comma 44 2 2 2" xfId="9290" xr:uid="{00000000-0005-0000-0000-000074180000}"/>
    <cellStyle name="Comma 44 2 2 3" xfId="9291" xr:uid="{00000000-0005-0000-0000-000075180000}"/>
    <cellStyle name="Comma 44 2 2 4" xfId="9292" xr:uid="{00000000-0005-0000-0000-000076180000}"/>
    <cellStyle name="Comma 44 2 3" xfId="9293" xr:uid="{00000000-0005-0000-0000-000077180000}"/>
    <cellStyle name="Comma 44 2 4" xfId="9294" xr:uid="{00000000-0005-0000-0000-000078180000}"/>
    <cellStyle name="Comma 44 2 4 2" xfId="9295" xr:uid="{00000000-0005-0000-0000-000079180000}"/>
    <cellStyle name="Comma 44 2 5" xfId="9296" xr:uid="{00000000-0005-0000-0000-00007A180000}"/>
    <cellStyle name="Comma 44 2 5 2" xfId="9297" xr:uid="{00000000-0005-0000-0000-00007B180000}"/>
    <cellStyle name="Comma 44 2 5 2 2" xfId="9298" xr:uid="{00000000-0005-0000-0000-00007C180000}"/>
    <cellStyle name="Comma 44 2 5 3" xfId="9299" xr:uid="{00000000-0005-0000-0000-00007D180000}"/>
    <cellStyle name="Comma 44 2 5 3 2" xfId="9300" xr:uid="{00000000-0005-0000-0000-00007E180000}"/>
    <cellStyle name="Comma 44 2 6" xfId="9301" xr:uid="{00000000-0005-0000-0000-00007F180000}"/>
    <cellStyle name="Comma 44 2 7" xfId="9302" xr:uid="{00000000-0005-0000-0000-000080180000}"/>
    <cellStyle name="Comma 44 3" xfId="9303" xr:uid="{00000000-0005-0000-0000-000081180000}"/>
    <cellStyle name="Comma 44 3 2" xfId="9304" xr:uid="{00000000-0005-0000-0000-000082180000}"/>
    <cellStyle name="Comma 44 3 3" xfId="9305" xr:uid="{00000000-0005-0000-0000-000083180000}"/>
    <cellStyle name="Comma 44 3 4" xfId="9306" xr:uid="{00000000-0005-0000-0000-000084180000}"/>
    <cellStyle name="Comma 44 4" xfId="9307" xr:uid="{00000000-0005-0000-0000-000085180000}"/>
    <cellStyle name="Comma 44 4 2" xfId="9308" xr:uid="{00000000-0005-0000-0000-000086180000}"/>
    <cellStyle name="Comma 44 4 3" xfId="9309" xr:uid="{00000000-0005-0000-0000-000087180000}"/>
    <cellStyle name="Comma 44 4 4" xfId="9310" xr:uid="{00000000-0005-0000-0000-000088180000}"/>
    <cellStyle name="Comma 44 5" xfId="9311" xr:uid="{00000000-0005-0000-0000-000089180000}"/>
    <cellStyle name="Comma 44 5 2" xfId="9312" xr:uid="{00000000-0005-0000-0000-00008A180000}"/>
    <cellStyle name="Comma 44 5 3" xfId="9313" xr:uid="{00000000-0005-0000-0000-00008B180000}"/>
    <cellStyle name="Comma 44 6" xfId="9314" xr:uid="{00000000-0005-0000-0000-00008C180000}"/>
    <cellStyle name="Comma 44 6 2" xfId="9315" xr:uid="{00000000-0005-0000-0000-00008D180000}"/>
    <cellStyle name="Comma 44 7" xfId="9316" xr:uid="{00000000-0005-0000-0000-00008E180000}"/>
    <cellStyle name="Comma 44 7 2" xfId="9317" xr:uid="{00000000-0005-0000-0000-00008F180000}"/>
    <cellStyle name="Comma 44 7 2 2" xfId="9318" xr:uid="{00000000-0005-0000-0000-000090180000}"/>
    <cellStyle name="Comma 44 7 3" xfId="9319" xr:uid="{00000000-0005-0000-0000-000091180000}"/>
    <cellStyle name="Comma 44 7 3 2" xfId="9320" xr:uid="{00000000-0005-0000-0000-000092180000}"/>
    <cellStyle name="Comma 44 8" xfId="9321" xr:uid="{00000000-0005-0000-0000-000093180000}"/>
    <cellStyle name="Comma 45" xfId="5444" xr:uid="{00000000-0005-0000-0000-000094180000}"/>
    <cellStyle name="Comma 45 2" xfId="9322" xr:uid="{00000000-0005-0000-0000-000095180000}"/>
    <cellStyle name="Comma 45 3" xfId="9323" xr:uid="{00000000-0005-0000-0000-000096180000}"/>
    <cellStyle name="Comma 45 4" xfId="9324" xr:uid="{00000000-0005-0000-0000-000097180000}"/>
    <cellStyle name="Comma 45 5" xfId="9325" xr:uid="{00000000-0005-0000-0000-000098180000}"/>
    <cellStyle name="Comma 46" xfId="5443" xr:uid="{00000000-0005-0000-0000-000099180000}"/>
    <cellStyle name="Comma 46 2" xfId="9326" xr:uid="{00000000-0005-0000-0000-00009A180000}"/>
    <cellStyle name="Comma 46 3" xfId="9327" xr:uid="{00000000-0005-0000-0000-00009B180000}"/>
    <cellStyle name="Comma 46 4" xfId="9328" xr:uid="{00000000-0005-0000-0000-00009C180000}"/>
    <cellStyle name="Comma 46 5" xfId="9329" xr:uid="{00000000-0005-0000-0000-00009D180000}"/>
    <cellStyle name="Comma 46 6" xfId="9330" xr:uid="{00000000-0005-0000-0000-00009E180000}"/>
    <cellStyle name="Comma 46 7" xfId="9331" xr:uid="{00000000-0005-0000-0000-00009F180000}"/>
    <cellStyle name="Comma 47" xfId="5442" xr:uid="{00000000-0005-0000-0000-0000A0180000}"/>
    <cellStyle name="Comma 47 2" xfId="9332" xr:uid="{00000000-0005-0000-0000-0000A1180000}"/>
    <cellStyle name="Comma 47 2 2" xfId="9333" xr:uid="{00000000-0005-0000-0000-0000A2180000}"/>
    <cellStyle name="Comma 47 2 3" xfId="9334" xr:uid="{00000000-0005-0000-0000-0000A3180000}"/>
    <cellStyle name="Comma 47 3" xfId="9335" xr:uid="{00000000-0005-0000-0000-0000A4180000}"/>
    <cellStyle name="Comma 47 3 2" xfId="9336" xr:uid="{00000000-0005-0000-0000-0000A5180000}"/>
    <cellStyle name="Comma 47 3 3" xfId="9337" xr:uid="{00000000-0005-0000-0000-0000A6180000}"/>
    <cellStyle name="Comma 47 4" xfId="9338" xr:uid="{00000000-0005-0000-0000-0000A7180000}"/>
    <cellStyle name="Comma 47 5" xfId="9339" xr:uid="{00000000-0005-0000-0000-0000A8180000}"/>
    <cellStyle name="Comma 47 6" xfId="9340" xr:uid="{00000000-0005-0000-0000-0000A9180000}"/>
    <cellStyle name="Comma 48" xfId="5441" xr:uid="{00000000-0005-0000-0000-0000AA180000}"/>
    <cellStyle name="Comma 48 2" xfId="9341" xr:uid="{00000000-0005-0000-0000-0000AB180000}"/>
    <cellStyle name="Comma 48 2 2" xfId="9342" xr:uid="{00000000-0005-0000-0000-0000AC180000}"/>
    <cellStyle name="Comma 48 2 3" xfId="9343" xr:uid="{00000000-0005-0000-0000-0000AD180000}"/>
    <cellStyle name="Comma 48 3" xfId="9344" xr:uid="{00000000-0005-0000-0000-0000AE180000}"/>
    <cellStyle name="Comma 48 3 2" xfId="9345" xr:uid="{00000000-0005-0000-0000-0000AF180000}"/>
    <cellStyle name="Comma 48 3 3" xfId="9346" xr:uid="{00000000-0005-0000-0000-0000B0180000}"/>
    <cellStyle name="Comma 48 4" xfId="9347" xr:uid="{00000000-0005-0000-0000-0000B1180000}"/>
    <cellStyle name="Comma 48 5" xfId="9348" xr:uid="{00000000-0005-0000-0000-0000B2180000}"/>
    <cellStyle name="Comma 48 6" xfId="9349" xr:uid="{00000000-0005-0000-0000-0000B3180000}"/>
    <cellStyle name="Comma 48 7" xfId="9350" xr:uid="{00000000-0005-0000-0000-0000B4180000}"/>
    <cellStyle name="Comma 49" xfId="5440" xr:uid="{00000000-0005-0000-0000-0000B5180000}"/>
    <cellStyle name="Comma 49 2" xfId="9351" xr:uid="{00000000-0005-0000-0000-0000B6180000}"/>
    <cellStyle name="Comma 49 2 2" xfId="9352" xr:uid="{00000000-0005-0000-0000-0000B7180000}"/>
    <cellStyle name="Comma 49 2 3" xfId="9353" xr:uid="{00000000-0005-0000-0000-0000B8180000}"/>
    <cellStyle name="Comma 49 3" xfId="9354" xr:uid="{00000000-0005-0000-0000-0000B9180000}"/>
    <cellStyle name="Comma 49 3 2" xfId="9355" xr:uid="{00000000-0005-0000-0000-0000BA180000}"/>
    <cellStyle name="Comma 49 3 3" xfId="9356" xr:uid="{00000000-0005-0000-0000-0000BB180000}"/>
    <cellStyle name="Comma 49 4" xfId="9357" xr:uid="{00000000-0005-0000-0000-0000BC180000}"/>
    <cellStyle name="Comma 49 5" xfId="9358" xr:uid="{00000000-0005-0000-0000-0000BD180000}"/>
    <cellStyle name="Comma 49 6" xfId="9359" xr:uid="{00000000-0005-0000-0000-0000BE180000}"/>
    <cellStyle name="Comma 5" xfId="407" xr:uid="{00000000-0005-0000-0000-00000F010000}"/>
    <cellStyle name="Comma 5 2" xfId="408" xr:uid="{00000000-0005-0000-0000-000010010000}"/>
    <cellStyle name="Comma 5 2 2" xfId="9360" xr:uid="{00000000-0005-0000-0000-0000C1180000}"/>
    <cellStyle name="Comma 5 2 3" xfId="5438" xr:uid="{00000000-0005-0000-0000-0000C0180000}"/>
    <cellStyle name="Comma 5 3" xfId="9361" xr:uid="{00000000-0005-0000-0000-0000C2180000}"/>
    <cellStyle name="Comma 5 4" xfId="9362" xr:uid="{00000000-0005-0000-0000-0000C3180000}"/>
    <cellStyle name="Comma 5 5" xfId="5439" xr:uid="{00000000-0005-0000-0000-0000BF180000}"/>
    <cellStyle name="Comma 5_App b.3 Unspent_" xfId="409" xr:uid="{00000000-0005-0000-0000-000011010000}"/>
    <cellStyle name="Comma 50" xfId="5542" xr:uid="{00000000-0005-0000-0000-0000C4180000}"/>
    <cellStyle name="Comma 50 2" xfId="9363" xr:uid="{00000000-0005-0000-0000-0000C5180000}"/>
    <cellStyle name="Comma 50 2 2" xfId="9364" xr:uid="{00000000-0005-0000-0000-0000C6180000}"/>
    <cellStyle name="Comma 50 2 3" xfId="9365" xr:uid="{00000000-0005-0000-0000-0000C7180000}"/>
    <cellStyle name="Comma 50 3" xfId="9366" xr:uid="{00000000-0005-0000-0000-0000C8180000}"/>
    <cellStyle name="Comma 50 3 2" xfId="9367" xr:uid="{00000000-0005-0000-0000-0000C9180000}"/>
    <cellStyle name="Comma 50 3 3" xfId="9368" xr:uid="{00000000-0005-0000-0000-0000CA180000}"/>
    <cellStyle name="Comma 50 4" xfId="9369" xr:uid="{00000000-0005-0000-0000-0000CB180000}"/>
    <cellStyle name="Comma 50 5" xfId="9370" xr:uid="{00000000-0005-0000-0000-0000CC180000}"/>
    <cellStyle name="Comma 51" xfId="5543" xr:uid="{00000000-0005-0000-0000-0000CD180000}"/>
    <cellStyle name="Comma 51 2" xfId="9371" xr:uid="{00000000-0005-0000-0000-0000CE180000}"/>
    <cellStyle name="Comma 51 2 2" xfId="9372" xr:uid="{00000000-0005-0000-0000-0000CF180000}"/>
    <cellStyle name="Comma 51 2 3" xfId="9373" xr:uid="{00000000-0005-0000-0000-0000D0180000}"/>
    <cellStyle name="Comma 51 3" xfId="9374" xr:uid="{00000000-0005-0000-0000-0000D1180000}"/>
    <cellStyle name="Comma 51 3 2" xfId="9375" xr:uid="{00000000-0005-0000-0000-0000D2180000}"/>
    <cellStyle name="Comma 51 3 3" xfId="9376" xr:uid="{00000000-0005-0000-0000-0000D3180000}"/>
    <cellStyle name="Comma 51 4" xfId="9377" xr:uid="{00000000-0005-0000-0000-0000D4180000}"/>
    <cellStyle name="Comma 51 5" xfId="9378" xr:uid="{00000000-0005-0000-0000-0000D5180000}"/>
    <cellStyle name="Comma 52" xfId="5437" xr:uid="{00000000-0005-0000-0000-0000D6180000}"/>
    <cellStyle name="Comma 52 2" xfId="9379" xr:uid="{00000000-0005-0000-0000-0000D7180000}"/>
    <cellStyle name="Comma 52 2 2" xfId="9380" xr:uid="{00000000-0005-0000-0000-0000D8180000}"/>
    <cellStyle name="Comma 52 2 3" xfId="9381" xr:uid="{00000000-0005-0000-0000-0000D9180000}"/>
    <cellStyle name="Comma 52 3" xfId="9382" xr:uid="{00000000-0005-0000-0000-0000DA180000}"/>
    <cellStyle name="Comma 52 4" xfId="9383" xr:uid="{00000000-0005-0000-0000-0000DB180000}"/>
    <cellStyle name="Comma 52 5" xfId="9384" xr:uid="{00000000-0005-0000-0000-0000DC180000}"/>
    <cellStyle name="Comma 52 6" xfId="9385" xr:uid="{00000000-0005-0000-0000-0000DD180000}"/>
    <cellStyle name="Comma 53" xfId="5294" xr:uid="{00000000-0005-0000-0000-0000DE180000}"/>
    <cellStyle name="Comma 53 2" xfId="9386" xr:uid="{00000000-0005-0000-0000-0000DF180000}"/>
    <cellStyle name="Comma 53 3" xfId="9387" xr:uid="{00000000-0005-0000-0000-0000E0180000}"/>
    <cellStyle name="Comma 53 4" xfId="9388" xr:uid="{00000000-0005-0000-0000-0000E1180000}"/>
    <cellStyle name="Comma 53 5" xfId="9389" xr:uid="{00000000-0005-0000-0000-0000E2180000}"/>
    <cellStyle name="Comma 54" xfId="5291" xr:uid="{00000000-0005-0000-0000-0000E3180000}"/>
    <cellStyle name="Comma 54 2" xfId="9390" xr:uid="{00000000-0005-0000-0000-0000E4180000}"/>
    <cellStyle name="Comma 54 3" xfId="9391" xr:uid="{00000000-0005-0000-0000-0000E5180000}"/>
    <cellStyle name="Comma 54 4" xfId="9392" xr:uid="{00000000-0005-0000-0000-0000E6180000}"/>
    <cellStyle name="Comma 55" xfId="5289" xr:uid="{00000000-0005-0000-0000-0000E7180000}"/>
    <cellStyle name="Comma 55 2" xfId="9393" xr:uid="{00000000-0005-0000-0000-0000E8180000}"/>
    <cellStyle name="Comma 55 3" xfId="9394" xr:uid="{00000000-0005-0000-0000-0000E9180000}"/>
    <cellStyle name="Comma 55 4" xfId="20119" xr:uid="{00000000-0005-0000-0000-0000EA180000}"/>
    <cellStyle name="Comma 55 5" xfId="20122" xr:uid="{00000000-0005-0000-0000-0000EB180000}"/>
    <cellStyle name="Comma 56" xfId="9395" xr:uid="{00000000-0005-0000-0000-0000EC180000}"/>
    <cellStyle name="Comma 56 2" xfId="9396" xr:uid="{00000000-0005-0000-0000-0000ED180000}"/>
    <cellStyle name="Comma 56 3" xfId="9397" xr:uid="{00000000-0005-0000-0000-0000EE180000}"/>
    <cellStyle name="Comma 57" xfId="9398" xr:uid="{00000000-0005-0000-0000-0000EF180000}"/>
    <cellStyle name="Comma 57 2" xfId="9399" xr:uid="{00000000-0005-0000-0000-0000F0180000}"/>
    <cellStyle name="Comma 57 3" xfId="9400" xr:uid="{00000000-0005-0000-0000-0000F1180000}"/>
    <cellStyle name="Comma 58" xfId="9401" xr:uid="{00000000-0005-0000-0000-0000F2180000}"/>
    <cellStyle name="Comma 58 2" xfId="9402" xr:uid="{00000000-0005-0000-0000-0000F3180000}"/>
    <cellStyle name="Comma 58 3" xfId="9403" xr:uid="{00000000-0005-0000-0000-0000F4180000}"/>
    <cellStyle name="Comma 58 4" xfId="9404" xr:uid="{00000000-0005-0000-0000-0000F5180000}"/>
    <cellStyle name="Comma 59" xfId="9405" xr:uid="{00000000-0005-0000-0000-0000F6180000}"/>
    <cellStyle name="Comma 59 2" xfId="9406" xr:uid="{00000000-0005-0000-0000-0000F7180000}"/>
    <cellStyle name="Comma 59 3" xfId="9407" xr:uid="{00000000-0005-0000-0000-0000F8180000}"/>
    <cellStyle name="Comma 6" xfId="410" xr:uid="{00000000-0005-0000-0000-000012010000}"/>
    <cellStyle name="Comma 6 2" xfId="411" xr:uid="{00000000-0005-0000-0000-000013010000}"/>
    <cellStyle name="Comma 6 2 2" xfId="9408" xr:uid="{00000000-0005-0000-0000-0000FB180000}"/>
    <cellStyle name="Comma 6 2 2 2" xfId="9409" xr:uid="{00000000-0005-0000-0000-0000FC180000}"/>
    <cellStyle name="Comma 6 2 3" xfId="5435" xr:uid="{00000000-0005-0000-0000-0000FA180000}"/>
    <cellStyle name="Comma 6 3" xfId="9410" xr:uid="{00000000-0005-0000-0000-0000FD180000}"/>
    <cellStyle name="Comma 6 3 2" xfId="9411" xr:uid="{00000000-0005-0000-0000-0000FE180000}"/>
    <cellStyle name="Comma 6 3 2 2" xfId="9412" xr:uid="{00000000-0005-0000-0000-0000FF180000}"/>
    <cellStyle name="Comma 6 3 3" xfId="9413" xr:uid="{00000000-0005-0000-0000-000000190000}"/>
    <cellStyle name="Comma 6 4" xfId="9414" xr:uid="{00000000-0005-0000-0000-000001190000}"/>
    <cellStyle name="Comma 6 5" xfId="9415" xr:uid="{00000000-0005-0000-0000-000002190000}"/>
    <cellStyle name="Comma 6 6" xfId="9416" xr:uid="{00000000-0005-0000-0000-000003190000}"/>
    <cellStyle name="Comma 6 7" xfId="5436" xr:uid="{00000000-0005-0000-0000-0000F9180000}"/>
    <cellStyle name="Comma 6_App b.3 Unspent_" xfId="412" xr:uid="{00000000-0005-0000-0000-000014010000}"/>
    <cellStyle name="Comma 60" xfId="9417" xr:uid="{00000000-0005-0000-0000-000004190000}"/>
    <cellStyle name="Comma 60 2" xfId="9418" xr:uid="{00000000-0005-0000-0000-000005190000}"/>
    <cellStyle name="Comma 60 3" xfId="9419" xr:uid="{00000000-0005-0000-0000-000006190000}"/>
    <cellStyle name="Comma 61" xfId="9420" xr:uid="{00000000-0005-0000-0000-000007190000}"/>
    <cellStyle name="Comma 61 2" xfId="9421" xr:uid="{00000000-0005-0000-0000-000008190000}"/>
    <cellStyle name="Comma 61 3" xfId="9422" xr:uid="{00000000-0005-0000-0000-000009190000}"/>
    <cellStyle name="Comma 62" xfId="9423" xr:uid="{00000000-0005-0000-0000-00000A190000}"/>
    <cellStyle name="Comma 62 2" xfId="9424" xr:uid="{00000000-0005-0000-0000-00000B190000}"/>
    <cellStyle name="Comma 62 2 2" xfId="9425" xr:uid="{00000000-0005-0000-0000-00000C190000}"/>
    <cellStyle name="Comma 62 3" xfId="9426" xr:uid="{00000000-0005-0000-0000-00000D190000}"/>
    <cellStyle name="Comma 63" xfId="9427" xr:uid="{00000000-0005-0000-0000-00000E190000}"/>
    <cellStyle name="Comma 63 2" xfId="9428" xr:uid="{00000000-0005-0000-0000-00000F190000}"/>
    <cellStyle name="Comma 64" xfId="9429" xr:uid="{00000000-0005-0000-0000-000010190000}"/>
    <cellStyle name="Comma 65" xfId="9430" xr:uid="{00000000-0005-0000-0000-000011190000}"/>
    <cellStyle name="Comma 66" xfId="9431" xr:uid="{00000000-0005-0000-0000-000012190000}"/>
    <cellStyle name="Comma 67" xfId="9432" xr:uid="{00000000-0005-0000-0000-000013190000}"/>
    <cellStyle name="Comma 68" xfId="9433" xr:uid="{00000000-0005-0000-0000-000014190000}"/>
    <cellStyle name="Comma 69" xfId="9434" xr:uid="{00000000-0005-0000-0000-000015190000}"/>
    <cellStyle name="Comma 7" xfId="413" xr:uid="{00000000-0005-0000-0000-000015010000}"/>
    <cellStyle name="Comma 7 2" xfId="414" xr:uid="{00000000-0005-0000-0000-000016010000}"/>
    <cellStyle name="Comma 7 2 2" xfId="9435" xr:uid="{00000000-0005-0000-0000-000018190000}"/>
    <cellStyle name="Comma 7 2 3" xfId="5433" xr:uid="{00000000-0005-0000-0000-000017190000}"/>
    <cellStyle name="Comma 7 3" xfId="9436" xr:uid="{00000000-0005-0000-0000-000019190000}"/>
    <cellStyle name="Comma 7 4" xfId="9437" xr:uid="{00000000-0005-0000-0000-00001A190000}"/>
    <cellStyle name="Comma 7 5" xfId="5434" xr:uid="{00000000-0005-0000-0000-000016190000}"/>
    <cellStyle name="Comma 7_App b.3 Unspent_" xfId="415" xr:uid="{00000000-0005-0000-0000-000017010000}"/>
    <cellStyle name="Comma 70" xfId="9438" xr:uid="{00000000-0005-0000-0000-00001B190000}"/>
    <cellStyle name="Comma 71" xfId="9439" xr:uid="{00000000-0005-0000-0000-00001C190000}"/>
    <cellStyle name="Comma 72" xfId="9440" xr:uid="{00000000-0005-0000-0000-00001D190000}"/>
    <cellStyle name="Comma 73" xfId="9441" xr:uid="{00000000-0005-0000-0000-00001E190000}"/>
    <cellStyle name="Comma 74" xfId="9442" xr:uid="{00000000-0005-0000-0000-00001F190000}"/>
    <cellStyle name="Comma 75" xfId="9443" xr:uid="{00000000-0005-0000-0000-000020190000}"/>
    <cellStyle name="Comma 76" xfId="9444" xr:uid="{00000000-0005-0000-0000-000021190000}"/>
    <cellStyle name="Comma 77" xfId="9445" xr:uid="{00000000-0005-0000-0000-000022190000}"/>
    <cellStyle name="Comma 78" xfId="9446" xr:uid="{00000000-0005-0000-0000-000023190000}"/>
    <cellStyle name="Comma 79" xfId="9447" xr:uid="{00000000-0005-0000-0000-000024190000}"/>
    <cellStyle name="Comma 8" xfId="416" xr:uid="{00000000-0005-0000-0000-000018010000}"/>
    <cellStyle name="Comma 8 2" xfId="417" xr:uid="{00000000-0005-0000-0000-000019010000}"/>
    <cellStyle name="Comma 8 2 2" xfId="9448" xr:uid="{00000000-0005-0000-0000-000027190000}"/>
    <cellStyle name="Comma 8 2 2 2" xfId="9449" xr:uid="{00000000-0005-0000-0000-000028190000}"/>
    <cellStyle name="Comma 8 2 3" xfId="5431" xr:uid="{00000000-0005-0000-0000-000026190000}"/>
    <cellStyle name="Comma 8 3" xfId="9450" xr:uid="{00000000-0005-0000-0000-000029190000}"/>
    <cellStyle name="Comma 8 3 2" xfId="9451" xr:uid="{00000000-0005-0000-0000-00002A190000}"/>
    <cellStyle name="Comma 8 3 2 2" xfId="9452" xr:uid="{00000000-0005-0000-0000-00002B190000}"/>
    <cellStyle name="Comma 8 3 3" xfId="9453" xr:uid="{00000000-0005-0000-0000-00002C190000}"/>
    <cellStyle name="Comma 8 4" xfId="9454" xr:uid="{00000000-0005-0000-0000-00002D190000}"/>
    <cellStyle name="Comma 8 5" xfId="9455" xr:uid="{00000000-0005-0000-0000-00002E190000}"/>
    <cellStyle name="Comma 8 6" xfId="5432" xr:uid="{00000000-0005-0000-0000-000025190000}"/>
    <cellStyle name="Comma 8_App b.3 Unspent_" xfId="418" xr:uid="{00000000-0005-0000-0000-00001A010000}"/>
    <cellStyle name="Comma 80" xfId="9456" xr:uid="{00000000-0005-0000-0000-00002F190000}"/>
    <cellStyle name="Comma 81" xfId="9457" xr:uid="{00000000-0005-0000-0000-000030190000}"/>
    <cellStyle name="Comma 82" xfId="9458" xr:uid="{00000000-0005-0000-0000-000031190000}"/>
    <cellStyle name="Comma 83" xfId="9459" xr:uid="{00000000-0005-0000-0000-000032190000}"/>
    <cellStyle name="Comma 84" xfId="9460" xr:uid="{00000000-0005-0000-0000-000033190000}"/>
    <cellStyle name="Comma 85" xfId="9461" xr:uid="{00000000-0005-0000-0000-000034190000}"/>
    <cellStyle name="Comma 86" xfId="9462" xr:uid="{00000000-0005-0000-0000-000035190000}"/>
    <cellStyle name="Comma 87" xfId="9463" xr:uid="{00000000-0005-0000-0000-000036190000}"/>
    <cellStyle name="Comma 88" xfId="9464" xr:uid="{00000000-0005-0000-0000-000037190000}"/>
    <cellStyle name="Comma 89" xfId="9465" xr:uid="{00000000-0005-0000-0000-000038190000}"/>
    <cellStyle name="Comma 9" xfId="419" xr:uid="{00000000-0005-0000-0000-00001B010000}"/>
    <cellStyle name="Comma 9 2" xfId="420" xr:uid="{00000000-0005-0000-0000-00001C010000}"/>
    <cellStyle name="Comma 9 2 2" xfId="9466" xr:uid="{00000000-0005-0000-0000-00003B190000}"/>
    <cellStyle name="Comma 9 2 2 2" xfId="9467" xr:uid="{00000000-0005-0000-0000-00003C190000}"/>
    <cellStyle name="Comma 9 2 3" xfId="5429" xr:uid="{00000000-0005-0000-0000-00003A190000}"/>
    <cellStyle name="Comma 9 3" xfId="9468" xr:uid="{00000000-0005-0000-0000-00003D190000}"/>
    <cellStyle name="Comma 9 3 2" xfId="9469" xr:uid="{00000000-0005-0000-0000-00003E190000}"/>
    <cellStyle name="Comma 9 3 2 2" xfId="9470" xr:uid="{00000000-0005-0000-0000-00003F190000}"/>
    <cellStyle name="Comma 9 3 3" xfId="9471" xr:uid="{00000000-0005-0000-0000-000040190000}"/>
    <cellStyle name="Comma 9 4" xfId="9472" xr:uid="{00000000-0005-0000-0000-000041190000}"/>
    <cellStyle name="Comma 9 5" xfId="9473" xr:uid="{00000000-0005-0000-0000-000042190000}"/>
    <cellStyle name="Comma 9 6" xfId="5430" xr:uid="{00000000-0005-0000-0000-000039190000}"/>
    <cellStyle name="Comma 9_App b.3 Unspent_" xfId="421" xr:uid="{00000000-0005-0000-0000-00001D010000}"/>
    <cellStyle name="Comma 90" xfId="9474" xr:uid="{00000000-0005-0000-0000-000043190000}"/>
    <cellStyle name="Comma 91" xfId="9475" xr:uid="{00000000-0005-0000-0000-000044190000}"/>
    <cellStyle name="Comma 92" xfId="9476" xr:uid="{00000000-0005-0000-0000-000045190000}"/>
    <cellStyle name="Comma 93" xfId="9477" xr:uid="{00000000-0005-0000-0000-000046190000}"/>
    <cellStyle name="Comma 94" xfId="9478" xr:uid="{00000000-0005-0000-0000-000047190000}"/>
    <cellStyle name="Comma 95" xfId="9479" xr:uid="{00000000-0005-0000-0000-000048190000}"/>
    <cellStyle name="Comma 96" xfId="9480" xr:uid="{00000000-0005-0000-0000-000049190000}"/>
    <cellStyle name="Comma 97" xfId="9481" xr:uid="{00000000-0005-0000-0000-00004A190000}"/>
    <cellStyle name="Comma 98" xfId="9482" xr:uid="{00000000-0005-0000-0000-00004B190000}"/>
    <cellStyle name="Comma 99" xfId="9483" xr:uid="{00000000-0005-0000-0000-00004C190000}"/>
    <cellStyle name="Comma0" xfId="422" xr:uid="{00000000-0005-0000-0000-00001E010000}"/>
    <cellStyle name="Comma0 2" xfId="423" xr:uid="{00000000-0005-0000-0000-00001F010000}"/>
    <cellStyle name="Comma0 3" xfId="424" xr:uid="{00000000-0005-0000-0000-000020010000}"/>
    <cellStyle name="Copied" xfId="425" xr:uid="{00000000-0005-0000-0000-000021010000}"/>
    <cellStyle name="Copied 2" xfId="5428" xr:uid="{00000000-0005-0000-0000-000051190000}"/>
    <cellStyle name="Currency" xfId="20531" builtinId="4"/>
    <cellStyle name="Currency [$0]" xfId="426" xr:uid="{00000000-0005-0000-0000-000023010000}"/>
    <cellStyle name="Currency [$0] 2" xfId="5427" xr:uid="{00000000-0005-0000-0000-000054190000}"/>
    <cellStyle name="Currency [£0]" xfId="427" xr:uid="{00000000-0005-0000-0000-000024010000}"/>
    <cellStyle name="Currency [£0] 2" xfId="5541" xr:uid="{00000000-0005-0000-0000-000056190000}"/>
    <cellStyle name="Currency 10" xfId="11" xr:uid="{00000000-0005-0000-0000-000002000000}"/>
    <cellStyle name="Currency 10 2" xfId="428" xr:uid="{00000000-0005-0000-0000-000025010000}"/>
    <cellStyle name="Currency 10 2 2" xfId="9485" xr:uid="{00000000-0005-0000-0000-000059190000}"/>
    <cellStyle name="Currency 10 2 3" xfId="9484" xr:uid="{00000000-0005-0000-0000-000058190000}"/>
    <cellStyle name="Currency 10 3" xfId="9486" xr:uid="{00000000-0005-0000-0000-00005A190000}"/>
    <cellStyle name="Currency 10 3 2" xfId="9487" xr:uid="{00000000-0005-0000-0000-00005B190000}"/>
    <cellStyle name="Currency 10 3 2 2" xfId="9488" xr:uid="{00000000-0005-0000-0000-00005C190000}"/>
    <cellStyle name="Currency 10 3 3" xfId="9489" xr:uid="{00000000-0005-0000-0000-00005D190000}"/>
    <cellStyle name="Currency 10 4" xfId="5426" xr:uid="{00000000-0005-0000-0000-000057190000}"/>
    <cellStyle name="Currency 11" xfId="7" xr:uid="{00000000-0005-0000-0000-000003000000}"/>
    <cellStyle name="Currency 11 2" xfId="9490" xr:uid="{00000000-0005-0000-0000-00005F190000}"/>
    <cellStyle name="Currency 11 2 2" xfId="9491" xr:uid="{00000000-0005-0000-0000-000060190000}"/>
    <cellStyle name="Currency 11 2 2 2" xfId="9492" xr:uid="{00000000-0005-0000-0000-000061190000}"/>
    <cellStyle name="Currency 11 2 3" xfId="9493" xr:uid="{00000000-0005-0000-0000-000062190000}"/>
    <cellStyle name="Currency 11 2 3 2" xfId="9494" xr:uid="{00000000-0005-0000-0000-000063190000}"/>
    <cellStyle name="Currency 11 3" xfId="9495" xr:uid="{00000000-0005-0000-0000-000064190000}"/>
    <cellStyle name="Currency 11 4" xfId="5540" xr:uid="{00000000-0005-0000-0000-00005E190000}"/>
    <cellStyle name="Currency 12" xfId="430" xr:uid="{00000000-0005-0000-0000-000027010000}"/>
    <cellStyle name="Currency 12 2" xfId="9496" xr:uid="{00000000-0005-0000-0000-000066190000}"/>
    <cellStyle name="Currency 12 2 2" xfId="9497" xr:uid="{00000000-0005-0000-0000-000067190000}"/>
    <cellStyle name="Currency 12 2 2 2" xfId="9498" xr:uid="{00000000-0005-0000-0000-000068190000}"/>
    <cellStyle name="Currency 12 2 3" xfId="9499" xr:uid="{00000000-0005-0000-0000-000069190000}"/>
    <cellStyle name="Currency 12 3" xfId="9500" xr:uid="{00000000-0005-0000-0000-00006A190000}"/>
    <cellStyle name="Currency 12 3 2" xfId="9501" xr:uid="{00000000-0005-0000-0000-00006B190000}"/>
    <cellStyle name="Currency 12 4" xfId="9502" xr:uid="{00000000-0005-0000-0000-00006C190000}"/>
    <cellStyle name="Currency 12 4 2" xfId="9503" xr:uid="{00000000-0005-0000-0000-00006D190000}"/>
    <cellStyle name="Currency 12 4 3" xfId="9504" xr:uid="{00000000-0005-0000-0000-00006E190000}"/>
    <cellStyle name="Currency 12 5" xfId="9505" xr:uid="{00000000-0005-0000-0000-00006F190000}"/>
    <cellStyle name="Currency 12 6" xfId="5425" xr:uid="{00000000-0005-0000-0000-000065190000}"/>
    <cellStyle name="Currency 13" xfId="431" xr:uid="{00000000-0005-0000-0000-000028010000}"/>
    <cellStyle name="Currency 13 2" xfId="9506" xr:uid="{00000000-0005-0000-0000-000071190000}"/>
    <cellStyle name="Currency 13 2 2" xfId="9507" xr:uid="{00000000-0005-0000-0000-000072190000}"/>
    <cellStyle name="Currency 13 2 3" xfId="9508" xr:uid="{00000000-0005-0000-0000-000073190000}"/>
    <cellStyle name="Currency 13 3" xfId="9509" xr:uid="{00000000-0005-0000-0000-000074190000}"/>
    <cellStyle name="Currency 13 3 2" xfId="9510" xr:uid="{00000000-0005-0000-0000-000075190000}"/>
    <cellStyle name="Currency 13 3 2 2" xfId="9511" xr:uid="{00000000-0005-0000-0000-000076190000}"/>
    <cellStyle name="Currency 13 3 3" xfId="9512" xr:uid="{00000000-0005-0000-0000-000077190000}"/>
    <cellStyle name="Currency 13 3 3 2" xfId="9513" xr:uid="{00000000-0005-0000-0000-000078190000}"/>
    <cellStyle name="Currency 13 4" xfId="9514" xr:uid="{00000000-0005-0000-0000-000079190000}"/>
    <cellStyle name="Currency 13 5" xfId="5424" xr:uid="{00000000-0005-0000-0000-000070190000}"/>
    <cellStyle name="Currency 14" xfId="3" xr:uid="{00000000-0005-0000-0000-000004000000}"/>
    <cellStyle name="Currency 14 2" xfId="10" xr:uid="{00000000-0005-0000-0000-000005000000}"/>
    <cellStyle name="Currency 14 2 2" xfId="114" xr:uid="{00000000-0005-0000-0000-000005000000}"/>
    <cellStyle name="Currency 14 2 3" xfId="9515" xr:uid="{00000000-0005-0000-0000-00007B190000}"/>
    <cellStyle name="Currency 14 2 4" xfId="20534" xr:uid="{D913DE0A-108A-433C-B116-DECDA6596B39}"/>
    <cellStyle name="Currency 14 2 4 2" xfId="20541" xr:uid="{BF93F86E-A32B-44DA-9A2B-2BAFCE07B080}"/>
    <cellStyle name="Currency 14 2 4 2 2" xfId="20555" xr:uid="{CB7C8B19-1A10-4D03-B28B-3F30FCF1470A}"/>
    <cellStyle name="Currency 14 2 4 3" xfId="20550" xr:uid="{6434AF80-6473-4CDE-A6D1-D9E5EC911236}"/>
    <cellStyle name="Currency 14 3" xfId="60" xr:uid="{00000000-0005-0000-0000-000006000000}"/>
    <cellStyle name="Currency 14 3 2" xfId="162" xr:uid="{00000000-0005-0000-0000-000006000000}"/>
    <cellStyle name="Currency 14 3 2 2" xfId="20545" xr:uid="{BA0862C4-CD9A-45B2-A87C-4CFEE3005FE3}"/>
    <cellStyle name="Currency 14 3 3" xfId="9516" xr:uid="{00000000-0005-0000-0000-00007D190000}"/>
    <cellStyle name="Currency 14 3 4" xfId="20543" xr:uid="{63235F10-631D-41F8-A03B-F993C11C6D9B}"/>
    <cellStyle name="Currency 14 4" xfId="108" xr:uid="{00000000-0005-0000-0000-000004000000}"/>
    <cellStyle name="Currency 14 5" xfId="5423" xr:uid="{00000000-0005-0000-0000-00007A190000}"/>
    <cellStyle name="Currency 15" xfId="2926" xr:uid="{00000000-0005-0000-0000-00002E010000}"/>
    <cellStyle name="Currency 15 2" xfId="9517" xr:uid="{00000000-0005-0000-0000-000080190000}"/>
    <cellStyle name="Currency 15 2 2" xfId="9518" xr:uid="{00000000-0005-0000-0000-000081190000}"/>
    <cellStyle name="Currency 15 2 3" xfId="9519" xr:uid="{00000000-0005-0000-0000-000082190000}"/>
    <cellStyle name="Currency 15 3" xfId="9520" xr:uid="{00000000-0005-0000-0000-000083190000}"/>
    <cellStyle name="Currency 15 3 2" xfId="9521" xr:uid="{00000000-0005-0000-0000-000084190000}"/>
    <cellStyle name="Currency 15 4" xfId="9522" xr:uid="{00000000-0005-0000-0000-000085190000}"/>
    <cellStyle name="Currency 15 5" xfId="5422" xr:uid="{00000000-0005-0000-0000-00007F190000}"/>
    <cellStyle name="Currency 16" xfId="2916" xr:uid="{00000000-0005-0000-0000-00002F010000}"/>
    <cellStyle name="Currency 16 2" xfId="9523" xr:uid="{00000000-0005-0000-0000-000087190000}"/>
    <cellStyle name="Currency 16 2 2" xfId="9524" xr:uid="{00000000-0005-0000-0000-000088190000}"/>
    <cellStyle name="Currency 16 2 3" xfId="9525" xr:uid="{00000000-0005-0000-0000-000089190000}"/>
    <cellStyle name="Currency 16 3" xfId="9526" xr:uid="{00000000-0005-0000-0000-00008A190000}"/>
    <cellStyle name="Currency 16 3 2" xfId="9527" xr:uid="{00000000-0005-0000-0000-00008B190000}"/>
    <cellStyle name="Currency 16 4" xfId="9528" xr:uid="{00000000-0005-0000-0000-00008C190000}"/>
    <cellStyle name="Currency 16 5" xfId="5421" xr:uid="{00000000-0005-0000-0000-000086190000}"/>
    <cellStyle name="Currency 17" xfId="2914" xr:uid="{00000000-0005-0000-0000-000030010000}"/>
    <cellStyle name="Currency 17 2" xfId="9529" xr:uid="{00000000-0005-0000-0000-00008E190000}"/>
    <cellStyle name="Currency 17 2 2" xfId="9530" xr:uid="{00000000-0005-0000-0000-00008F190000}"/>
    <cellStyle name="Currency 17 3" xfId="9531" xr:uid="{00000000-0005-0000-0000-000090190000}"/>
    <cellStyle name="Currency 17 3 2" xfId="9532" xr:uid="{00000000-0005-0000-0000-000091190000}"/>
    <cellStyle name="Currency 17 3 3" xfId="9533" xr:uid="{00000000-0005-0000-0000-000092190000}"/>
    <cellStyle name="Currency 17 4" xfId="9534" xr:uid="{00000000-0005-0000-0000-000093190000}"/>
    <cellStyle name="Currency 17 5" xfId="5420" xr:uid="{00000000-0005-0000-0000-00008D190000}"/>
    <cellStyle name="Currency 18" xfId="2994" xr:uid="{00000000-0005-0000-0000-000031010000}"/>
    <cellStyle name="Currency 18 10" xfId="9535" xr:uid="{00000000-0005-0000-0000-000095190000}"/>
    <cellStyle name="Currency 18 10 2" xfId="9536" xr:uid="{00000000-0005-0000-0000-000096190000}"/>
    <cellStyle name="Currency 18 10 2 2" xfId="9537" xr:uid="{00000000-0005-0000-0000-000097190000}"/>
    <cellStyle name="Currency 18 10 3" xfId="9538" xr:uid="{00000000-0005-0000-0000-000098190000}"/>
    <cellStyle name="Currency 18 10 3 2" xfId="9539" xr:uid="{00000000-0005-0000-0000-000099190000}"/>
    <cellStyle name="Currency 18 11" xfId="9540" xr:uid="{00000000-0005-0000-0000-00009A190000}"/>
    <cellStyle name="Currency 18 11 2" xfId="9541" xr:uid="{00000000-0005-0000-0000-00009B190000}"/>
    <cellStyle name="Currency 18 12" xfId="9542" xr:uid="{00000000-0005-0000-0000-00009C190000}"/>
    <cellStyle name="Currency 18 2" xfId="9543" xr:uid="{00000000-0005-0000-0000-00009D190000}"/>
    <cellStyle name="Currency 18 2 10" xfId="9544" xr:uid="{00000000-0005-0000-0000-00009E190000}"/>
    <cellStyle name="Currency 18 2 10 2" xfId="9545" xr:uid="{00000000-0005-0000-0000-00009F190000}"/>
    <cellStyle name="Currency 18 2 2" xfId="9546" xr:uid="{00000000-0005-0000-0000-0000A0190000}"/>
    <cellStyle name="Currency 18 2 2 2" xfId="9547" xr:uid="{00000000-0005-0000-0000-0000A1190000}"/>
    <cellStyle name="Currency 18 2 2 2 2" xfId="9548" xr:uid="{00000000-0005-0000-0000-0000A2190000}"/>
    <cellStyle name="Currency 18 2 2 2 2 2" xfId="9549" xr:uid="{00000000-0005-0000-0000-0000A3190000}"/>
    <cellStyle name="Currency 18 2 2 2 3" xfId="9550" xr:uid="{00000000-0005-0000-0000-0000A4190000}"/>
    <cellStyle name="Currency 18 2 2 2 3 2" xfId="9551" xr:uid="{00000000-0005-0000-0000-0000A5190000}"/>
    <cellStyle name="Currency 18 2 2 2 4" xfId="9552" xr:uid="{00000000-0005-0000-0000-0000A6190000}"/>
    <cellStyle name="Currency 18 2 2 2 4 2" xfId="9553" xr:uid="{00000000-0005-0000-0000-0000A7190000}"/>
    <cellStyle name="Currency 18 2 2 2 5" xfId="9554" xr:uid="{00000000-0005-0000-0000-0000A8190000}"/>
    <cellStyle name="Currency 18 2 2 2 5 2" xfId="9555" xr:uid="{00000000-0005-0000-0000-0000A9190000}"/>
    <cellStyle name="Currency 18 2 2 2 5 2 2" xfId="9556" xr:uid="{00000000-0005-0000-0000-0000AA190000}"/>
    <cellStyle name="Currency 18 2 2 2 5 3" xfId="9557" xr:uid="{00000000-0005-0000-0000-0000AB190000}"/>
    <cellStyle name="Currency 18 2 2 2 5 3 2" xfId="9558" xr:uid="{00000000-0005-0000-0000-0000AC190000}"/>
    <cellStyle name="Currency 18 2 2 3" xfId="9559" xr:uid="{00000000-0005-0000-0000-0000AD190000}"/>
    <cellStyle name="Currency 18 2 2 3 2" xfId="9560" xr:uid="{00000000-0005-0000-0000-0000AE190000}"/>
    <cellStyle name="Currency 18 2 2 3 2 2" xfId="9561" xr:uid="{00000000-0005-0000-0000-0000AF190000}"/>
    <cellStyle name="Currency 18 2 2 3 2 3" xfId="9562" xr:uid="{00000000-0005-0000-0000-0000B0190000}"/>
    <cellStyle name="Currency 18 2 2 3 3" xfId="9563" xr:uid="{00000000-0005-0000-0000-0000B1190000}"/>
    <cellStyle name="Currency 18 2 2 3 4" xfId="9564" xr:uid="{00000000-0005-0000-0000-0000B2190000}"/>
    <cellStyle name="Currency 18 2 2 4" xfId="9565" xr:uid="{00000000-0005-0000-0000-0000B3190000}"/>
    <cellStyle name="Currency 18 2 2 4 2" xfId="9566" xr:uid="{00000000-0005-0000-0000-0000B4190000}"/>
    <cellStyle name="Currency 18 2 2 5" xfId="9567" xr:uid="{00000000-0005-0000-0000-0000B5190000}"/>
    <cellStyle name="Currency 18 2 2 5 2" xfId="9568" xr:uid="{00000000-0005-0000-0000-0000B6190000}"/>
    <cellStyle name="Currency 18 2 2 5 3" xfId="9569" xr:uid="{00000000-0005-0000-0000-0000B7190000}"/>
    <cellStyle name="Currency 18 2 2 5 4" xfId="9570" xr:uid="{00000000-0005-0000-0000-0000B8190000}"/>
    <cellStyle name="Currency 18 2 2 6" xfId="9571" xr:uid="{00000000-0005-0000-0000-0000B9190000}"/>
    <cellStyle name="Currency 18 2 2 6 2" xfId="9572" xr:uid="{00000000-0005-0000-0000-0000BA190000}"/>
    <cellStyle name="Currency 18 2 2 7" xfId="9573" xr:uid="{00000000-0005-0000-0000-0000BB190000}"/>
    <cellStyle name="Currency 18 2 2 7 2" xfId="9574" xr:uid="{00000000-0005-0000-0000-0000BC190000}"/>
    <cellStyle name="Currency 18 2 2 7 2 2" xfId="9575" xr:uid="{00000000-0005-0000-0000-0000BD190000}"/>
    <cellStyle name="Currency 18 2 2 7 3" xfId="9576" xr:uid="{00000000-0005-0000-0000-0000BE190000}"/>
    <cellStyle name="Currency 18 2 2 7 3 2" xfId="9577" xr:uid="{00000000-0005-0000-0000-0000BF190000}"/>
    <cellStyle name="Currency 18 2 2 8" xfId="9578" xr:uid="{00000000-0005-0000-0000-0000C0190000}"/>
    <cellStyle name="Currency 18 2 2 8 2" xfId="9579" xr:uid="{00000000-0005-0000-0000-0000C1190000}"/>
    <cellStyle name="Currency 18 2 3" xfId="9580" xr:uid="{00000000-0005-0000-0000-0000C2190000}"/>
    <cellStyle name="Currency 18 2 3 2" xfId="9581" xr:uid="{00000000-0005-0000-0000-0000C3190000}"/>
    <cellStyle name="Currency 18 2 3 3" xfId="9582" xr:uid="{00000000-0005-0000-0000-0000C4190000}"/>
    <cellStyle name="Currency 18 2 3 3 2" xfId="9583" xr:uid="{00000000-0005-0000-0000-0000C5190000}"/>
    <cellStyle name="Currency 18 2 3 4" xfId="9584" xr:uid="{00000000-0005-0000-0000-0000C6190000}"/>
    <cellStyle name="Currency 18 2 3 4 2" xfId="9585" xr:uid="{00000000-0005-0000-0000-0000C7190000}"/>
    <cellStyle name="Currency 18 2 3 5" xfId="9586" xr:uid="{00000000-0005-0000-0000-0000C8190000}"/>
    <cellStyle name="Currency 18 2 3 5 2" xfId="9587" xr:uid="{00000000-0005-0000-0000-0000C9190000}"/>
    <cellStyle name="Currency 18 2 3 6" xfId="9588" xr:uid="{00000000-0005-0000-0000-0000CA190000}"/>
    <cellStyle name="Currency 18 2 3 6 2" xfId="9589" xr:uid="{00000000-0005-0000-0000-0000CB190000}"/>
    <cellStyle name="Currency 18 2 3 6 2 2" xfId="9590" xr:uid="{00000000-0005-0000-0000-0000CC190000}"/>
    <cellStyle name="Currency 18 2 3 6 3" xfId="9591" xr:uid="{00000000-0005-0000-0000-0000CD190000}"/>
    <cellStyle name="Currency 18 2 3 6 3 2" xfId="9592" xr:uid="{00000000-0005-0000-0000-0000CE190000}"/>
    <cellStyle name="Currency 18 2 4" xfId="9593" xr:uid="{00000000-0005-0000-0000-0000CF190000}"/>
    <cellStyle name="Currency 18 2 5" xfId="9594" xr:uid="{00000000-0005-0000-0000-0000D0190000}"/>
    <cellStyle name="Currency 18 2 5 2" xfId="9595" xr:uid="{00000000-0005-0000-0000-0000D1190000}"/>
    <cellStyle name="Currency 18 2 5 2 2" xfId="9596" xr:uid="{00000000-0005-0000-0000-0000D2190000}"/>
    <cellStyle name="Currency 18 2 5 2 3" xfId="9597" xr:uid="{00000000-0005-0000-0000-0000D3190000}"/>
    <cellStyle name="Currency 18 2 5 3" xfId="9598" xr:uid="{00000000-0005-0000-0000-0000D4190000}"/>
    <cellStyle name="Currency 18 2 5 4" xfId="9599" xr:uid="{00000000-0005-0000-0000-0000D5190000}"/>
    <cellStyle name="Currency 18 2 6" xfId="9600" xr:uid="{00000000-0005-0000-0000-0000D6190000}"/>
    <cellStyle name="Currency 18 2 6 2" xfId="9601" xr:uid="{00000000-0005-0000-0000-0000D7190000}"/>
    <cellStyle name="Currency 18 2 7" xfId="9602" xr:uid="{00000000-0005-0000-0000-0000D8190000}"/>
    <cellStyle name="Currency 18 2 7 2" xfId="9603" xr:uid="{00000000-0005-0000-0000-0000D9190000}"/>
    <cellStyle name="Currency 18 2 7 3" xfId="9604" xr:uid="{00000000-0005-0000-0000-0000DA190000}"/>
    <cellStyle name="Currency 18 2 7 4" xfId="9605" xr:uid="{00000000-0005-0000-0000-0000DB190000}"/>
    <cellStyle name="Currency 18 2 8" xfId="9606" xr:uid="{00000000-0005-0000-0000-0000DC190000}"/>
    <cellStyle name="Currency 18 2 8 2" xfId="9607" xr:uid="{00000000-0005-0000-0000-0000DD190000}"/>
    <cellStyle name="Currency 18 2 9" xfId="9608" xr:uid="{00000000-0005-0000-0000-0000DE190000}"/>
    <cellStyle name="Currency 18 2 9 2" xfId="9609" xr:uid="{00000000-0005-0000-0000-0000DF190000}"/>
    <cellStyle name="Currency 18 2 9 2 2" xfId="9610" xr:uid="{00000000-0005-0000-0000-0000E0190000}"/>
    <cellStyle name="Currency 18 2 9 3" xfId="9611" xr:uid="{00000000-0005-0000-0000-0000E1190000}"/>
    <cellStyle name="Currency 18 2 9 3 2" xfId="9612" xr:uid="{00000000-0005-0000-0000-0000E2190000}"/>
    <cellStyle name="Currency 18 3" xfId="9613" xr:uid="{00000000-0005-0000-0000-0000E3190000}"/>
    <cellStyle name="Currency 18 3 2" xfId="9614" xr:uid="{00000000-0005-0000-0000-0000E4190000}"/>
    <cellStyle name="Currency 18 3 2 2" xfId="9615" xr:uid="{00000000-0005-0000-0000-0000E5190000}"/>
    <cellStyle name="Currency 18 3 2 2 2" xfId="9616" xr:uid="{00000000-0005-0000-0000-0000E6190000}"/>
    <cellStyle name="Currency 18 3 2 3" xfId="9617" xr:uid="{00000000-0005-0000-0000-0000E7190000}"/>
    <cellStyle name="Currency 18 3 2 3 2" xfId="9618" xr:uid="{00000000-0005-0000-0000-0000E8190000}"/>
    <cellStyle name="Currency 18 3 2 4" xfId="9619" xr:uid="{00000000-0005-0000-0000-0000E9190000}"/>
    <cellStyle name="Currency 18 3 2 4 2" xfId="9620" xr:uid="{00000000-0005-0000-0000-0000EA190000}"/>
    <cellStyle name="Currency 18 3 2 5" xfId="9621" xr:uid="{00000000-0005-0000-0000-0000EB190000}"/>
    <cellStyle name="Currency 18 3 2 5 2" xfId="9622" xr:uid="{00000000-0005-0000-0000-0000EC190000}"/>
    <cellStyle name="Currency 18 3 2 5 2 2" xfId="9623" xr:uid="{00000000-0005-0000-0000-0000ED190000}"/>
    <cellStyle name="Currency 18 3 2 5 3" xfId="9624" xr:uid="{00000000-0005-0000-0000-0000EE190000}"/>
    <cellStyle name="Currency 18 3 2 5 3 2" xfId="9625" xr:uid="{00000000-0005-0000-0000-0000EF190000}"/>
    <cellStyle name="Currency 18 3 3" xfId="9626" xr:uid="{00000000-0005-0000-0000-0000F0190000}"/>
    <cellStyle name="Currency 18 3 3 2" xfId="9627" xr:uid="{00000000-0005-0000-0000-0000F1190000}"/>
    <cellStyle name="Currency 18 3 3 2 2" xfId="9628" xr:uid="{00000000-0005-0000-0000-0000F2190000}"/>
    <cellStyle name="Currency 18 3 3 2 3" xfId="9629" xr:uid="{00000000-0005-0000-0000-0000F3190000}"/>
    <cellStyle name="Currency 18 3 3 3" xfId="9630" xr:uid="{00000000-0005-0000-0000-0000F4190000}"/>
    <cellStyle name="Currency 18 3 3 4" xfId="9631" xr:uid="{00000000-0005-0000-0000-0000F5190000}"/>
    <cellStyle name="Currency 18 3 4" xfId="9632" xr:uid="{00000000-0005-0000-0000-0000F6190000}"/>
    <cellStyle name="Currency 18 3 4 2" xfId="9633" xr:uid="{00000000-0005-0000-0000-0000F7190000}"/>
    <cellStyle name="Currency 18 3 5" xfId="9634" xr:uid="{00000000-0005-0000-0000-0000F8190000}"/>
    <cellStyle name="Currency 18 3 5 2" xfId="9635" xr:uid="{00000000-0005-0000-0000-0000F9190000}"/>
    <cellStyle name="Currency 18 3 5 3" xfId="9636" xr:uid="{00000000-0005-0000-0000-0000FA190000}"/>
    <cellStyle name="Currency 18 3 5 4" xfId="9637" xr:uid="{00000000-0005-0000-0000-0000FB190000}"/>
    <cellStyle name="Currency 18 3 6" xfId="9638" xr:uid="{00000000-0005-0000-0000-0000FC190000}"/>
    <cellStyle name="Currency 18 3 6 2" xfId="9639" xr:uid="{00000000-0005-0000-0000-0000FD190000}"/>
    <cellStyle name="Currency 18 3 7" xfId="9640" xr:uid="{00000000-0005-0000-0000-0000FE190000}"/>
    <cellStyle name="Currency 18 3 7 2" xfId="9641" xr:uid="{00000000-0005-0000-0000-0000FF190000}"/>
    <cellStyle name="Currency 18 3 7 2 2" xfId="9642" xr:uid="{00000000-0005-0000-0000-0000001A0000}"/>
    <cellStyle name="Currency 18 3 7 3" xfId="9643" xr:uid="{00000000-0005-0000-0000-0000011A0000}"/>
    <cellStyle name="Currency 18 3 7 3 2" xfId="9644" xr:uid="{00000000-0005-0000-0000-0000021A0000}"/>
    <cellStyle name="Currency 18 3 8" xfId="9645" xr:uid="{00000000-0005-0000-0000-0000031A0000}"/>
    <cellStyle name="Currency 18 3 8 2" xfId="9646" xr:uid="{00000000-0005-0000-0000-0000041A0000}"/>
    <cellStyle name="Currency 18 4" xfId="9647" xr:uid="{00000000-0005-0000-0000-0000051A0000}"/>
    <cellStyle name="Currency 18 4 2" xfId="9648" xr:uid="{00000000-0005-0000-0000-0000061A0000}"/>
    <cellStyle name="Currency 18 4 3" xfId="9649" xr:uid="{00000000-0005-0000-0000-0000071A0000}"/>
    <cellStyle name="Currency 18 4 3 2" xfId="9650" xr:uid="{00000000-0005-0000-0000-0000081A0000}"/>
    <cellStyle name="Currency 18 4 4" xfId="9651" xr:uid="{00000000-0005-0000-0000-0000091A0000}"/>
    <cellStyle name="Currency 18 4 4 2" xfId="9652" xr:uid="{00000000-0005-0000-0000-00000A1A0000}"/>
    <cellStyle name="Currency 18 4 4 3" xfId="9653" xr:uid="{00000000-0005-0000-0000-00000B1A0000}"/>
    <cellStyle name="Currency 18 4 4 4" xfId="9654" xr:uid="{00000000-0005-0000-0000-00000C1A0000}"/>
    <cellStyle name="Currency 18 4 5" xfId="9655" xr:uid="{00000000-0005-0000-0000-00000D1A0000}"/>
    <cellStyle name="Currency 18 4 5 2" xfId="9656" xr:uid="{00000000-0005-0000-0000-00000E1A0000}"/>
    <cellStyle name="Currency 18 4 6" xfId="9657" xr:uid="{00000000-0005-0000-0000-00000F1A0000}"/>
    <cellStyle name="Currency 18 4 6 2" xfId="9658" xr:uid="{00000000-0005-0000-0000-0000101A0000}"/>
    <cellStyle name="Currency 18 4 6 2 2" xfId="9659" xr:uid="{00000000-0005-0000-0000-0000111A0000}"/>
    <cellStyle name="Currency 18 4 6 3" xfId="9660" xr:uid="{00000000-0005-0000-0000-0000121A0000}"/>
    <cellStyle name="Currency 18 4 6 3 2" xfId="9661" xr:uid="{00000000-0005-0000-0000-0000131A0000}"/>
    <cellStyle name="Currency 18 4 7" xfId="9662" xr:uid="{00000000-0005-0000-0000-0000141A0000}"/>
    <cellStyle name="Currency 18 5" xfId="9663" xr:uid="{00000000-0005-0000-0000-0000151A0000}"/>
    <cellStyle name="Currency 18 6" xfId="9664" xr:uid="{00000000-0005-0000-0000-0000161A0000}"/>
    <cellStyle name="Currency 18 6 2" xfId="9665" xr:uid="{00000000-0005-0000-0000-0000171A0000}"/>
    <cellStyle name="Currency 18 6 2 2" xfId="9666" xr:uid="{00000000-0005-0000-0000-0000181A0000}"/>
    <cellStyle name="Currency 18 6 2 3" xfId="9667" xr:uid="{00000000-0005-0000-0000-0000191A0000}"/>
    <cellStyle name="Currency 18 6 3" xfId="9668" xr:uid="{00000000-0005-0000-0000-00001A1A0000}"/>
    <cellStyle name="Currency 18 6 4" xfId="9669" xr:uid="{00000000-0005-0000-0000-00001B1A0000}"/>
    <cellStyle name="Currency 18 7" xfId="9670" xr:uid="{00000000-0005-0000-0000-00001C1A0000}"/>
    <cellStyle name="Currency 18 7 2" xfId="9671" xr:uid="{00000000-0005-0000-0000-00001D1A0000}"/>
    <cellStyle name="Currency 18 8" xfId="9672" xr:uid="{00000000-0005-0000-0000-00001E1A0000}"/>
    <cellStyle name="Currency 18 8 2" xfId="9673" xr:uid="{00000000-0005-0000-0000-00001F1A0000}"/>
    <cellStyle name="Currency 18 8 3" xfId="9674" xr:uid="{00000000-0005-0000-0000-0000201A0000}"/>
    <cellStyle name="Currency 18 8 4" xfId="9675" xr:uid="{00000000-0005-0000-0000-0000211A0000}"/>
    <cellStyle name="Currency 18 9" xfId="9676" xr:uid="{00000000-0005-0000-0000-0000221A0000}"/>
    <cellStyle name="Currency 18 9 2" xfId="9677" xr:uid="{00000000-0005-0000-0000-0000231A0000}"/>
    <cellStyle name="Currency 19" xfId="2990" xr:uid="{00000000-0005-0000-0000-000032010000}"/>
    <cellStyle name="Currency 19 2" xfId="9678" xr:uid="{00000000-0005-0000-0000-0000251A0000}"/>
    <cellStyle name="Currency 19 2 2" xfId="9679" xr:uid="{00000000-0005-0000-0000-0000261A0000}"/>
    <cellStyle name="Currency 19 2 2 2" xfId="9680" xr:uid="{00000000-0005-0000-0000-0000271A0000}"/>
    <cellStyle name="Currency 19 2 2 3" xfId="9681" xr:uid="{00000000-0005-0000-0000-0000281A0000}"/>
    <cellStyle name="Currency 19 2 2 4" xfId="9682" xr:uid="{00000000-0005-0000-0000-0000291A0000}"/>
    <cellStyle name="Currency 19 2 3" xfId="9683" xr:uid="{00000000-0005-0000-0000-00002A1A0000}"/>
    <cellStyle name="Currency 19 2 3 2" xfId="9684" xr:uid="{00000000-0005-0000-0000-00002B1A0000}"/>
    <cellStyle name="Currency 19 2 4" xfId="9685" xr:uid="{00000000-0005-0000-0000-00002C1A0000}"/>
    <cellStyle name="Currency 19 2 5" xfId="9686" xr:uid="{00000000-0005-0000-0000-00002D1A0000}"/>
    <cellStyle name="Currency 19 2 5 2" xfId="9687" xr:uid="{00000000-0005-0000-0000-00002E1A0000}"/>
    <cellStyle name="Currency 19 2 6" xfId="9688" xr:uid="{00000000-0005-0000-0000-00002F1A0000}"/>
    <cellStyle name="Currency 19 2 6 2" xfId="9689" xr:uid="{00000000-0005-0000-0000-0000301A0000}"/>
    <cellStyle name="Currency 19 2 6 2 2" xfId="9690" xr:uid="{00000000-0005-0000-0000-0000311A0000}"/>
    <cellStyle name="Currency 19 2 6 3" xfId="9691" xr:uid="{00000000-0005-0000-0000-0000321A0000}"/>
    <cellStyle name="Currency 19 2 6 3 2" xfId="9692" xr:uid="{00000000-0005-0000-0000-0000331A0000}"/>
    <cellStyle name="Currency 19 2 7" xfId="9693" xr:uid="{00000000-0005-0000-0000-0000341A0000}"/>
    <cellStyle name="Currency 19 2 7 2" xfId="9694" xr:uid="{00000000-0005-0000-0000-0000351A0000}"/>
    <cellStyle name="Currency 19 2 8" xfId="9695" xr:uid="{00000000-0005-0000-0000-0000361A0000}"/>
    <cellStyle name="Currency 19 3" xfId="9696" xr:uid="{00000000-0005-0000-0000-0000371A0000}"/>
    <cellStyle name="Currency 19 3 2" xfId="9697" xr:uid="{00000000-0005-0000-0000-0000381A0000}"/>
    <cellStyle name="Currency 19 4" xfId="9698" xr:uid="{00000000-0005-0000-0000-0000391A0000}"/>
    <cellStyle name="Currency 19 4 2" xfId="9699" xr:uid="{00000000-0005-0000-0000-00003A1A0000}"/>
    <cellStyle name="Currency 19 5" xfId="9700" xr:uid="{00000000-0005-0000-0000-00003B1A0000}"/>
    <cellStyle name="Currency 19 5 2" xfId="9701" xr:uid="{00000000-0005-0000-0000-00003C1A0000}"/>
    <cellStyle name="Currency 19 6" xfId="9702" xr:uid="{00000000-0005-0000-0000-00003D1A0000}"/>
    <cellStyle name="Currency 19 6 2" xfId="9703" xr:uid="{00000000-0005-0000-0000-00003E1A0000}"/>
    <cellStyle name="Currency 19 6 2 2" xfId="9704" xr:uid="{00000000-0005-0000-0000-00003F1A0000}"/>
    <cellStyle name="Currency 19 6 3" xfId="9705" xr:uid="{00000000-0005-0000-0000-0000401A0000}"/>
    <cellStyle name="Currency 19 6 3 2" xfId="9706" xr:uid="{00000000-0005-0000-0000-0000411A0000}"/>
    <cellStyle name="Currency 19 7" xfId="20121" xr:uid="{00000000-0005-0000-0000-0000421A0000}"/>
    <cellStyle name="Currency 2" xfId="432" xr:uid="{00000000-0005-0000-0000-000033010000}"/>
    <cellStyle name="Currency 2 10" xfId="9707" xr:uid="{00000000-0005-0000-0000-0000441A0000}"/>
    <cellStyle name="Currency 2 10 2" xfId="9708" xr:uid="{00000000-0005-0000-0000-0000451A0000}"/>
    <cellStyle name="Currency 2 11" xfId="5496" xr:uid="{00000000-0005-0000-0000-0000431A0000}"/>
    <cellStyle name="Currency 2 2" xfId="433" xr:uid="{00000000-0005-0000-0000-000034010000}"/>
    <cellStyle name="Currency 2 2 2" xfId="434" xr:uid="{00000000-0005-0000-0000-000035010000}"/>
    <cellStyle name="Currency 2 2 2 2" xfId="9709" xr:uid="{00000000-0005-0000-0000-0000481A0000}"/>
    <cellStyle name="Currency 2 2 2 3" xfId="5418" xr:uid="{00000000-0005-0000-0000-0000471A0000}"/>
    <cellStyle name="Currency 2 2 3" xfId="9710" xr:uid="{00000000-0005-0000-0000-0000491A0000}"/>
    <cellStyle name="Currency 2 2 4" xfId="5419" xr:uid="{00000000-0005-0000-0000-0000461A0000}"/>
    <cellStyle name="Currency 2 3" xfId="15" xr:uid="{00000000-0005-0000-0000-000007000000}"/>
    <cellStyle name="Currency 2 3 2" xfId="9711" xr:uid="{00000000-0005-0000-0000-00004B1A0000}"/>
    <cellStyle name="Currency 2 3 2 2" xfId="9712" xr:uid="{00000000-0005-0000-0000-00004C1A0000}"/>
    <cellStyle name="Currency 2 3 3" xfId="5417" xr:uid="{00000000-0005-0000-0000-00004A1A0000}"/>
    <cellStyle name="Currency 2 4" xfId="5416" xr:uid="{00000000-0005-0000-0000-00004D1A0000}"/>
    <cellStyle name="Currency 2 4 2" xfId="9713" xr:uid="{00000000-0005-0000-0000-00004E1A0000}"/>
    <cellStyle name="Currency 2 5" xfId="5415" xr:uid="{00000000-0005-0000-0000-00004F1A0000}"/>
    <cellStyle name="Currency 2 5 2" xfId="9714" xr:uid="{00000000-0005-0000-0000-0000501A0000}"/>
    <cellStyle name="Currency 2 5 2 2" xfId="9715" xr:uid="{00000000-0005-0000-0000-0000511A0000}"/>
    <cellStyle name="Currency 2 5 2 2 2" xfId="9716" xr:uid="{00000000-0005-0000-0000-0000521A0000}"/>
    <cellStyle name="Currency 2 5 2 3" xfId="9717" xr:uid="{00000000-0005-0000-0000-0000531A0000}"/>
    <cellStyle name="Currency 2 5 2 4" xfId="9718" xr:uid="{00000000-0005-0000-0000-0000541A0000}"/>
    <cellStyle name="Currency 2 5 2 4 2" xfId="9719" xr:uid="{00000000-0005-0000-0000-0000551A0000}"/>
    <cellStyle name="Currency 2 5 2 5" xfId="9720" xr:uid="{00000000-0005-0000-0000-0000561A0000}"/>
    <cellStyle name="Currency 2 5 2 5 2" xfId="9721" xr:uid="{00000000-0005-0000-0000-0000571A0000}"/>
    <cellStyle name="Currency 2 5 2 5 2 2" xfId="9722" xr:uid="{00000000-0005-0000-0000-0000581A0000}"/>
    <cellStyle name="Currency 2 5 2 5 3" xfId="9723" xr:uid="{00000000-0005-0000-0000-0000591A0000}"/>
    <cellStyle name="Currency 2 5 2 5 3 2" xfId="9724" xr:uid="{00000000-0005-0000-0000-00005A1A0000}"/>
    <cellStyle name="Currency 2 5 2 6" xfId="9725" xr:uid="{00000000-0005-0000-0000-00005B1A0000}"/>
    <cellStyle name="Currency 2 5 2 7" xfId="9726" xr:uid="{00000000-0005-0000-0000-00005C1A0000}"/>
    <cellStyle name="Currency 2 5 3" xfId="9727" xr:uid="{00000000-0005-0000-0000-00005D1A0000}"/>
    <cellStyle name="Currency 2 5 3 2" xfId="9728" xr:uid="{00000000-0005-0000-0000-00005E1A0000}"/>
    <cellStyle name="Currency 2 5 3 3" xfId="9729" xr:uid="{00000000-0005-0000-0000-00005F1A0000}"/>
    <cellStyle name="Currency 2 5 3 4" xfId="9730" xr:uid="{00000000-0005-0000-0000-0000601A0000}"/>
    <cellStyle name="Currency 2 5 4" xfId="9731" xr:uid="{00000000-0005-0000-0000-0000611A0000}"/>
    <cellStyle name="Currency 2 5 4 2" xfId="9732" xr:uid="{00000000-0005-0000-0000-0000621A0000}"/>
    <cellStyle name="Currency 2 5 5" xfId="9733" xr:uid="{00000000-0005-0000-0000-0000631A0000}"/>
    <cellStyle name="Currency 2 5 6" xfId="9734" xr:uid="{00000000-0005-0000-0000-0000641A0000}"/>
    <cellStyle name="Currency 2 5 6 2" xfId="9735" xr:uid="{00000000-0005-0000-0000-0000651A0000}"/>
    <cellStyle name="Currency 2 5 7" xfId="9736" xr:uid="{00000000-0005-0000-0000-0000661A0000}"/>
    <cellStyle name="Currency 2 5 7 2" xfId="9737" xr:uid="{00000000-0005-0000-0000-0000671A0000}"/>
    <cellStyle name="Currency 2 5 7 2 2" xfId="9738" xr:uid="{00000000-0005-0000-0000-0000681A0000}"/>
    <cellStyle name="Currency 2 5 7 3" xfId="9739" xr:uid="{00000000-0005-0000-0000-0000691A0000}"/>
    <cellStyle name="Currency 2 5 7 3 2" xfId="9740" xr:uid="{00000000-0005-0000-0000-00006A1A0000}"/>
    <cellStyle name="Currency 2 5 8" xfId="9741" xr:uid="{00000000-0005-0000-0000-00006B1A0000}"/>
    <cellStyle name="Currency 2 5 9" xfId="9742" xr:uid="{00000000-0005-0000-0000-00006C1A0000}"/>
    <cellStyle name="Currency 2 6" xfId="9743" xr:uid="{00000000-0005-0000-0000-00006D1A0000}"/>
    <cellStyle name="Currency 2 6 2" xfId="9744" xr:uid="{00000000-0005-0000-0000-00006E1A0000}"/>
    <cellStyle name="Currency 2 6 2 2" xfId="9745" xr:uid="{00000000-0005-0000-0000-00006F1A0000}"/>
    <cellStyle name="Currency 2 6 2 2 2" xfId="9746" xr:uid="{00000000-0005-0000-0000-0000701A0000}"/>
    <cellStyle name="Currency 2 6 2 3" xfId="9747" xr:uid="{00000000-0005-0000-0000-0000711A0000}"/>
    <cellStyle name="Currency 2 6 2 4" xfId="9748" xr:uid="{00000000-0005-0000-0000-0000721A0000}"/>
    <cellStyle name="Currency 2 6 2 4 2" xfId="9749" xr:uid="{00000000-0005-0000-0000-0000731A0000}"/>
    <cellStyle name="Currency 2 6 2 5" xfId="9750" xr:uid="{00000000-0005-0000-0000-0000741A0000}"/>
    <cellStyle name="Currency 2 6 2 5 2" xfId="9751" xr:uid="{00000000-0005-0000-0000-0000751A0000}"/>
    <cellStyle name="Currency 2 6 2 5 2 2" xfId="9752" xr:uid="{00000000-0005-0000-0000-0000761A0000}"/>
    <cellStyle name="Currency 2 6 2 5 3" xfId="9753" xr:uid="{00000000-0005-0000-0000-0000771A0000}"/>
    <cellStyle name="Currency 2 6 2 5 3 2" xfId="9754" xr:uid="{00000000-0005-0000-0000-0000781A0000}"/>
    <cellStyle name="Currency 2 6 2 6" xfId="9755" xr:uid="{00000000-0005-0000-0000-0000791A0000}"/>
    <cellStyle name="Currency 2 6 2 7" xfId="9756" xr:uid="{00000000-0005-0000-0000-00007A1A0000}"/>
    <cellStyle name="Currency 2 6 3" xfId="9757" xr:uid="{00000000-0005-0000-0000-00007B1A0000}"/>
    <cellStyle name="Currency 2 6 3 2" xfId="9758" xr:uid="{00000000-0005-0000-0000-00007C1A0000}"/>
    <cellStyle name="Currency 2 6 4" xfId="9759" xr:uid="{00000000-0005-0000-0000-00007D1A0000}"/>
    <cellStyle name="Currency 2 6 4 2" xfId="9760" xr:uid="{00000000-0005-0000-0000-00007E1A0000}"/>
    <cellStyle name="Currency 2 6 5" xfId="9761" xr:uid="{00000000-0005-0000-0000-00007F1A0000}"/>
    <cellStyle name="Currency 2 6 6" xfId="9762" xr:uid="{00000000-0005-0000-0000-0000801A0000}"/>
    <cellStyle name="Currency 2 6 6 2" xfId="9763" xr:uid="{00000000-0005-0000-0000-0000811A0000}"/>
    <cellStyle name="Currency 2 6 7" xfId="9764" xr:uid="{00000000-0005-0000-0000-0000821A0000}"/>
    <cellStyle name="Currency 2 6 7 2" xfId="9765" xr:uid="{00000000-0005-0000-0000-0000831A0000}"/>
    <cellStyle name="Currency 2 6 7 2 2" xfId="9766" xr:uid="{00000000-0005-0000-0000-0000841A0000}"/>
    <cellStyle name="Currency 2 6 7 3" xfId="9767" xr:uid="{00000000-0005-0000-0000-0000851A0000}"/>
    <cellStyle name="Currency 2 6 7 3 2" xfId="9768" xr:uid="{00000000-0005-0000-0000-0000861A0000}"/>
    <cellStyle name="Currency 2 6 8" xfId="9769" xr:uid="{00000000-0005-0000-0000-0000871A0000}"/>
    <cellStyle name="Currency 2 6 9" xfId="9770" xr:uid="{00000000-0005-0000-0000-0000881A0000}"/>
    <cellStyle name="Currency 2 7" xfId="9771" xr:uid="{00000000-0005-0000-0000-0000891A0000}"/>
    <cellStyle name="Currency 2 7 2" xfId="9772" xr:uid="{00000000-0005-0000-0000-00008A1A0000}"/>
    <cellStyle name="Currency 2 7 2 2" xfId="9773" xr:uid="{00000000-0005-0000-0000-00008B1A0000}"/>
    <cellStyle name="Currency 2 7 2 2 2" xfId="9774" xr:uid="{00000000-0005-0000-0000-00008C1A0000}"/>
    <cellStyle name="Currency 2 7 2 3" xfId="9775" xr:uid="{00000000-0005-0000-0000-00008D1A0000}"/>
    <cellStyle name="Currency 2 7 2 4" xfId="9776" xr:uid="{00000000-0005-0000-0000-00008E1A0000}"/>
    <cellStyle name="Currency 2 7 2 4 2" xfId="9777" xr:uid="{00000000-0005-0000-0000-00008F1A0000}"/>
    <cellStyle name="Currency 2 7 2 5" xfId="9778" xr:uid="{00000000-0005-0000-0000-0000901A0000}"/>
    <cellStyle name="Currency 2 7 2 5 2" xfId="9779" xr:uid="{00000000-0005-0000-0000-0000911A0000}"/>
    <cellStyle name="Currency 2 7 2 5 2 2" xfId="9780" xr:uid="{00000000-0005-0000-0000-0000921A0000}"/>
    <cellStyle name="Currency 2 7 2 5 3" xfId="9781" xr:uid="{00000000-0005-0000-0000-0000931A0000}"/>
    <cellStyle name="Currency 2 7 2 5 3 2" xfId="9782" xr:uid="{00000000-0005-0000-0000-0000941A0000}"/>
    <cellStyle name="Currency 2 7 2 6" xfId="9783" xr:uid="{00000000-0005-0000-0000-0000951A0000}"/>
    <cellStyle name="Currency 2 7 2 7" xfId="9784" xr:uid="{00000000-0005-0000-0000-0000961A0000}"/>
    <cellStyle name="Currency 2 7 3" xfId="9785" xr:uid="{00000000-0005-0000-0000-0000971A0000}"/>
    <cellStyle name="Currency 2 7 3 2" xfId="9786" xr:uid="{00000000-0005-0000-0000-0000981A0000}"/>
    <cellStyle name="Currency 2 7 4" xfId="9787" xr:uid="{00000000-0005-0000-0000-0000991A0000}"/>
    <cellStyle name="Currency 2 7 4 2" xfId="9788" xr:uid="{00000000-0005-0000-0000-00009A1A0000}"/>
    <cellStyle name="Currency 2 7 5" xfId="9789" xr:uid="{00000000-0005-0000-0000-00009B1A0000}"/>
    <cellStyle name="Currency 2 7 6" xfId="9790" xr:uid="{00000000-0005-0000-0000-00009C1A0000}"/>
    <cellStyle name="Currency 2 7 6 2" xfId="9791" xr:uid="{00000000-0005-0000-0000-00009D1A0000}"/>
    <cellStyle name="Currency 2 7 7" xfId="9792" xr:uid="{00000000-0005-0000-0000-00009E1A0000}"/>
    <cellStyle name="Currency 2 7 7 2" xfId="9793" xr:uid="{00000000-0005-0000-0000-00009F1A0000}"/>
    <cellStyle name="Currency 2 7 7 2 2" xfId="9794" xr:uid="{00000000-0005-0000-0000-0000A01A0000}"/>
    <cellStyle name="Currency 2 7 7 3" xfId="9795" xr:uid="{00000000-0005-0000-0000-0000A11A0000}"/>
    <cellStyle name="Currency 2 7 7 3 2" xfId="9796" xr:uid="{00000000-0005-0000-0000-0000A21A0000}"/>
    <cellStyle name="Currency 2 7 8" xfId="9797" xr:uid="{00000000-0005-0000-0000-0000A31A0000}"/>
    <cellStyle name="Currency 2 7 9" xfId="9798" xr:uid="{00000000-0005-0000-0000-0000A41A0000}"/>
    <cellStyle name="Currency 2 8" xfId="9799" xr:uid="{00000000-0005-0000-0000-0000A51A0000}"/>
    <cellStyle name="Currency 2 8 2" xfId="9800" xr:uid="{00000000-0005-0000-0000-0000A61A0000}"/>
    <cellStyle name="Currency 2 8 2 2" xfId="9801" xr:uid="{00000000-0005-0000-0000-0000A71A0000}"/>
    <cellStyle name="Currency 2 8 2 2 2" xfId="9802" xr:uid="{00000000-0005-0000-0000-0000A81A0000}"/>
    <cellStyle name="Currency 2 8 2 3" xfId="9803" xr:uid="{00000000-0005-0000-0000-0000A91A0000}"/>
    <cellStyle name="Currency 2 8 2 4" xfId="9804" xr:uid="{00000000-0005-0000-0000-0000AA1A0000}"/>
    <cellStyle name="Currency 2 8 2 4 2" xfId="9805" xr:uid="{00000000-0005-0000-0000-0000AB1A0000}"/>
    <cellStyle name="Currency 2 8 2 5" xfId="9806" xr:uid="{00000000-0005-0000-0000-0000AC1A0000}"/>
    <cellStyle name="Currency 2 8 2 5 2" xfId="9807" xr:uid="{00000000-0005-0000-0000-0000AD1A0000}"/>
    <cellStyle name="Currency 2 8 2 5 2 2" xfId="9808" xr:uid="{00000000-0005-0000-0000-0000AE1A0000}"/>
    <cellStyle name="Currency 2 8 2 5 3" xfId="9809" xr:uid="{00000000-0005-0000-0000-0000AF1A0000}"/>
    <cellStyle name="Currency 2 8 2 5 3 2" xfId="9810" xr:uid="{00000000-0005-0000-0000-0000B01A0000}"/>
    <cellStyle name="Currency 2 8 2 6" xfId="9811" xr:uid="{00000000-0005-0000-0000-0000B11A0000}"/>
    <cellStyle name="Currency 2 8 2 7" xfId="9812" xr:uid="{00000000-0005-0000-0000-0000B21A0000}"/>
    <cellStyle name="Currency 2 8 3" xfId="9813" xr:uid="{00000000-0005-0000-0000-0000B31A0000}"/>
    <cellStyle name="Currency 2 8 3 2" xfId="9814" xr:uid="{00000000-0005-0000-0000-0000B41A0000}"/>
    <cellStyle name="Currency 2 8 4" xfId="9815" xr:uid="{00000000-0005-0000-0000-0000B51A0000}"/>
    <cellStyle name="Currency 2 8 4 2" xfId="9816" xr:uid="{00000000-0005-0000-0000-0000B61A0000}"/>
    <cellStyle name="Currency 2 8 5" xfId="9817" xr:uid="{00000000-0005-0000-0000-0000B71A0000}"/>
    <cellStyle name="Currency 2 8 6" xfId="9818" xr:uid="{00000000-0005-0000-0000-0000B81A0000}"/>
    <cellStyle name="Currency 2 8 6 2" xfId="9819" xr:uid="{00000000-0005-0000-0000-0000B91A0000}"/>
    <cellStyle name="Currency 2 8 7" xfId="9820" xr:uid="{00000000-0005-0000-0000-0000BA1A0000}"/>
    <cellStyle name="Currency 2 8 7 2" xfId="9821" xr:uid="{00000000-0005-0000-0000-0000BB1A0000}"/>
    <cellStyle name="Currency 2 8 7 2 2" xfId="9822" xr:uid="{00000000-0005-0000-0000-0000BC1A0000}"/>
    <cellStyle name="Currency 2 8 7 3" xfId="9823" xr:uid="{00000000-0005-0000-0000-0000BD1A0000}"/>
    <cellStyle name="Currency 2 8 7 3 2" xfId="9824" xr:uid="{00000000-0005-0000-0000-0000BE1A0000}"/>
    <cellStyle name="Currency 2 8 8" xfId="9825" xr:uid="{00000000-0005-0000-0000-0000BF1A0000}"/>
    <cellStyle name="Currency 2 8 9" xfId="9826" xr:uid="{00000000-0005-0000-0000-0000C01A0000}"/>
    <cellStyle name="Currency 2 9" xfId="9827" xr:uid="{00000000-0005-0000-0000-0000C11A0000}"/>
    <cellStyle name="Currency 2 9 2" xfId="9828" xr:uid="{00000000-0005-0000-0000-0000C21A0000}"/>
    <cellStyle name="Currency 20" xfId="2987" xr:uid="{00000000-0005-0000-0000-000037010000}"/>
    <cellStyle name="Currency 20 10" xfId="9829" xr:uid="{00000000-0005-0000-0000-0000C31A0000}"/>
    <cellStyle name="Currency 20 2" xfId="9830" xr:uid="{00000000-0005-0000-0000-0000C41A0000}"/>
    <cellStyle name="Currency 20 2 2" xfId="9831" xr:uid="{00000000-0005-0000-0000-0000C51A0000}"/>
    <cellStyle name="Currency 20 2 2 2" xfId="9832" xr:uid="{00000000-0005-0000-0000-0000C61A0000}"/>
    <cellStyle name="Currency 20 2 2 3" xfId="9833" xr:uid="{00000000-0005-0000-0000-0000C71A0000}"/>
    <cellStyle name="Currency 20 2 2 4" xfId="9834" xr:uid="{00000000-0005-0000-0000-0000C81A0000}"/>
    <cellStyle name="Currency 20 2 3" xfId="9835" xr:uid="{00000000-0005-0000-0000-0000C91A0000}"/>
    <cellStyle name="Currency 20 2 4" xfId="9836" xr:uid="{00000000-0005-0000-0000-0000CA1A0000}"/>
    <cellStyle name="Currency 20 2 4 2" xfId="9837" xr:uid="{00000000-0005-0000-0000-0000CB1A0000}"/>
    <cellStyle name="Currency 20 2 5" xfId="9838" xr:uid="{00000000-0005-0000-0000-0000CC1A0000}"/>
    <cellStyle name="Currency 20 2 5 2" xfId="9839" xr:uid="{00000000-0005-0000-0000-0000CD1A0000}"/>
    <cellStyle name="Currency 20 2 5 2 2" xfId="9840" xr:uid="{00000000-0005-0000-0000-0000CE1A0000}"/>
    <cellStyle name="Currency 20 2 5 3" xfId="9841" xr:uid="{00000000-0005-0000-0000-0000CF1A0000}"/>
    <cellStyle name="Currency 20 2 5 3 2" xfId="9842" xr:uid="{00000000-0005-0000-0000-0000D01A0000}"/>
    <cellStyle name="Currency 20 2 6" xfId="9843" xr:uid="{00000000-0005-0000-0000-0000D11A0000}"/>
    <cellStyle name="Currency 20 2 6 2" xfId="9844" xr:uid="{00000000-0005-0000-0000-0000D21A0000}"/>
    <cellStyle name="Currency 20 2 7" xfId="9845" xr:uid="{00000000-0005-0000-0000-0000D31A0000}"/>
    <cellStyle name="Currency 20 3" xfId="9846" xr:uid="{00000000-0005-0000-0000-0000D41A0000}"/>
    <cellStyle name="Currency 20 3 2" xfId="9847" xr:uid="{00000000-0005-0000-0000-0000D51A0000}"/>
    <cellStyle name="Currency 20 4" xfId="9848" xr:uid="{00000000-0005-0000-0000-0000D61A0000}"/>
    <cellStyle name="Currency 20 4 2" xfId="9849" xr:uid="{00000000-0005-0000-0000-0000D71A0000}"/>
    <cellStyle name="Currency 20 5" xfId="9850" xr:uid="{00000000-0005-0000-0000-0000D81A0000}"/>
    <cellStyle name="Currency 20 6" xfId="9851" xr:uid="{00000000-0005-0000-0000-0000D91A0000}"/>
    <cellStyle name="Currency 20 6 2" xfId="9852" xr:uid="{00000000-0005-0000-0000-0000DA1A0000}"/>
    <cellStyle name="Currency 20 7" xfId="9853" xr:uid="{00000000-0005-0000-0000-0000DB1A0000}"/>
    <cellStyle name="Currency 20 7 2" xfId="9854" xr:uid="{00000000-0005-0000-0000-0000DC1A0000}"/>
    <cellStyle name="Currency 20 7 2 2" xfId="9855" xr:uid="{00000000-0005-0000-0000-0000DD1A0000}"/>
    <cellStyle name="Currency 20 7 3" xfId="9856" xr:uid="{00000000-0005-0000-0000-0000DE1A0000}"/>
    <cellStyle name="Currency 20 7 3 2" xfId="9857" xr:uid="{00000000-0005-0000-0000-0000DF1A0000}"/>
    <cellStyle name="Currency 20 8" xfId="9858" xr:uid="{00000000-0005-0000-0000-0000E01A0000}"/>
    <cellStyle name="Currency 20 8 2" xfId="9859" xr:uid="{00000000-0005-0000-0000-0000E11A0000}"/>
    <cellStyle name="Currency 20 9" xfId="9860" xr:uid="{00000000-0005-0000-0000-0000E21A0000}"/>
    <cellStyle name="Currency 21" xfId="2984" xr:uid="{00000000-0005-0000-0000-000038010000}"/>
    <cellStyle name="Currency 21 10" xfId="9861" xr:uid="{00000000-0005-0000-0000-0000E31A0000}"/>
    <cellStyle name="Currency 21 2" xfId="9862" xr:uid="{00000000-0005-0000-0000-0000E41A0000}"/>
    <cellStyle name="Currency 21 2 2" xfId="9863" xr:uid="{00000000-0005-0000-0000-0000E51A0000}"/>
    <cellStyle name="Currency 21 2 2 2" xfId="9864" xr:uid="{00000000-0005-0000-0000-0000E61A0000}"/>
    <cellStyle name="Currency 21 2 2 3" xfId="9865" xr:uid="{00000000-0005-0000-0000-0000E71A0000}"/>
    <cellStyle name="Currency 21 2 2 4" xfId="9866" xr:uid="{00000000-0005-0000-0000-0000E81A0000}"/>
    <cellStyle name="Currency 21 2 3" xfId="9867" xr:uid="{00000000-0005-0000-0000-0000E91A0000}"/>
    <cellStyle name="Currency 21 2 4" xfId="9868" xr:uid="{00000000-0005-0000-0000-0000EA1A0000}"/>
    <cellStyle name="Currency 21 2 4 2" xfId="9869" xr:uid="{00000000-0005-0000-0000-0000EB1A0000}"/>
    <cellStyle name="Currency 21 2 5" xfId="9870" xr:uid="{00000000-0005-0000-0000-0000EC1A0000}"/>
    <cellStyle name="Currency 21 2 5 2" xfId="9871" xr:uid="{00000000-0005-0000-0000-0000ED1A0000}"/>
    <cellStyle name="Currency 21 2 5 2 2" xfId="9872" xr:uid="{00000000-0005-0000-0000-0000EE1A0000}"/>
    <cellStyle name="Currency 21 2 5 3" xfId="9873" xr:uid="{00000000-0005-0000-0000-0000EF1A0000}"/>
    <cellStyle name="Currency 21 2 5 3 2" xfId="9874" xr:uid="{00000000-0005-0000-0000-0000F01A0000}"/>
    <cellStyle name="Currency 21 2 6" xfId="9875" xr:uid="{00000000-0005-0000-0000-0000F11A0000}"/>
    <cellStyle name="Currency 21 2 6 2" xfId="9876" xr:uid="{00000000-0005-0000-0000-0000F21A0000}"/>
    <cellStyle name="Currency 21 2 7" xfId="9877" xr:uid="{00000000-0005-0000-0000-0000F31A0000}"/>
    <cellStyle name="Currency 21 3" xfId="9878" xr:uid="{00000000-0005-0000-0000-0000F41A0000}"/>
    <cellStyle name="Currency 21 3 2" xfId="9879" xr:uid="{00000000-0005-0000-0000-0000F51A0000}"/>
    <cellStyle name="Currency 21 4" xfId="9880" xr:uid="{00000000-0005-0000-0000-0000F61A0000}"/>
    <cellStyle name="Currency 21 4 2" xfId="9881" xr:uid="{00000000-0005-0000-0000-0000F71A0000}"/>
    <cellStyle name="Currency 21 5" xfId="9882" xr:uid="{00000000-0005-0000-0000-0000F81A0000}"/>
    <cellStyle name="Currency 21 6" xfId="9883" xr:uid="{00000000-0005-0000-0000-0000F91A0000}"/>
    <cellStyle name="Currency 21 6 2" xfId="9884" xr:uid="{00000000-0005-0000-0000-0000FA1A0000}"/>
    <cellStyle name="Currency 21 7" xfId="9885" xr:uid="{00000000-0005-0000-0000-0000FB1A0000}"/>
    <cellStyle name="Currency 21 7 2" xfId="9886" xr:uid="{00000000-0005-0000-0000-0000FC1A0000}"/>
    <cellStyle name="Currency 21 7 2 2" xfId="9887" xr:uid="{00000000-0005-0000-0000-0000FD1A0000}"/>
    <cellStyle name="Currency 21 7 3" xfId="9888" xr:uid="{00000000-0005-0000-0000-0000FE1A0000}"/>
    <cellStyle name="Currency 21 7 3 2" xfId="9889" xr:uid="{00000000-0005-0000-0000-0000FF1A0000}"/>
    <cellStyle name="Currency 21 8" xfId="9890" xr:uid="{00000000-0005-0000-0000-0000001B0000}"/>
    <cellStyle name="Currency 21 8 2" xfId="9891" xr:uid="{00000000-0005-0000-0000-0000011B0000}"/>
    <cellStyle name="Currency 21 9" xfId="9892" xr:uid="{00000000-0005-0000-0000-0000021B0000}"/>
    <cellStyle name="Currency 22" xfId="2981" xr:uid="{00000000-0005-0000-0000-000039010000}"/>
    <cellStyle name="Currency 22 10" xfId="9893" xr:uid="{00000000-0005-0000-0000-0000031B0000}"/>
    <cellStyle name="Currency 22 2" xfId="9894" xr:uid="{00000000-0005-0000-0000-0000041B0000}"/>
    <cellStyle name="Currency 22 2 2" xfId="9895" xr:uid="{00000000-0005-0000-0000-0000051B0000}"/>
    <cellStyle name="Currency 22 2 2 2" xfId="9896" xr:uid="{00000000-0005-0000-0000-0000061B0000}"/>
    <cellStyle name="Currency 22 2 2 3" xfId="9897" xr:uid="{00000000-0005-0000-0000-0000071B0000}"/>
    <cellStyle name="Currency 22 2 2 4" xfId="9898" xr:uid="{00000000-0005-0000-0000-0000081B0000}"/>
    <cellStyle name="Currency 22 2 3" xfId="9899" xr:uid="{00000000-0005-0000-0000-0000091B0000}"/>
    <cellStyle name="Currency 22 2 4" xfId="9900" xr:uid="{00000000-0005-0000-0000-00000A1B0000}"/>
    <cellStyle name="Currency 22 2 4 2" xfId="9901" xr:uid="{00000000-0005-0000-0000-00000B1B0000}"/>
    <cellStyle name="Currency 22 2 5" xfId="9902" xr:uid="{00000000-0005-0000-0000-00000C1B0000}"/>
    <cellStyle name="Currency 22 2 5 2" xfId="9903" xr:uid="{00000000-0005-0000-0000-00000D1B0000}"/>
    <cellStyle name="Currency 22 2 5 2 2" xfId="9904" xr:uid="{00000000-0005-0000-0000-00000E1B0000}"/>
    <cellStyle name="Currency 22 2 5 3" xfId="9905" xr:uid="{00000000-0005-0000-0000-00000F1B0000}"/>
    <cellStyle name="Currency 22 2 5 3 2" xfId="9906" xr:uid="{00000000-0005-0000-0000-0000101B0000}"/>
    <cellStyle name="Currency 22 2 6" xfId="9907" xr:uid="{00000000-0005-0000-0000-0000111B0000}"/>
    <cellStyle name="Currency 22 2 7" xfId="9908" xr:uid="{00000000-0005-0000-0000-0000121B0000}"/>
    <cellStyle name="Currency 22 3" xfId="9909" xr:uid="{00000000-0005-0000-0000-0000131B0000}"/>
    <cellStyle name="Currency 22 3 2" xfId="9910" xr:uid="{00000000-0005-0000-0000-0000141B0000}"/>
    <cellStyle name="Currency 22 4" xfId="9911" xr:uid="{00000000-0005-0000-0000-0000151B0000}"/>
    <cellStyle name="Currency 22 4 2" xfId="9912" xr:uid="{00000000-0005-0000-0000-0000161B0000}"/>
    <cellStyle name="Currency 22 5" xfId="9913" xr:uid="{00000000-0005-0000-0000-0000171B0000}"/>
    <cellStyle name="Currency 22 6" xfId="9914" xr:uid="{00000000-0005-0000-0000-0000181B0000}"/>
    <cellStyle name="Currency 22 6 2" xfId="9915" xr:uid="{00000000-0005-0000-0000-0000191B0000}"/>
    <cellStyle name="Currency 22 7" xfId="9916" xr:uid="{00000000-0005-0000-0000-00001A1B0000}"/>
    <cellStyle name="Currency 22 7 2" xfId="9917" xr:uid="{00000000-0005-0000-0000-00001B1B0000}"/>
    <cellStyle name="Currency 22 7 2 2" xfId="9918" xr:uid="{00000000-0005-0000-0000-00001C1B0000}"/>
    <cellStyle name="Currency 22 7 3" xfId="9919" xr:uid="{00000000-0005-0000-0000-00001D1B0000}"/>
    <cellStyle name="Currency 22 7 3 2" xfId="9920" xr:uid="{00000000-0005-0000-0000-00001E1B0000}"/>
    <cellStyle name="Currency 22 8" xfId="9921" xr:uid="{00000000-0005-0000-0000-00001F1B0000}"/>
    <cellStyle name="Currency 22 9" xfId="9922" xr:uid="{00000000-0005-0000-0000-0000201B0000}"/>
    <cellStyle name="Currency 23" xfId="2978" xr:uid="{00000000-0005-0000-0000-00003A010000}"/>
    <cellStyle name="Currency 23 2" xfId="9924" xr:uid="{00000000-0005-0000-0000-0000221B0000}"/>
    <cellStyle name="Currency 23 3" xfId="9925" xr:uid="{00000000-0005-0000-0000-0000231B0000}"/>
    <cellStyle name="Currency 23 4" xfId="9923" xr:uid="{00000000-0005-0000-0000-0000211B0000}"/>
    <cellStyle name="Currency 24" xfId="2975" xr:uid="{00000000-0005-0000-0000-00003B010000}"/>
    <cellStyle name="Currency 24 2" xfId="9926" xr:uid="{00000000-0005-0000-0000-0000241B0000}"/>
    <cellStyle name="Currency 25" xfId="2973" xr:uid="{00000000-0005-0000-0000-00003C010000}"/>
    <cellStyle name="Currency 25 2" xfId="9927" xr:uid="{00000000-0005-0000-0000-0000261B0000}"/>
    <cellStyle name="Currency 25 2 2" xfId="9928" xr:uid="{00000000-0005-0000-0000-0000271B0000}"/>
    <cellStyle name="Currency 25 3" xfId="9929" xr:uid="{00000000-0005-0000-0000-0000281B0000}"/>
    <cellStyle name="Currency 26" xfId="2966" xr:uid="{00000000-0005-0000-0000-00003D010000}"/>
    <cellStyle name="Currency 26 2" xfId="9930" xr:uid="{00000000-0005-0000-0000-00002A1B0000}"/>
    <cellStyle name="Currency 27" xfId="2963" xr:uid="{00000000-0005-0000-0000-00003E010000}"/>
    <cellStyle name="Currency 27 2" xfId="9931" xr:uid="{00000000-0005-0000-0000-00002C1B0000}"/>
    <cellStyle name="Currency 27 3" xfId="5287" xr:uid="{00000000-0005-0000-0000-00002B1B0000}"/>
    <cellStyle name="Currency 28" xfId="2960" xr:uid="{00000000-0005-0000-0000-00003F010000}"/>
    <cellStyle name="Currency 28 2" xfId="9932" xr:uid="{00000000-0005-0000-0000-00002D1B0000}"/>
    <cellStyle name="Currency 29" xfId="2957" xr:uid="{00000000-0005-0000-0000-000040010000}"/>
    <cellStyle name="Currency 29 2" xfId="9933" xr:uid="{00000000-0005-0000-0000-00002E1B0000}"/>
    <cellStyle name="Currency 3" xfId="436" xr:uid="{00000000-0005-0000-0000-000041010000}"/>
    <cellStyle name="Currency 3 10" xfId="9934" xr:uid="{00000000-0005-0000-0000-0000301B0000}"/>
    <cellStyle name="Currency 3 11" xfId="9935" xr:uid="{00000000-0005-0000-0000-0000311B0000}"/>
    <cellStyle name="Currency 3 12" xfId="5553" xr:uid="{00000000-0005-0000-0000-00002F1B0000}"/>
    <cellStyle name="Currency 3 13" xfId="20554" xr:uid="{EA1BEE82-E508-4754-A64B-7D235EB4180F}"/>
    <cellStyle name="Currency 3 2" xfId="437" xr:uid="{00000000-0005-0000-0000-000042010000}"/>
    <cellStyle name="Currency 3 2 2" xfId="438" xr:uid="{00000000-0005-0000-0000-000043010000}"/>
    <cellStyle name="Currency 3 2 2 2" xfId="9936" xr:uid="{00000000-0005-0000-0000-0000331B0000}"/>
    <cellStyle name="Currency 3 2 3" xfId="9937" xr:uid="{00000000-0005-0000-0000-0000341B0000}"/>
    <cellStyle name="Currency 3 2 4" xfId="9938" xr:uid="{00000000-0005-0000-0000-0000351B0000}"/>
    <cellStyle name="Currency 3 3" xfId="439" xr:uid="{00000000-0005-0000-0000-000044010000}"/>
    <cellStyle name="Currency 3 3 2" xfId="9939" xr:uid="{00000000-0005-0000-0000-0000371B0000}"/>
    <cellStyle name="Currency 3 3 2 2" xfId="9940" xr:uid="{00000000-0005-0000-0000-0000381B0000}"/>
    <cellStyle name="Currency 3 3 3" xfId="9941" xr:uid="{00000000-0005-0000-0000-0000391B0000}"/>
    <cellStyle name="Currency 3 3 3 2" xfId="9942" xr:uid="{00000000-0005-0000-0000-00003A1B0000}"/>
    <cellStyle name="Currency 3 3 3 3" xfId="9943" xr:uid="{00000000-0005-0000-0000-00003B1B0000}"/>
    <cellStyle name="Currency 3 3 4" xfId="9944" xr:uid="{00000000-0005-0000-0000-00003C1B0000}"/>
    <cellStyle name="Currency 3 3 5" xfId="9945" xr:uid="{00000000-0005-0000-0000-00003D1B0000}"/>
    <cellStyle name="Currency 3 3 6" xfId="9946" xr:uid="{00000000-0005-0000-0000-00003E1B0000}"/>
    <cellStyle name="Currency 3 4" xfId="440" xr:uid="{00000000-0005-0000-0000-000045010000}"/>
    <cellStyle name="Currency 3 4 2" xfId="9947" xr:uid="{00000000-0005-0000-0000-0000401B0000}"/>
    <cellStyle name="Currency 3 5" xfId="9948" xr:uid="{00000000-0005-0000-0000-0000411B0000}"/>
    <cellStyle name="Currency 3 5 2" xfId="9949" xr:uid="{00000000-0005-0000-0000-0000421B0000}"/>
    <cellStyle name="Currency 3 6" xfId="9950" xr:uid="{00000000-0005-0000-0000-0000431B0000}"/>
    <cellStyle name="Currency 3 7" xfId="9951" xr:uid="{00000000-0005-0000-0000-0000441B0000}"/>
    <cellStyle name="Currency 3 8" xfId="9952" xr:uid="{00000000-0005-0000-0000-0000451B0000}"/>
    <cellStyle name="Currency 3 8 2" xfId="9953" xr:uid="{00000000-0005-0000-0000-0000461B0000}"/>
    <cellStyle name="Currency 3 8 3" xfId="9954" xr:uid="{00000000-0005-0000-0000-0000471B0000}"/>
    <cellStyle name="Currency 3 9" xfId="9955" xr:uid="{00000000-0005-0000-0000-0000481B0000}"/>
    <cellStyle name="Currency 3 9 2" xfId="9956" xr:uid="{00000000-0005-0000-0000-0000491B0000}"/>
    <cellStyle name="Currency 3 9 3" xfId="9957" xr:uid="{00000000-0005-0000-0000-00004A1B0000}"/>
    <cellStyle name="Currency 30" xfId="2954" xr:uid="{00000000-0005-0000-0000-000046010000}"/>
    <cellStyle name="Currency 30 2" xfId="9958" xr:uid="{00000000-0005-0000-0000-00004B1B0000}"/>
    <cellStyle name="Currency 31" xfId="2951" xr:uid="{00000000-0005-0000-0000-000047010000}"/>
    <cellStyle name="Currency 31 2" xfId="9959" xr:uid="{00000000-0005-0000-0000-00004C1B0000}"/>
    <cellStyle name="Currency 32" xfId="2946" xr:uid="{00000000-0005-0000-0000-000048010000}"/>
    <cellStyle name="Currency 32 2" xfId="9960" xr:uid="{00000000-0005-0000-0000-00004D1B0000}"/>
    <cellStyle name="Currency 33" xfId="2944" xr:uid="{00000000-0005-0000-0000-000049010000}"/>
    <cellStyle name="Currency 33 2" xfId="9961" xr:uid="{00000000-0005-0000-0000-00004E1B0000}"/>
    <cellStyle name="Currency 34" xfId="9962" xr:uid="{00000000-0005-0000-0000-00004F1B0000}"/>
    <cellStyle name="Currency 35" xfId="9963" xr:uid="{00000000-0005-0000-0000-0000501B0000}"/>
    <cellStyle name="Currency 36" xfId="9964" xr:uid="{00000000-0005-0000-0000-0000511B0000}"/>
    <cellStyle name="Currency 37" xfId="9965" xr:uid="{00000000-0005-0000-0000-0000521B0000}"/>
    <cellStyle name="Currency 38" xfId="9966" xr:uid="{00000000-0005-0000-0000-0000531B0000}"/>
    <cellStyle name="Currency 39" xfId="9967" xr:uid="{00000000-0005-0000-0000-0000541B0000}"/>
    <cellStyle name="Currency 4" xfId="441" xr:uid="{00000000-0005-0000-0000-00004A010000}"/>
    <cellStyle name="Currency 4 10" xfId="5414" xr:uid="{00000000-0005-0000-0000-0000551B0000}"/>
    <cellStyle name="Currency 4 2" xfId="5413" xr:uid="{00000000-0005-0000-0000-0000561B0000}"/>
    <cellStyle name="Currency 4 2 2" xfId="9968" xr:uid="{00000000-0005-0000-0000-0000571B0000}"/>
    <cellStyle name="Currency 4 2 2 2" xfId="9969" xr:uid="{00000000-0005-0000-0000-0000581B0000}"/>
    <cellStyle name="Currency 4 3" xfId="5412" xr:uid="{00000000-0005-0000-0000-0000591B0000}"/>
    <cellStyle name="Currency 4 4" xfId="9970" xr:uid="{00000000-0005-0000-0000-00005A1B0000}"/>
    <cellStyle name="Currency 4 4 2" xfId="9971" xr:uid="{00000000-0005-0000-0000-00005B1B0000}"/>
    <cellStyle name="Currency 4 5" xfId="9972" xr:uid="{00000000-0005-0000-0000-00005C1B0000}"/>
    <cellStyle name="Currency 4 6" xfId="9973" xr:uid="{00000000-0005-0000-0000-00005D1B0000}"/>
    <cellStyle name="Currency 4 6 2" xfId="9974" xr:uid="{00000000-0005-0000-0000-00005E1B0000}"/>
    <cellStyle name="Currency 4 6 2 2" xfId="9975" xr:uid="{00000000-0005-0000-0000-00005F1B0000}"/>
    <cellStyle name="Currency 4 6 3" xfId="9976" xr:uid="{00000000-0005-0000-0000-0000601B0000}"/>
    <cellStyle name="Currency 4 6 3 2" xfId="9977" xr:uid="{00000000-0005-0000-0000-0000611B0000}"/>
    <cellStyle name="Currency 4 6 4" xfId="9978" xr:uid="{00000000-0005-0000-0000-0000621B0000}"/>
    <cellStyle name="Currency 4 6 4 2" xfId="9979" xr:uid="{00000000-0005-0000-0000-0000631B0000}"/>
    <cellStyle name="Currency 4 6 5" xfId="9980" xr:uid="{00000000-0005-0000-0000-0000641B0000}"/>
    <cellStyle name="Currency 4 6 5 2" xfId="9981" xr:uid="{00000000-0005-0000-0000-0000651B0000}"/>
    <cellStyle name="Currency 4 6 5 2 2" xfId="9982" xr:uid="{00000000-0005-0000-0000-0000661B0000}"/>
    <cellStyle name="Currency 4 6 5 3" xfId="9983" xr:uid="{00000000-0005-0000-0000-0000671B0000}"/>
    <cellStyle name="Currency 4 6 5 3 2" xfId="9984" xr:uid="{00000000-0005-0000-0000-0000681B0000}"/>
    <cellStyle name="Currency 4 7" xfId="9985" xr:uid="{00000000-0005-0000-0000-0000691B0000}"/>
    <cellStyle name="Currency 4 7 2" xfId="9986" xr:uid="{00000000-0005-0000-0000-00006A1B0000}"/>
    <cellStyle name="Currency 4 8" xfId="9987" xr:uid="{00000000-0005-0000-0000-00006B1B0000}"/>
    <cellStyle name="Currency 4 9" xfId="9988" xr:uid="{00000000-0005-0000-0000-00006C1B0000}"/>
    <cellStyle name="Currency 4 9 2" xfId="9989" xr:uid="{00000000-0005-0000-0000-00006D1B0000}"/>
    <cellStyle name="Currency 4 9 3" xfId="9990" xr:uid="{00000000-0005-0000-0000-00006E1B0000}"/>
    <cellStyle name="Currency 4 9 4" xfId="9991" xr:uid="{00000000-0005-0000-0000-00006F1B0000}"/>
    <cellStyle name="Currency 40" xfId="9992" xr:uid="{00000000-0005-0000-0000-0000701B0000}"/>
    <cellStyle name="Currency 41" xfId="9993" xr:uid="{00000000-0005-0000-0000-0000711B0000}"/>
    <cellStyle name="Currency 42" xfId="9994" xr:uid="{00000000-0005-0000-0000-0000721B0000}"/>
    <cellStyle name="Currency 43" xfId="9995" xr:uid="{00000000-0005-0000-0000-0000731B0000}"/>
    <cellStyle name="Currency 44" xfId="9996" xr:uid="{00000000-0005-0000-0000-0000741B0000}"/>
    <cellStyle name="Currency 45" xfId="9997" xr:uid="{00000000-0005-0000-0000-0000751B0000}"/>
    <cellStyle name="Currency 46" xfId="9998" xr:uid="{00000000-0005-0000-0000-0000761B0000}"/>
    <cellStyle name="Currency 47" xfId="9999" xr:uid="{00000000-0005-0000-0000-0000771B0000}"/>
    <cellStyle name="Currency 48" xfId="10000" xr:uid="{00000000-0005-0000-0000-0000781B0000}"/>
    <cellStyle name="Currency 49" xfId="10001" xr:uid="{00000000-0005-0000-0000-0000791B0000}"/>
    <cellStyle name="Currency 5" xfId="442" xr:uid="{00000000-0005-0000-0000-00004B010000}"/>
    <cellStyle name="Currency 5 2" xfId="443" xr:uid="{00000000-0005-0000-0000-00004C010000}"/>
    <cellStyle name="Currency 5 2 2" xfId="10002" xr:uid="{00000000-0005-0000-0000-00007C1B0000}"/>
    <cellStyle name="Currency 5 2 2 2" xfId="10003" xr:uid="{00000000-0005-0000-0000-00007D1B0000}"/>
    <cellStyle name="Currency 5 2 3" xfId="10004" xr:uid="{00000000-0005-0000-0000-00007E1B0000}"/>
    <cellStyle name="Currency 5 2 4" xfId="10005" xr:uid="{00000000-0005-0000-0000-00007F1B0000}"/>
    <cellStyle name="Currency 5 3" xfId="444" xr:uid="{00000000-0005-0000-0000-00004D010000}"/>
    <cellStyle name="Currency 5 3 2" xfId="10007" xr:uid="{00000000-0005-0000-0000-0000811B0000}"/>
    <cellStyle name="Currency 5 3 3" xfId="10008" xr:uid="{00000000-0005-0000-0000-0000821B0000}"/>
    <cellStyle name="Currency 5 3 4" xfId="10009" xr:uid="{00000000-0005-0000-0000-0000831B0000}"/>
    <cellStyle name="Currency 5 3 5" xfId="10010" xr:uid="{00000000-0005-0000-0000-0000841B0000}"/>
    <cellStyle name="Currency 5 3 6" xfId="10011" xr:uid="{00000000-0005-0000-0000-0000851B0000}"/>
    <cellStyle name="Currency 5 3 7" xfId="10006" xr:uid="{00000000-0005-0000-0000-0000801B0000}"/>
    <cellStyle name="Currency 5 4" xfId="10012" xr:uid="{00000000-0005-0000-0000-0000861B0000}"/>
    <cellStyle name="Currency 5 4 2" xfId="10013" xr:uid="{00000000-0005-0000-0000-0000871B0000}"/>
    <cellStyle name="Currency 5 4 3" xfId="10014" xr:uid="{00000000-0005-0000-0000-0000881B0000}"/>
    <cellStyle name="Currency 5 4 3 2" xfId="10015" xr:uid="{00000000-0005-0000-0000-0000891B0000}"/>
    <cellStyle name="Currency 5 4 4" xfId="10016" xr:uid="{00000000-0005-0000-0000-00008A1B0000}"/>
    <cellStyle name="Currency 5 5" xfId="10017" xr:uid="{00000000-0005-0000-0000-00008B1B0000}"/>
    <cellStyle name="Currency 5 6" xfId="10018" xr:uid="{00000000-0005-0000-0000-00008C1B0000}"/>
    <cellStyle name="Currency 50" xfId="10019" xr:uid="{00000000-0005-0000-0000-00008D1B0000}"/>
    <cellStyle name="Currency 51" xfId="10020" xr:uid="{00000000-0005-0000-0000-00008E1B0000}"/>
    <cellStyle name="Currency 52" xfId="10021" xr:uid="{00000000-0005-0000-0000-00008F1B0000}"/>
    <cellStyle name="Currency 53" xfId="5286" xr:uid="{00000000-0005-0000-0000-0000901B0000}"/>
    <cellStyle name="Currency 54" xfId="5285" xr:uid="{00000000-0005-0000-0000-0000911B0000}"/>
    <cellStyle name="Currency 55" xfId="10022" xr:uid="{00000000-0005-0000-0000-0000921B0000}"/>
    <cellStyle name="Currency 56" xfId="10023" xr:uid="{00000000-0005-0000-0000-0000931B0000}"/>
    <cellStyle name="Currency 57" xfId="10024" xr:uid="{00000000-0005-0000-0000-0000941B0000}"/>
    <cellStyle name="Currency 58" xfId="5284" xr:uid="{00000000-0005-0000-0000-0000951B0000}"/>
    <cellStyle name="Currency 59" xfId="20123" xr:uid="{00000000-0005-0000-0000-000065240000}"/>
    <cellStyle name="Currency 6" xfId="445" xr:uid="{00000000-0005-0000-0000-00004E010000}"/>
    <cellStyle name="Currency 6 2" xfId="446" xr:uid="{00000000-0005-0000-0000-00004F010000}"/>
    <cellStyle name="Currency 6 2 2" xfId="10025" xr:uid="{00000000-0005-0000-0000-0000981B0000}"/>
    <cellStyle name="Currency 6 2 2 2" xfId="10026" xr:uid="{00000000-0005-0000-0000-0000991B0000}"/>
    <cellStyle name="Currency 6 2 3" xfId="5410" xr:uid="{00000000-0005-0000-0000-0000971B0000}"/>
    <cellStyle name="Currency 6 3" xfId="5538" xr:uid="{00000000-0005-0000-0000-00009A1B0000}"/>
    <cellStyle name="Currency 6 3 2" xfId="10027" xr:uid="{00000000-0005-0000-0000-00009B1B0000}"/>
    <cellStyle name="Currency 6 3 2 2" xfId="10028" xr:uid="{00000000-0005-0000-0000-00009C1B0000}"/>
    <cellStyle name="Currency 6 3 3" xfId="10029" xr:uid="{00000000-0005-0000-0000-00009D1B0000}"/>
    <cellStyle name="Currency 6 4" xfId="10030" xr:uid="{00000000-0005-0000-0000-00009E1B0000}"/>
    <cellStyle name="Currency 6 5" xfId="5411" xr:uid="{00000000-0005-0000-0000-0000961B0000}"/>
    <cellStyle name="Currency 60" xfId="20530" xr:uid="{00000000-0005-0000-0000-0000BB4E0000}"/>
    <cellStyle name="Currency 61" xfId="20539" xr:uid="{01E2F28A-D1F3-467A-AD30-E4095BD33D2C}"/>
    <cellStyle name="Currency 61 2" xfId="20552" xr:uid="{06761F91-B576-4E66-A4DD-757B6FD0EFD5}"/>
    <cellStyle name="Currency 61 2 2" xfId="20564" xr:uid="{5E756C9E-EAD9-4C6C-9AC3-9AB6DCFA9AB0}"/>
    <cellStyle name="Currency 62" xfId="20582" xr:uid="{F2EB2E86-FEA9-4608-870D-6B21E4F005B0}"/>
    <cellStyle name="Currency 62 2" xfId="20597" xr:uid="{0D4D3888-667F-4011-9EB9-FA59381D74FA}"/>
    <cellStyle name="Currency 63" xfId="20584" xr:uid="{6932DECF-A19C-4304-850F-A28D0FB706EF}"/>
    <cellStyle name="Currency 64" xfId="20586" xr:uid="{190D5997-D9E2-490B-A7BE-7AD110177D67}"/>
    <cellStyle name="Currency 65" xfId="20588" xr:uid="{1E3530D4-D21E-4B09-8052-AB1D5E3D0272}"/>
    <cellStyle name="Currency 66" xfId="20590" xr:uid="{11036051-3E4F-443C-8093-655EBD2E8FB2}"/>
    <cellStyle name="Currency 67" xfId="20592" xr:uid="{4D2EAA0C-459A-4653-BEB8-E32DA86F093A}"/>
    <cellStyle name="Currency 68" xfId="20594" xr:uid="{EB676512-522E-484D-9606-449E7B682AA3}"/>
    <cellStyle name="Currency 7" xfId="447" xr:uid="{00000000-0005-0000-0000-000050010000}"/>
    <cellStyle name="Currency 7 2" xfId="448" xr:uid="{00000000-0005-0000-0000-000051010000}"/>
    <cellStyle name="Currency 7 2 2" xfId="10031" xr:uid="{00000000-0005-0000-0000-0000A11B0000}"/>
    <cellStyle name="Currency 7 2 2 2" xfId="10032" xr:uid="{00000000-0005-0000-0000-0000A21B0000}"/>
    <cellStyle name="Currency 7 2 3" xfId="5409" xr:uid="{00000000-0005-0000-0000-0000A01B0000}"/>
    <cellStyle name="Currency 7 3" xfId="10033" xr:uid="{00000000-0005-0000-0000-0000A31B0000}"/>
    <cellStyle name="Currency 7 4" xfId="10034" xr:uid="{00000000-0005-0000-0000-0000A41B0000}"/>
    <cellStyle name="Currency 7 4 2" xfId="10035" xr:uid="{00000000-0005-0000-0000-0000A51B0000}"/>
    <cellStyle name="Currency 7 4 3" xfId="10036" xr:uid="{00000000-0005-0000-0000-0000A61B0000}"/>
    <cellStyle name="Currency 7 4 4" xfId="10037" xr:uid="{00000000-0005-0000-0000-0000A71B0000}"/>
    <cellStyle name="Currency 7 5" xfId="10038" xr:uid="{00000000-0005-0000-0000-0000A81B0000}"/>
    <cellStyle name="Currency 7 6" xfId="10039" xr:uid="{00000000-0005-0000-0000-0000A91B0000}"/>
    <cellStyle name="Currency 7 7" xfId="10040" xr:uid="{00000000-0005-0000-0000-0000AA1B0000}"/>
    <cellStyle name="Currency 7 8" xfId="5539" xr:uid="{00000000-0005-0000-0000-00009F1B0000}"/>
    <cellStyle name="Currency 7_App b.3 Unspent_" xfId="449" xr:uid="{00000000-0005-0000-0000-000052010000}"/>
    <cellStyle name="Currency 8" xfId="450" xr:uid="{00000000-0005-0000-0000-000053010000}"/>
    <cellStyle name="Currency 8 2" xfId="10041" xr:uid="{00000000-0005-0000-0000-0000AC1B0000}"/>
    <cellStyle name="Currency 8 2 2" xfId="10042" xr:uid="{00000000-0005-0000-0000-0000AD1B0000}"/>
    <cellStyle name="Currency 8 3" xfId="10043" xr:uid="{00000000-0005-0000-0000-0000AE1B0000}"/>
    <cellStyle name="Currency 8 3 2" xfId="10044" xr:uid="{00000000-0005-0000-0000-0000AF1B0000}"/>
    <cellStyle name="Currency 8 3 3" xfId="10045" xr:uid="{00000000-0005-0000-0000-0000B01B0000}"/>
    <cellStyle name="Currency 8 4" xfId="10046" xr:uid="{00000000-0005-0000-0000-0000B11B0000}"/>
    <cellStyle name="Currency 8 5" xfId="5408" xr:uid="{00000000-0005-0000-0000-0000AB1B0000}"/>
    <cellStyle name="Currency 9" xfId="451" xr:uid="{00000000-0005-0000-0000-000054010000}"/>
    <cellStyle name="Currency 9 2" xfId="10047" xr:uid="{00000000-0005-0000-0000-0000B31B0000}"/>
    <cellStyle name="Currency 9 2 2" xfId="10048" xr:uid="{00000000-0005-0000-0000-0000B41B0000}"/>
    <cellStyle name="Currency 9 3" xfId="10049" xr:uid="{00000000-0005-0000-0000-0000B51B0000}"/>
    <cellStyle name="Currency 9 3 2" xfId="10050" xr:uid="{00000000-0005-0000-0000-0000B61B0000}"/>
    <cellStyle name="Currency 9 3 2 2" xfId="10051" xr:uid="{00000000-0005-0000-0000-0000B71B0000}"/>
    <cellStyle name="Currency 9 3 3" xfId="10052" xr:uid="{00000000-0005-0000-0000-0000B81B0000}"/>
    <cellStyle name="Currency 9 4" xfId="5407" xr:uid="{00000000-0005-0000-0000-0000B21B0000}"/>
    <cellStyle name="Currency_SCE_01_CapsTargets_072910 (2)" xfId="20560" xr:uid="{12450458-C227-44A3-9682-11936A1F9A18}"/>
    <cellStyle name="Currency0" xfId="452" xr:uid="{00000000-0005-0000-0000-000055010000}"/>
    <cellStyle name="Currency0 2" xfId="453" xr:uid="{00000000-0005-0000-0000-000056010000}"/>
    <cellStyle name="Currency0 3" xfId="454" xr:uid="{00000000-0005-0000-0000-000057010000}"/>
    <cellStyle name="Currency0nospace" xfId="455" xr:uid="{00000000-0005-0000-0000-000058010000}"/>
    <cellStyle name="Currency2" xfId="456" xr:uid="{00000000-0005-0000-0000-000059010000}"/>
    <cellStyle name="Date" xfId="457" xr:uid="{00000000-0005-0000-0000-00005A010000}"/>
    <cellStyle name="Date 2" xfId="458" xr:uid="{00000000-0005-0000-0000-00005B010000}"/>
    <cellStyle name="Date 2 2" xfId="5537" xr:uid="{00000000-0005-0000-0000-0000BF1B0000}"/>
    <cellStyle name="Date 3" xfId="10053" xr:uid="{00000000-0005-0000-0000-0000C01B0000}"/>
    <cellStyle name="Date 4" xfId="10054" xr:uid="{00000000-0005-0000-0000-0000C11B0000}"/>
    <cellStyle name="Date_App b.3 Unspent_" xfId="459" xr:uid="{00000000-0005-0000-0000-00005C010000}"/>
    <cellStyle name="DateData" xfId="460" xr:uid="{00000000-0005-0000-0000-00005D010000}"/>
    <cellStyle name="DateData 2" xfId="5406" xr:uid="{00000000-0005-0000-0000-0000C31B0000}"/>
    <cellStyle name="Days_from_01/21/2006" xfId="461" xr:uid="{00000000-0005-0000-0000-00005E010000}"/>
    <cellStyle name="Dollars &amp; Cents" xfId="462" xr:uid="{00000000-0005-0000-0000-00005F010000}"/>
    <cellStyle name="Dollars &amp; Cents 2" xfId="5506" xr:uid="{00000000-0005-0000-0000-0000C51B0000}"/>
    <cellStyle name="Emphasis 1" xfId="10055" xr:uid="{00000000-0005-0000-0000-0000C61B0000}"/>
    <cellStyle name="Emphasis 1 2" xfId="10056" xr:uid="{00000000-0005-0000-0000-0000C71B0000}"/>
    <cellStyle name="Emphasis 1 2 2" xfId="10057" xr:uid="{00000000-0005-0000-0000-0000C81B0000}"/>
    <cellStyle name="Emphasis 2" xfId="10058" xr:uid="{00000000-0005-0000-0000-0000C91B0000}"/>
    <cellStyle name="Emphasis 2 2" xfId="10059" xr:uid="{00000000-0005-0000-0000-0000CA1B0000}"/>
    <cellStyle name="Emphasis 2 2 2" xfId="10060" xr:uid="{00000000-0005-0000-0000-0000CB1B0000}"/>
    <cellStyle name="Emphasis 3" xfId="10061" xr:uid="{00000000-0005-0000-0000-0000CC1B0000}"/>
    <cellStyle name="Emphasis 3 2" xfId="10062" xr:uid="{00000000-0005-0000-0000-0000CD1B0000}"/>
    <cellStyle name="Entered" xfId="463" xr:uid="{00000000-0005-0000-0000-000060010000}"/>
    <cellStyle name="Entered 2" xfId="5405" xr:uid="{00000000-0005-0000-0000-0000CF1B0000}"/>
    <cellStyle name="Euro" xfId="464" xr:uid="{00000000-0005-0000-0000-000061010000}"/>
    <cellStyle name="Euro billion" xfId="465" xr:uid="{00000000-0005-0000-0000-000062010000}"/>
    <cellStyle name="Euro million" xfId="466" xr:uid="{00000000-0005-0000-0000-000063010000}"/>
    <cellStyle name="Euro thousand" xfId="467" xr:uid="{00000000-0005-0000-0000-000064010000}"/>
    <cellStyle name="Euro_12889 GP Contracts v3" xfId="468" xr:uid="{00000000-0005-0000-0000-000065010000}"/>
    <cellStyle name="Explanatory Text" xfId="79" builtinId="53" customBuiltin="1"/>
    <cellStyle name="Explanatory Text 10" xfId="10063" xr:uid="{00000000-0005-0000-0000-0000D51B0000}"/>
    <cellStyle name="Explanatory Text 2" xfId="469" xr:uid="{00000000-0005-0000-0000-000066010000}"/>
    <cellStyle name="Explanatory Text 3" xfId="470" xr:uid="{00000000-0005-0000-0000-000067010000}"/>
    <cellStyle name="Explanatory Text 3 2" xfId="10064" xr:uid="{00000000-0005-0000-0000-0000D81B0000}"/>
    <cellStyle name="Explanatory Text 3 3" xfId="10065" xr:uid="{00000000-0005-0000-0000-0000D91B0000}"/>
    <cellStyle name="Explanatory Text 4" xfId="471" xr:uid="{00000000-0005-0000-0000-000068010000}"/>
    <cellStyle name="Explanatory Text 5" xfId="472" xr:uid="{00000000-0005-0000-0000-000069010000}"/>
    <cellStyle name="Explanatory Text 6" xfId="473" xr:uid="{00000000-0005-0000-0000-00006A010000}"/>
    <cellStyle name="Explanatory Text 7" xfId="474" xr:uid="{00000000-0005-0000-0000-00006B010000}"/>
    <cellStyle name="Explanatory Text 8" xfId="10066" xr:uid="{00000000-0005-0000-0000-0000DE1B0000}"/>
    <cellStyle name="Explanatory Text 9" xfId="10067" xr:uid="{00000000-0005-0000-0000-0000DF1B0000}"/>
    <cellStyle name="First_Name" xfId="475" xr:uid="{00000000-0005-0000-0000-00006C010000}"/>
    <cellStyle name="Fixed" xfId="476" xr:uid="{00000000-0005-0000-0000-00006D010000}"/>
    <cellStyle name="Fixed 2" xfId="477" xr:uid="{00000000-0005-0000-0000-00006E010000}"/>
    <cellStyle name="Fixed 2 2" xfId="10068" xr:uid="{00000000-0005-0000-0000-0000E31B0000}"/>
    <cellStyle name="Fixed 2 3" xfId="10069" xr:uid="{00000000-0005-0000-0000-0000E41B0000}"/>
    <cellStyle name="Fixed 2 4" xfId="5404" xr:uid="{00000000-0005-0000-0000-0000E21B0000}"/>
    <cellStyle name="Fixed 3" xfId="478" xr:uid="{00000000-0005-0000-0000-00006F010000}"/>
    <cellStyle name="Fixed 4" xfId="10070" xr:uid="{00000000-0005-0000-0000-0000E61B0000}"/>
    <cellStyle name="Fixed 5" xfId="10071" xr:uid="{00000000-0005-0000-0000-0000E71B0000}"/>
    <cellStyle name="Fixed_2010-2012 Program Workbook_Incent_FS" xfId="479" xr:uid="{00000000-0005-0000-0000-000070010000}"/>
    <cellStyle name="Forecast" xfId="480" xr:uid="{00000000-0005-0000-0000-000071010000}"/>
    <cellStyle name="fred" xfId="481" xr:uid="{00000000-0005-0000-0000-000072010000}"/>
    <cellStyle name="fred 2" xfId="5403" xr:uid="{00000000-0005-0000-0000-0000EB1B0000}"/>
    <cellStyle name="Fred%" xfId="482" xr:uid="{00000000-0005-0000-0000-000073010000}"/>
    <cellStyle name="Fred% 2" xfId="5402" xr:uid="{00000000-0005-0000-0000-0000ED1B0000}"/>
    <cellStyle name="GBP" xfId="483" xr:uid="{00000000-0005-0000-0000-000074010000}"/>
    <cellStyle name="GBP billion" xfId="484" xr:uid="{00000000-0005-0000-0000-000075010000}"/>
    <cellStyle name="GBP million" xfId="485" xr:uid="{00000000-0005-0000-0000-000076010000}"/>
    <cellStyle name="GBP thousand" xfId="486" xr:uid="{00000000-0005-0000-0000-000077010000}"/>
    <cellStyle name="General" xfId="487" xr:uid="{00000000-0005-0000-0000-000078010000}"/>
    <cellStyle name="Good" xfId="70" builtinId="26" customBuiltin="1"/>
    <cellStyle name="Good 10" xfId="10072" xr:uid="{00000000-0005-0000-0000-0000F31B0000}"/>
    <cellStyle name="Good 11" xfId="10073" xr:uid="{00000000-0005-0000-0000-0000F41B0000}"/>
    <cellStyle name="Good 2" xfId="488" xr:uid="{00000000-0005-0000-0000-000079010000}"/>
    <cellStyle name="Good 2 12" xfId="20571" xr:uid="{ECE6C88B-925A-4046-A0C6-443E34ACF52C}"/>
    <cellStyle name="Good 2 2" xfId="10075" xr:uid="{00000000-0005-0000-0000-0000F61B0000}"/>
    <cellStyle name="Good 2 2 2" xfId="10076" xr:uid="{00000000-0005-0000-0000-0000F71B0000}"/>
    <cellStyle name="Good 2 3" xfId="10077" xr:uid="{00000000-0005-0000-0000-0000F81B0000}"/>
    <cellStyle name="Good 2 4" xfId="10078" xr:uid="{00000000-0005-0000-0000-0000F91B0000}"/>
    <cellStyle name="Good 2 5" xfId="10074" xr:uid="{00000000-0005-0000-0000-0000F51B0000}"/>
    <cellStyle name="Good 3" xfId="489" xr:uid="{00000000-0005-0000-0000-00007A010000}"/>
    <cellStyle name="Good 3 2" xfId="10079" xr:uid="{00000000-0005-0000-0000-0000FB1B0000}"/>
    <cellStyle name="Good 3 3" xfId="10080" xr:uid="{00000000-0005-0000-0000-0000FC1B0000}"/>
    <cellStyle name="Good 4" xfId="490" xr:uid="{00000000-0005-0000-0000-00007B010000}"/>
    <cellStyle name="Good 5" xfId="491" xr:uid="{00000000-0005-0000-0000-00007C010000}"/>
    <cellStyle name="Good 6" xfId="492" xr:uid="{00000000-0005-0000-0000-00007D010000}"/>
    <cellStyle name="Good 7" xfId="493" xr:uid="{00000000-0005-0000-0000-00007E010000}"/>
    <cellStyle name="Good 8" xfId="10081" xr:uid="{00000000-0005-0000-0000-0000011C0000}"/>
    <cellStyle name="Good 9" xfId="10082" xr:uid="{00000000-0005-0000-0000-0000021C0000}"/>
    <cellStyle name="Grey" xfId="494" xr:uid="{00000000-0005-0000-0000-00007F010000}"/>
    <cellStyle name="Grey 2" xfId="495" xr:uid="{00000000-0005-0000-0000-000080010000}"/>
    <cellStyle name="Grey_2010-2012 Program Workbook Completed_Incent_V2" xfId="496" xr:uid="{00000000-0005-0000-0000-000081010000}"/>
    <cellStyle name="HEADER" xfId="497" xr:uid="{00000000-0005-0000-0000-000082010000}"/>
    <cellStyle name="Header1" xfId="498" xr:uid="{00000000-0005-0000-0000-000083010000}"/>
    <cellStyle name="Header1 2" xfId="5311" xr:uid="{00000000-0005-0000-0000-0000071C0000}"/>
    <cellStyle name="Header2" xfId="499" xr:uid="{00000000-0005-0000-0000-000084010000}"/>
    <cellStyle name="Header2 2" xfId="500" xr:uid="{00000000-0005-0000-0000-000085010000}"/>
    <cellStyle name="Header2 3" xfId="5312" xr:uid="{00000000-0005-0000-0000-0000081C0000}"/>
    <cellStyle name="Heading 1" xfId="66" builtinId="16" customBuiltin="1"/>
    <cellStyle name="Heading 1 10" xfId="10083" xr:uid="{00000000-0005-0000-0000-00000A1C0000}"/>
    <cellStyle name="Heading 1 11" xfId="10084" xr:uid="{00000000-0005-0000-0000-00000B1C0000}"/>
    <cellStyle name="Heading 1 2" xfId="501" xr:uid="{00000000-0005-0000-0000-000086010000}"/>
    <cellStyle name="Heading 1 2 2" xfId="502" xr:uid="{00000000-0005-0000-0000-000087010000}"/>
    <cellStyle name="Heading 1 2 2 2" xfId="10085" xr:uid="{00000000-0005-0000-0000-00000E1C0000}"/>
    <cellStyle name="Heading 1 2 2 2 2" xfId="10086" xr:uid="{00000000-0005-0000-0000-00000F1C0000}"/>
    <cellStyle name="Heading 1 2 2 3" xfId="5401" xr:uid="{00000000-0005-0000-0000-00000D1C0000}"/>
    <cellStyle name="Heading 1 2 3" xfId="10087" xr:uid="{00000000-0005-0000-0000-0000101C0000}"/>
    <cellStyle name="Heading 1 2 4" xfId="10088" xr:uid="{00000000-0005-0000-0000-0000111C0000}"/>
    <cellStyle name="Heading 1 2_App b.3 Unspent_" xfId="503" xr:uid="{00000000-0005-0000-0000-000088010000}"/>
    <cellStyle name="Heading 1 3" xfId="504" xr:uid="{00000000-0005-0000-0000-000089010000}"/>
    <cellStyle name="Heading 1 3 2" xfId="10089" xr:uid="{00000000-0005-0000-0000-0000131C0000}"/>
    <cellStyle name="Heading 1 3 3" xfId="10090" xr:uid="{00000000-0005-0000-0000-0000141C0000}"/>
    <cellStyle name="Heading 1 3 4" xfId="10091" xr:uid="{00000000-0005-0000-0000-0000151C0000}"/>
    <cellStyle name="Heading 1 3 5" xfId="5400" xr:uid="{00000000-0005-0000-0000-0000121C0000}"/>
    <cellStyle name="Heading 1 4" xfId="505" xr:uid="{00000000-0005-0000-0000-00008A010000}"/>
    <cellStyle name="Heading 1 5" xfId="506" xr:uid="{00000000-0005-0000-0000-00008B010000}"/>
    <cellStyle name="Heading 1 6" xfId="507" xr:uid="{00000000-0005-0000-0000-00008C010000}"/>
    <cellStyle name="Heading 1 7" xfId="508" xr:uid="{00000000-0005-0000-0000-00008D010000}"/>
    <cellStyle name="Heading 1 8" xfId="10092" xr:uid="{00000000-0005-0000-0000-00001A1C0000}"/>
    <cellStyle name="Heading 1 9" xfId="10093" xr:uid="{00000000-0005-0000-0000-00001B1C0000}"/>
    <cellStyle name="Heading 2" xfId="67" builtinId="17" customBuiltin="1"/>
    <cellStyle name="Heading 2 10" xfId="10094" xr:uid="{00000000-0005-0000-0000-00001D1C0000}"/>
    <cellStyle name="Heading 2 11" xfId="10095" xr:uid="{00000000-0005-0000-0000-00001E1C0000}"/>
    <cellStyle name="Heading 2 2" xfId="509" xr:uid="{00000000-0005-0000-0000-00008E010000}"/>
    <cellStyle name="Heading 2 2 2" xfId="510" xr:uid="{00000000-0005-0000-0000-00008F010000}"/>
    <cellStyle name="Heading 2 2 2 2" xfId="10096" xr:uid="{00000000-0005-0000-0000-0000211C0000}"/>
    <cellStyle name="Heading 2 2 2 2 2" xfId="10097" xr:uid="{00000000-0005-0000-0000-0000221C0000}"/>
    <cellStyle name="Heading 2 2 2 3" xfId="5399" xr:uid="{00000000-0005-0000-0000-0000201C0000}"/>
    <cellStyle name="Heading 2 2 3" xfId="10098" xr:uid="{00000000-0005-0000-0000-0000231C0000}"/>
    <cellStyle name="Heading 2 2 4" xfId="10099" xr:uid="{00000000-0005-0000-0000-0000241C0000}"/>
    <cellStyle name="Heading 2 2_App b.3 Unspent_" xfId="511" xr:uid="{00000000-0005-0000-0000-000090010000}"/>
    <cellStyle name="Heading 2 3" xfId="512" xr:uid="{00000000-0005-0000-0000-000091010000}"/>
    <cellStyle name="Heading 2 3 2" xfId="10100" xr:uid="{00000000-0005-0000-0000-0000261C0000}"/>
    <cellStyle name="Heading 2 3 3" xfId="10101" xr:uid="{00000000-0005-0000-0000-0000271C0000}"/>
    <cellStyle name="Heading 2 3 4" xfId="10102" xr:uid="{00000000-0005-0000-0000-0000281C0000}"/>
    <cellStyle name="Heading 2 3 5" xfId="5398" xr:uid="{00000000-0005-0000-0000-0000251C0000}"/>
    <cellStyle name="Heading 2 4" xfId="513" xr:uid="{00000000-0005-0000-0000-000092010000}"/>
    <cellStyle name="Heading 2 5" xfId="514" xr:uid="{00000000-0005-0000-0000-000093010000}"/>
    <cellStyle name="Heading 2 6" xfId="515" xr:uid="{00000000-0005-0000-0000-000094010000}"/>
    <cellStyle name="Heading 2 7" xfId="516" xr:uid="{00000000-0005-0000-0000-000095010000}"/>
    <cellStyle name="Heading 2 8" xfId="10103" xr:uid="{00000000-0005-0000-0000-00002D1C0000}"/>
    <cellStyle name="Heading 2 9" xfId="10104" xr:uid="{00000000-0005-0000-0000-00002E1C0000}"/>
    <cellStyle name="Heading 3" xfId="68" builtinId="18" customBuiltin="1"/>
    <cellStyle name="Heading 3 10" xfId="10105" xr:uid="{00000000-0005-0000-0000-00002F1C0000}"/>
    <cellStyle name="Heading 3 11" xfId="10106" xr:uid="{00000000-0005-0000-0000-0000301C0000}"/>
    <cellStyle name="Heading 3 2" xfId="517" xr:uid="{00000000-0005-0000-0000-000096010000}"/>
    <cellStyle name="Heading 3 2 2" xfId="10108" xr:uid="{00000000-0005-0000-0000-0000321C0000}"/>
    <cellStyle name="Heading 3 2 2 2" xfId="10109" xr:uid="{00000000-0005-0000-0000-0000331C0000}"/>
    <cellStyle name="Heading 3 2 3" xfId="10110" xr:uid="{00000000-0005-0000-0000-0000341C0000}"/>
    <cellStyle name="Heading 3 2 4" xfId="10107" xr:uid="{00000000-0005-0000-0000-0000311C0000}"/>
    <cellStyle name="Heading 3 3" xfId="518" xr:uid="{00000000-0005-0000-0000-000097010000}"/>
    <cellStyle name="Heading 3 3 2" xfId="10111" xr:uid="{00000000-0005-0000-0000-0000361C0000}"/>
    <cellStyle name="Heading 3 3 3" xfId="10112" xr:uid="{00000000-0005-0000-0000-0000371C0000}"/>
    <cellStyle name="Heading 3 4" xfId="519" xr:uid="{00000000-0005-0000-0000-000098010000}"/>
    <cellStyle name="Heading 3 5" xfId="520" xr:uid="{00000000-0005-0000-0000-000099010000}"/>
    <cellStyle name="Heading 3 6" xfId="521" xr:uid="{00000000-0005-0000-0000-00009A010000}"/>
    <cellStyle name="Heading 3 7" xfId="522" xr:uid="{00000000-0005-0000-0000-00009B010000}"/>
    <cellStyle name="Heading 3 8" xfId="10113" xr:uid="{00000000-0005-0000-0000-00003C1C0000}"/>
    <cellStyle name="Heading 3 9" xfId="10114" xr:uid="{00000000-0005-0000-0000-00003D1C0000}"/>
    <cellStyle name="Heading 4" xfId="69" builtinId="19" customBuiltin="1"/>
    <cellStyle name="Heading 4 10" xfId="10115" xr:uid="{00000000-0005-0000-0000-00003E1C0000}"/>
    <cellStyle name="Heading 4 2" xfId="523" xr:uid="{00000000-0005-0000-0000-00009C010000}"/>
    <cellStyle name="Heading 4 2 2" xfId="10117" xr:uid="{00000000-0005-0000-0000-0000401C0000}"/>
    <cellStyle name="Heading 4 2 2 2" xfId="10118" xr:uid="{00000000-0005-0000-0000-0000411C0000}"/>
    <cellStyle name="Heading 4 2 3" xfId="10119" xr:uid="{00000000-0005-0000-0000-0000421C0000}"/>
    <cellStyle name="Heading 4 2 4" xfId="10116" xr:uid="{00000000-0005-0000-0000-00003F1C0000}"/>
    <cellStyle name="Heading 4 3" xfId="524" xr:uid="{00000000-0005-0000-0000-00009D010000}"/>
    <cellStyle name="Heading 4 3 2" xfId="10120" xr:uid="{00000000-0005-0000-0000-0000441C0000}"/>
    <cellStyle name="Heading 4 3 3" xfId="10121" xr:uid="{00000000-0005-0000-0000-0000451C0000}"/>
    <cellStyle name="Heading 4 4" xfId="525" xr:uid="{00000000-0005-0000-0000-00009E010000}"/>
    <cellStyle name="Heading 4 5" xfId="526" xr:uid="{00000000-0005-0000-0000-00009F010000}"/>
    <cellStyle name="Heading 4 6" xfId="527" xr:uid="{00000000-0005-0000-0000-0000A0010000}"/>
    <cellStyle name="Heading 4 7" xfId="528" xr:uid="{00000000-0005-0000-0000-0000A1010000}"/>
    <cellStyle name="Heading 4 8" xfId="10122" xr:uid="{00000000-0005-0000-0000-00004A1C0000}"/>
    <cellStyle name="Heading 4 9" xfId="10123" xr:uid="{00000000-0005-0000-0000-00004B1C0000}"/>
    <cellStyle name="Heading1" xfId="529" xr:uid="{00000000-0005-0000-0000-0000A2010000}"/>
    <cellStyle name="Heading1 2" xfId="530" xr:uid="{00000000-0005-0000-0000-0000A3010000}"/>
    <cellStyle name="Heading1 3" xfId="531" xr:uid="{00000000-0005-0000-0000-0000A4010000}"/>
    <cellStyle name="Heading1_2010-2012 Program Workbook_Incent_FS" xfId="532" xr:uid="{00000000-0005-0000-0000-0000A5010000}"/>
    <cellStyle name="Heading2" xfId="533" xr:uid="{00000000-0005-0000-0000-0000A6010000}"/>
    <cellStyle name="Heading2 2" xfId="534" xr:uid="{00000000-0005-0000-0000-0000A7010000}"/>
    <cellStyle name="Heading2 3" xfId="535" xr:uid="{00000000-0005-0000-0000-0000A8010000}"/>
    <cellStyle name="Heading2_2010-2012 Program Workbook_Incent_FS" xfId="536" xr:uid="{00000000-0005-0000-0000-0000A9010000}"/>
    <cellStyle name="Hidden" xfId="537" xr:uid="{00000000-0005-0000-0000-0000AA010000}"/>
    <cellStyle name="Hidden 2" xfId="5397" xr:uid="{00000000-0005-0000-0000-0000551C0000}"/>
    <cellStyle name="HIGHLIGHT" xfId="538" xr:uid="{00000000-0005-0000-0000-0000AB010000}"/>
    <cellStyle name="HIGHLIGHT 2" xfId="5316" xr:uid="{00000000-0005-0000-0000-0000561C0000}"/>
    <cellStyle name="highlite" xfId="539" xr:uid="{00000000-0005-0000-0000-0000AC010000}"/>
    <cellStyle name="hilite" xfId="540" xr:uid="{00000000-0005-0000-0000-0000AD010000}"/>
    <cellStyle name="Hyperlink 2" xfId="10124" xr:uid="{00000000-0005-0000-0000-0000591C0000}"/>
    <cellStyle name="Hyperlink 2 2" xfId="10125" xr:uid="{00000000-0005-0000-0000-00005A1C0000}"/>
    <cellStyle name="Hyperlink 2 2 2" xfId="10126" xr:uid="{00000000-0005-0000-0000-00005B1C0000}"/>
    <cellStyle name="Hyperlink 2 3" xfId="10127" xr:uid="{00000000-0005-0000-0000-00005C1C0000}"/>
    <cellStyle name="Hyperlink 2 4" xfId="10128" xr:uid="{00000000-0005-0000-0000-00005D1C0000}"/>
    <cellStyle name="Hyperlink 3" xfId="10129" xr:uid="{00000000-0005-0000-0000-00005E1C0000}"/>
    <cellStyle name="Hyperlink 4" xfId="10130" xr:uid="{00000000-0005-0000-0000-00005F1C0000}"/>
    <cellStyle name="Hyperlink 5" xfId="10131" xr:uid="{00000000-0005-0000-0000-0000601C0000}"/>
    <cellStyle name="Input" xfId="73" builtinId="20" customBuiltin="1"/>
    <cellStyle name="Input [yellow]" xfId="541" xr:uid="{00000000-0005-0000-0000-0000AE010000}"/>
    <cellStyle name="Input [yellow] 2" xfId="542" xr:uid="{00000000-0005-0000-0000-0000AF010000}"/>
    <cellStyle name="Input [yellow] 2 2" xfId="543" xr:uid="{00000000-0005-0000-0000-0000B0010000}"/>
    <cellStyle name="Input [yellow] 2 2 2" xfId="2878" xr:uid="{00000000-0005-0000-0000-0000B1010000}"/>
    <cellStyle name="Input [yellow] 2 3" xfId="2877" xr:uid="{00000000-0005-0000-0000-0000B2010000}"/>
    <cellStyle name="Input [yellow] 2 4" xfId="20136" xr:uid="{00000000-0005-0000-0000-0000621C0000}"/>
    <cellStyle name="Input [yellow] 3" xfId="544" xr:uid="{00000000-0005-0000-0000-0000B3010000}"/>
    <cellStyle name="Input [yellow] 3 2" xfId="2879" xr:uid="{00000000-0005-0000-0000-0000B4010000}"/>
    <cellStyle name="Input [yellow] 4" xfId="2876" xr:uid="{00000000-0005-0000-0000-0000B5010000}"/>
    <cellStyle name="Input [yellow] 5" xfId="5317" xr:uid="{00000000-0005-0000-0000-0000611C0000}"/>
    <cellStyle name="Input [yellow]_2010-2012 Program Workbook Completed_Incent_V2" xfId="545" xr:uid="{00000000-0005-0000-0000-0000B6010000}"/>
    <cellStyle name="Input 10" xfId="10132" xr:uid="{00000000-0005-0000-0000-0000641C0000}"/>
    <cellStyle name="Input 10 2" xfId="10133" xr:uid="{00000000-0005-0000-0000-0000651C0000}"/>
    <cellStyle name="Input 10 3" xfId="20137" xr:uid="{00000000-0005-0000-0000-0000641C0000}"/>
    <cellStyle name="Input 11" xfId="10134" xr:uid="{00000000-0005-0000-0000-0000661C0000}"/>
    <cellStyle name="Input 12" xfId="10135" xr:uid="{00000000-0005-0000-0000-0000671C0000}"/>
    <cellStyle name="Input 13" xfId="10136" xr:uid="{00000000-0005-0000-0000-0000681C0000}"/>
    <cellStyle name="Input 14" xfId="10137" xr:uid="{00000000-0005-0000-0000-0000691C0000}"/>
    <cellStyle name="Input 15" xfId="10138" xr:uid="{00000000-0005-0000-0000-00006A1C0000}"/>
    <cellStyle name="Input 16" xfId="10139" xr:uid="{00000000-0005-0000-0000-00006B1C0000}"/>
    <cellStyle name="Input 17" xfId="10140" xr:uid="{00000000-0005-0000-0000-00006C1C0000}"/>
    <cellStyle name="Input 18" xfId="10141" xr:uid="{00000000-0005-0000-0000-00006D1C0000}"/>
    <cellStyle name="Input 19" xfId="10142" xr:uid="{00000000-0005-0000-0000-00006E1C0000}"/>
    <cellStyle name="Input 2" xfId="546" xr:uid="{00000000-0005-0000-0000-0000B7010000}"/>
    <cellStyle name="Input 2 2" xfId="547" xr:uid="{00000000-0005-0000-0000-0000B8010000}"/>
    <cellStyle name="Input 2 2 2" xfId="10144" xr:uid="{00000000-0005-0000-0000-0000711C0000}"/>
    <cellStyle name="Input 2 2 2 2" xfId="20140" xr:uid="{00000000-0005-0000-0000-0000711C0000}"/>
    <cellStyle name="Input 2 2 3" xfId="20139" xr:uid="{00000000-0005-0000-0000-0000701C0000}"/>
    <cellStyle name="Input 2 3" xfId="10145" xr:uid="{00000000-0005-0000-0000-0000721C0000}"/>
    <cellStyle name="Input 2 3 2" xfId="20141" xr:uid="{00000000-0005-0000-0000-0000721C0000}"/>
    <cellStyle name="Input 2 4" xfId="10143" xr:uid="{00000000-0005-0000-0000-00006F1C0000}"/>
    <cellStyle name="Input 2 5" xfId="20138" xr:uid="{00000000-0005-0000-0000-00006F1C0000}"/>
    <cellStyle name="Input 20" xfId="10146" xr:uid="{00000000-0005-0000-0000-0000731C0000}"/>
    <cellStyle name="Input 21" xfId="10147" xr:uid="{00000000-0005-0000-0000-0000741C0000}"/>
    <cellStyle name="Input 22" xfId="10148" xr:uid="{00000000-0005-0000-0000-0000751C0000}"/>
    <cellStyle name="Input 23" xfId="10149" xr:uid="{00000000-0005-0000-0000-0000761C0000}"/>
    <cellStyle name="Input 24" xfId="10150" xr:uid="{00000000-0005-0000-0000-0000771C0000}"/>
    <cellStyle name="Input 25" xfId="10151" xr:uid="{00000000-0005-0000-0000-0000781C0000}"/>
    <cellStyle name="Input 26" xfId="10152" xr:uid="{00000000-0005-0000-0000-0000791C0000}"/>
    <cellStyle name="Input 27" xfId="10153" xr:uid="{00000000-0005-0000-0000-00007A1C0000}"/>
    <cellStyle name="Input 28" xfId="10154" xr:uid="{00000000-0005-0000-0000-00007B1C0000}"/>
    <cellStyle name="Input 29" xfId="10155" xr:uid="{00000000-0005-0000-0000-00007C1C0000}"/>
    <cellStyle name="Input 3" xfId="548" xr:uid="{00000000-0005-0000-0000-0000B9010000}"/>
    <cellStyle name="Input 3 2" xfId="549" xr:uid="{00000000-0005-0000-0000-0000BA010000}"/>
    <cellStyle name="Input 3 2 2" xfId="20143" xr:uid="{00000000-0005-0000-0000-00007E1C0000}"/>
    <cellStyle name="Input 3 3" xfId="10156" xr:uid="{00000000-0005-0000-0000-00007F1C0000}"/>
    <cellStyle name="Input 3 4" xfId="20142" xr:uid="{00000000-0005-0000-0000-00007D1C0000}"/>
    <cellStyle name="Input 30" xfId="10157" xr:uid="{00000000-0005-0000-0000-0000801C0000}"/>
    <cellStyle name="Input 31" xfId="10158" xr:uid="{00000000-0005-0000-0000-0000811C0000}"/>
    <cellStyle name="Input 32" xfId="10159" xr:uid="{00000000-0005-0000-0000-0000821C0000}"/>
    <cellStyle name="Input 33" xfId="10160" xr:uid="{00000000-0005-0000-0000-0000831C0000}"/>
    <cellStyle name="Input 33 2" xfId="20144" xr:uid="{00000000-0005-0000-0000-0000831C0000}"/>
    <cellStyle name="Input 34" xfId="10161" xr:uid="{00000000-0005-0000-0000-0000841C0000}"/>
    <cellStyle name="Input 34 2" xfId="20145" xr:uid="{00000000-0005-0000-0000-0000841C0000}"/>
    <cellStyle name="Input 35" xfId="10162" xr:uid="{00000000-0005-0000-0000-0000851C0000}"/>
    <cellStyle name="Input 36" xfId="10163" xr:uid="{00000000-0005-0000-0000-0000861C0000}"/>
    <cellStyle name="Input 37" xfId="10164" xr:uid="{00000000-0005-0000-0000-0000871C0000}"/>
    <cellStyle name="Input 37 2" xfId="20146" xr:uid="{00000000-0005-0000-0000-0000871C0000}"/>
    <cellStyle name="Input 38" xfId="10165" xr:uid="{00000000-0005-0000-0000-0000881C0000}"/>
    <cellStyle name="Input 38 2" xfId="20147" xr:uid="{00000000-0005-0000-0000-0000881C0000}"/>
    <cellStyle name="Input 39" xfId="10166" xr:uid="{00000000-0005-0000-0000-0000891C0000}"/>
    <cellStyle name="Input 39 2" xfId="20148" xr:uid="{00000000-0005-0000-0000-0000891C0000}"/>
    <cellStyle name="Input 4" xfId="550" xr:uid="{00000000-0005-0000-0000-0000BB010000}"/>
    <cellStyle name="Input 4 2" xfId="551" xr:uid="{00000000-0005-0000-0000-0000BC010000}"/>
    <cellStyle name="Input 4 2 2" xfId="20150" xr:uid="{00000000-0005-0000-0000-00008B1C0000}"/>
    <cellStyle name="Input 4 3" xfId="10167" xr:uid="{00000000-0005-0000-0000-00008C1C0000}"/>
    <cellStyle name="Input 4 4" xfId="20149" xr:uid="{00000000-0005-0000-0000-00008A1C0000}"/>
    <cellStyle name="Input 5" xfId="552" xr:uid="{00000000-0005-0000-0000-0000BD010000}"/>
    <cellStyle name="Input 5 2" xfId="553" xr:uid="{00000000-0005-0000-0000-0000BE010000}"/>
    <cellStyle name="Input 5 2 2" xfId="20152" xr:uid="{00000000-0005-0000-0000-00008E1C0000}"/>
    <cellStyle name="Input 5 3" xfId="10168" xr:uid="{00000000-0005-0000-0000-00008F1C0000}"/>
    <cellStyle name="Input 5 4" xfId="20151" xr:uid="{00000000-0005-0000-0000-00008D1C0000}"/>
    <cellStyle name="Input 6" xfId="554" xr:uid="{00000000-0005-0000-0000-0000BF010000}"/>
    <cellStyle name="Input 6 2" xfId="555" xr:uid="{00000000-0005-0000-0000-0000C0010000}"/>
    <cellStyle name="Input 6 2 2" xfId="20154" xr:uid="{00000000-0005-0000-0000-0000911C0000}"/>
    <cellStyle name="Input 6 3" xfId="10169" xr:uid="{00000000-0005-0000-0000-0000921C0000}"/>
    <cellStyle name="Input 6 4" xfId="20153" xr:uid="{00000000-0005-0000-0000-0000901C0000}"/>
    <cellStyle name="Input 7" xfId="556" xr:uid="{00000000-0005-0000-0000-0000C1010000}"/>
    <cellStyle name="Input 7 2" xfId="557" xr:uid="{00000000-0005-0000-0000-0000C2010000}"/>
    <cellStyle name="Input 7 2 2" xfId="20156" xr:uid="{00000000-0005-0000-0000-0000941C0000}"/>
    <cellStyle name="Input 7 3" xfId="10170" xr:uid="{00000000-0005-0000-0000-0000951C0000}"/>
    <cellStyle name="Input 7 4" xfId="20155" xr:uid="{00000000-0005-0000-0000-0000931C0000}"/>
    <cellStyle name="Input 8" xfId="10171" xr:uid="{00000000-0005-0000-0000-0000961C0000}"/>
    <cellStyle name="Input 8 2" xfId="10172" xr:uid="{00000000-0005-0000-0000-0000971C0000}"/>
    <cellStyle name="Input 8 3" xfId="10173" xr:uid="{00000000-0005-0000-0000-0000981C0000}"/>
    <cellStyle name="Input 9" xfId="10174" xr:uid="{00000000-0005-0000-0000-0000991C0000}"/>
    <cellStyle name="LabelWithTotals" xfId="558" xr:uid="{00000000-0005-0000-0000-0000C3010000}"/>
    <cellStyle name="Last,_First" xfId="560" xr:uid="{00000000-0005-0000-0000-0000C4010000}"/>
    <cellStyle name="Last_Name" xfId="559" xr:uid="{00000000-0005-0000-0000-0000C5010000}"/>
    <cellStyle name="Linked Cell" xfId="76" builtinId="24" customBuiltin="1"/>
    <cellStyle name="Linked Cell 10" xfId="10175" xr:uid="{00000000-0005-0000-0000-00009D1C0000}"/>
    <cellStyle name="Linked Cell 2" xfId="561" xr:uid="{00000000-0005-0000-0000-0000C6010000}"/>
    <cellStyle name="Linked Cell 2 2" xfId="10177" xr:uid="{00000000-0005-0000-0000-00009F1C0000}"/>
    <cellStyle name="Linked Cell 2 2 2" xfId="10178" xr:uid="{00000000-0005-0000-0000-0000A01C0000}"/>
    <cellStyle name="Linked Cell 2 3" xfId="10179" xr:uid="{00000000-0005-0000-0000-0000A11C0000}"/>
    <cellStyle name="Linked Cell 2 4" xfId="10176" xr:uid="{00000000-0005-0000-0000-00009E1C0000}"/>
    <cellStyle name="Linked Cell 3" xfId="562" xr:uid="{00000000-0005-0000-0000-0000C7010000}"/>
    <cellStyle name="Linked Cell 3 2" xfId="10180" xr:uid="{00000000-0005-0000-0000-0000A31C0000}"/>
    <cellStyle name="Linked Cell 3 3" xfId="10181" xr:uid="{00000000-0005-0000-0000-0000A41C0000}"/>
    <cellStyle name="Linked Cell 4" xfId="563" xr:uid="{00000000-0005-0000-0000-0000C8010000}"/>
    <cellStyle name="Linked Cell 5" xfId="564" xr:uid="{00000000-0005-0000-0000-0000C9010000}"/>
    <cellStyle name="Linked Cell 6" xfId="565" xr:uid="{00000000-0005-0000-0000-0000CA010000}"/>
    <cellStyle name="Linked Cell 7" xfId="566" xr:uid="{00000000-0005-0000-0000-0000CB010000}"/>
    <cellStyle name="Linked Cell 8" xfId="10182" xr:uid="{00000000-0005-0000-0000-0000A91C0000}"/>
    <cellStyle name="Linked Cell 9" xfId="10183" xr:uid="{00000000-0005-0000-0000-0000AA1C0000}"/>
    <cellStyle name="Millares [0]_2AV_M_M " xfId="567" xr:uid="{00000000-0005-0000-0000-0000CC010000}"/>
    <cellStyle name="Millares_2AV_M_M " xfId="568" xr:uid="{00000000-0005-0000-0000-0000CD010000}"/>
    <cellStyle name="million" xfId="569" xr:uid="{00000000-0005-0000-0000-0000CE010000}"/>
    <cellStyle name="Moneda [0]_2AV_M_M " xfId="570" xr:uid="{00000000-0005-0000-0000-0000CF010000}"/>
    <cellStyle name="Moneda_2AV_M_M " xfId="571" xr:uid="{00000000-0005-0000-0000-0000D0010000}"/>
    <cellStyle name="MyHeading1" xfId="572" xr:uid="{00000000-0005-0000-0000-0000D1010000}"/>
    <cellStyle name="Name" xfId="573" xr:uid="{00000000-0005-0000-0000-0000D2010000}"/>
    <cellStyle name="Name 2" xfId="5396" xr:uid="{00000000-0005-0000-0000-0000B21C0000}"/>
    <cellStyle name="Name 2 2" xfId="13884" xr:uid="{00000000-0005-0000-0000-0000B21C0000}"/>
    <cellStyle name="Name 3" xfId="5505" xr:uid="{00000000-0005-0000-0000-0000B11C0000}"/>
    <cellStyle name="Neutral" xfId="72" builtinId="28" customBuiltin="1"/>
    <cellStyle name="Neutral 10" xfId="10184" xr:uid="{00000000-0005-0000-0000-0000B31C0000}"/>
    <cellStyle name="Neutral 2" xfId="574" xr:uid="{00000000-0005-0000-0000-0000D3010000}"/>
    <cellStyle name="Neutral 2 12" xfId="20570" xr:uid="{03921355-7B55-4BD7-8180-02E2CF420EAD}"/>
    <cellStyle name="Neutral 2 2" xfId="10186" xr:uid="{00000000-0005-0000-0000-0000B51C0000}"/>
    <cellStyle name="Neutral 2 2 2" xfId="10187" xr:uid="{00000000-0005-0000-0000-0000B61C0000}"/>
    <cellStyle name="Neutral 2 2 2 2" xfId="10188" xr:uid="{00000000-0005-0000-0000-0000B71C0000}"/>
    <cellStyle name="Neutral 2 2 3" xfId="10189" xr:uid="{00000000-0005-0000-0000-0000B81C0000}"/>
    <cellStyle name="Neutral 2 3" xfId="10190" xr:uid="{00000000-0005-0000-0000-0000B91C0000}"/>
    <cellStyle name="Neutral 2 3 2" xfId="10191" xr:uid="{00000000-0005-0000-0000-0000BA1C0000}"/>
    <cellStyle name="Neutral 2 3 3" xfId="10192" xr:uid="{00000000-0005-0000-0000-0000BB1C0000}"/>
    <cellStyle name="Neutral 2 4" xfId="10193" xr:uid="{00000000-0005-0000-0000-0000BC1C0000}"/>
    <cellStyle name="Neutral 2 5" xfId="10185" xr:uid="{00000000-0005-0000-0000-0000B41C0000}"/>
    <cellStyle name="Neutral 3" xfId="575" xr:uid="{00000000-0005-0000-0000-0000D4010000}"/>
    <cellStyle name="Neutral 4" xfId="576" xr:uid="{00000000-0005-0000-0000-0000D5010000}"/>
    <cellStyle name="Neutral 4 2" xfId="10194" xr:uid="{00000000-0005-0000-0000-0000BF1C0000}"/>
    <cellStyle name="Neutral 4 3" xfId="10195" xr:uid="{00000000-0005-0000-0000-0000C01C0000}"/>
    <cellStyle name="Neutral 5" xfId="577" xr:uid="{00000000-0005-0000-0000-0000D6010000}"/>
    <cellStyle name="Neutral 6" xfId="578" xr:uid="{00000000-0005-0000-0000-0000D7010000}"/>
    <cellStyle name="Neutral 7" xfId="579" xr:uid="{00000000-0005-0000-0000-0000D8010000}"/>
    <cellStyle name="Neutral 8" xfId="10196" xr:uid="{00000000-0005-0000-0000-0000C41C0000}"/>
    <cellStyle name="Neutral 9" xfId="10197" xr:uid="{00000000-0005-0000-0000-0000C51C0000}"/>
    <cellStyle name="no dec" xfId="580" xr:uid="{00000000-0005-0000-0000-0000D9010000}"/>
    <cellStyle name="no dec 2" xfId="5395" xr:uid="{00000000-0005-0000-0000-0000C71C0000}"/>
    <cellStyle name="Normal" xfId="0" builtinId="0"/>
    <cellStyle name="Normal - Style1" xfId="581" xr:uid="{00000000-0005-0000-0000-0000DB010000}"/>
    <cellStyle name="Normal - Style1 2" xfId="582" xr:uid="{00000000-0005-0000-0000-0000DC010000}"/>
    <cellStyle name="Normal - Style1 2 2" xfId="10198" xr:uid="{00000000-0005-0000-0000-0000CB1C0000}"/>
    <cellStyle name="Normal - Style1 2 3" xfId="10199" xr:uid="{00000000-0005-0000-0000-0000CC1C0000}"/>
    <cellStyle name="Normal - Style1 2 4" xfId="5394" xr:uid="{00000000-0005-0000-0000-0000CA1C0000}"/>
    <cellStyle name="Normal - Style1 3" xfId="583" xr:uid="{00000000-0005-0000-0000-0000DD010000}"/>
    <cellStyle name="Normal - Style1 4" xfId="10200" xr:uid="{00000000-0005-0000-0000-0000CE1C0000}"/>
    <cellStyle name="Normal - Style1 5" xfId="10201" xr:uid="{00000000-0005-0000-0000-0000CF1C0000}"/>
    <cellStyle name="Normal - Style1_2010-2012 Program Workbook_Incent_FS" xfId="584" xr:uid="{00000000-0005-0000-0000-0000DE010000}"/>
    <cellStyle name="Normal - Style2" xfId="585" xr:uid="{00000000-0005-0000-0000-0000DF010000}"/>
    <cellStyle name="Normal - Style3" xfId="586" xr:uid="{00000000-0005-0000-0000-0000E0010000}"/>
    <cellStyle name="Normal - Style4" xfId="587" xr:uid="{00000000-0005-0000-0000-0000E1010000}"/>
    <cellStyle name="Normal - Style5" xfId="588" xr:uid="{00000000-0005-0000-0000-0000E2010000}"/>
    <cellStyle name="Normal - Style6" xfId="589" xr:uid="{00000000-0005-0000-0000-0000E3010000}"/>
    <cellStyle name="Normal - Style7" xfId="590" xr:uid="{00000000-0005-0000-0000-0000E4010000}"/>
    <cellStyle name="Normal - Style8" xfId="591" xr:uid="{00000000-0005-0000-0000-0000E5010000}"/>
    <cellStyle name="Normal 10" xfId="12" xr:uid="{00000000-0005-0000-0000-000009000000}"/>
    <cellStyle name="Normal 10 10" xfId="10202" xr:uid="{00000000-0005-0000-0000-0000D91C0000}"/>
    <cellStyle name="Normal 10 10 2" xfId="10203" xr:uid="{00000000-0005-0000-0000-0000DA1C0000}"/>
    <cellStyle name="Normal 10 10 2 2" xfId="10204" xr:uid="{00000000-0005-0000-0000-0000DB1C0000}"/>
    <cellStyle name="Normal 10 10 3" xfId="10205" xr:uid="{00000000-0005-0000-0000-0000DC1C0000}"/>
    <cellStyle name="Normal 10 11" xfId="10206" xr:uid="{00000000-0005-0000-0000-0000DD1C0000}"/>
    <cellStyle name="Normal 10 11 2" xfId="10207" xr:uid="{00000000-0005-0000-0000-0000DE1C0000}"/>
    <cellStyle name="Normal 10 12" xfId="10208" xr:uid="{00000000-0005-0000-0000-0000DF1C0000}"/>
    <cellStyle name="Normal 10 13" xfId="10209" xr:uid="{00000000-0005-0000-0000-0000E01C0000}"/>
    <cellStyle name="Normal 10 2" xfId="13" xr:uid="{00000000-0005-0000-0000-00000A000000}"/>
    <cellStyle name="Normal 10 3" xfId="592" xr:uid="{00000000-0005-0000-0000-0000E6010000}"/>
    <cellStyle name="Normal 10 3 2" xfId="10211" xr:uid="{00000000-0005-0000-0000-0000E31C0000}"/>
    <cellStyle name="Normal 10 3 3" xfId="10212" xr:uid="{00000000-0005-0000-0000-0000E41C0000}"/>
    <cellStyle name="Normal 10 3 4" xfId="10213" xr:uid="{00000000-0005-0000-0000-0000E51C0000}"/>
    <cellStyle name="Normal 10 3 5" xfId="10214" xr:uid="{00000000-0005-0000-0000-0000E61C0000}"/>
    <cellStyle name="Normal 10 3 6" xfId="10210" xr:uid="{00000000-0005-0000-0000-0000E21C0000}"/>
    <cellStyle name="Normal 10 4" xfId="10215" xr:uid="{00000000-0005-0000-0000-0000E71C0000}"/>
    <cellStyle name="Normal 10 4 2" xfId="10216" xr:uid="{00000000-0005-0000-0000-0000E81C0000}"/>
    <cellStyle name="Normal 10 4 2 2" xfId="10217" xr:uid="{00000000-0005-0000-0000-0000E91C0000}"/>
    <cellStyle name="Normal 10 4 2 2 2" xfId="10218" xr:uid="{00000000-0005-0000-0000-0000EA1C0000}"/>
    <cellStyle name="Normal 10 4 2 2 3" xfId="10219" xr:uid="{00000000-0005-0000-0000-0000EB1C0000}"/>
    <cellStyle name="Normal 10 4 2 3" xfId="10220" xr:uid="{00000000-0005-0000-0000-0000EC1C0000}"/>
    <cellStyle name="Normal 10 4 2 4" xfId="10221" xr:uid="{00000000-0005-0000-0000-0000ED1C0000}"/>
    <cellStyle name="Normal 10 4 3" xfId="10222" xr:uid="{00000000-0005-0000-0000-0000EE1C0000}"/>
    <cellStyle name="Normal 10 4 3 2" xfId="10223" xr:uid="{00000000-0005-0000-0000-0000EF1C0000}"/>
    <cellStyle name="Normal 10 4 3 2 2" xfId="10224" xr:uid="{00000000-0005-0000-0000-0000F01C0000}"/>
    <cellStyle name="Normal 10 4 3 2 3" xfId="10225" xr:uid="{00000000-0005-0000-0000-0000F11C0000}"/>
    <cellStyle name="Normal 10 4 3 3" xfId="10226" xr:uid="{00000000-0005-0000-0000-0000F21C0000}"/>
    <cellStyle name="Normal 10 4 3 4" xfId="10227" xr:uid="{00000000-0005-0000-0000-0000F31C0000}"/>
    <cellStyle name="Normal 10 4 4" xfId="10228" xr:uid="{00000000-0005-0000-0000-0000F41C0000}"/>
    <cellStyle name="Normal 10 4 4 2" xfId="10229" xr:uid="{00000000-0005-0000-0000-0000F51C0000}"/>
    <cellStyle name="Normal 10 4 4 3" xfId="10230" xr:uid="{00000000-0005-0000-0000-0000F61C0000}"/>
    <cellStyle name="Normal 10 4 5" xfId="10231" xr:uid="{00000000-0005-0000-0000-0000F71C0000}"/>
    <cellStyle name="Normal 10 4 6" xfId="10232" xr:uid="{00000000-0005-0000-0000-0000F81C0000}"/>
    <cellStyle name="Normal 10 5" xfId="10233" xr:uid="{00000000-0005-0000-0000-0000F91C0000}"/>
    <cellStyle name="Normal 10 5 2" xfId="10234" xr:uid="{00000000-0005-0000-0000-0000FA1C0000}"/>
    <cellStyle name="Normal 10 5 2 2" xfId="10235" xr:uid="{00000000-0005-0000-0000-0000FB1C0000}"/>
    <cellStyle name="Normal 10 5 2 3" xfId="10236" xr:uid="{00000000-0005-0000-0000-0000FC1C0000}"/>
    <cellStyle name="Normal 10 5 3" xfId="10237" xr:uid="{00000000-0005-0000-0000-0000FD1C0000}"/>
    <cellStyle name="Normal 10 5 4" xfId="10238" xr:uid="{00000000-0005-0000-0000-0000FE1C0000}"/>
    <cellStyle name="Normal 10 6" xfId="10239" xr:uid="{00000000-0005-0000-0000-0000FF1C0000}"/>
    <cellStyle name="Normal 10 6 2" xfId="10240" xr:uid="{00000000-0005-0000-0000-0000001D0000}"/>
    <cellStyle name="Normal 10 6 2 2" xfId="10241" xr:uid="{00000000-0005-0000-0000-0000011D0000}"/>
    <cellStyle name="Normal 10 6 2 3" xfId="10242" xr:uid="{00000000-0005-0000-0000-0000021D0000}"/>
    <cellStyle name="Normal 10 6 3" xfId="10243" xr:uid="{00000000-0005-0000-0000-0000031D0000}"/>
    <cellStyle name="Normal 10 6 4" xfId="10244" xr:uid="{00000000-0005-0000-0000-0000041D0000}"/>
    <cellStyle name="Normal 10 6 5" xfId="10245" xr:uid="{00000000-0005-0000-0000-0000051D0000}"/>
    <cellStyle name="Normal 10 7" xfId="10246" xr:uid="{00000000-0005-0000-0000-0000061D0000}"/>
    <cellStyle name="Normal 10 7 2" xfId="10247" xr:uid="{00000000-0005-0000-0000-0000071D0000}"/>
    <cellStyle name="Normal 10 7 2 2" xfId="10248" xr:uid="{00000000-0005-0000-0000-0000081D0000}"/>
    <cellStyle name="Normal 10 7 2 3" xfId="10249" xr:uid="{00000000-0005-0000-0000-0000091D0000}"/>
    <cellStyle name="Normal 10 7 3" xfId="10250" xr:uid="{00000000-0005-0000-0000-00000A1D0000}"/>
    <cellStyle name="Normal 10 7 4" xfId="10251" xr:uid="{00000000-0005-0000-0000-00000B1D0000}"/>
    <cellStyle name="Normal 10 8" xfId="10252" xr:uid="{00000000-0005-0000-0000-00000C1D0000}"/>
    <cellStyle name="Normal 10 8 2" xfId="10253" xr:uid="{00000000-0005-0000-0000-00000D1D0000}"/>
    <cellStyle name="Normal 10 8 3" xfId="10254" xr:uid="{00000000-0005-0000-0000-00000E1D0000}"/>
    <cellStyle name="Normal 10 9" xfId="10255" xr:uid="{00000000-0005-0000-0000-00000F1D0000}"/>
    <cellStyle name="Normal 10 9 2" xfId="10256" xr:uid="{00000000-0005-0000-0000-0000101D0000}"/>
    <cellStyle name="Normal 10 9 3" xfId="10257" xr:uid="{00000000-0005-0000-0000-0000111D0000}"/>
    <cellStyle name="Normal 10_App b.3 Unspent_" xfId="594" xr:uid="{00000000-0005-0000-0000-0000E8010000}"/>
    <cellStyle name="Normal 100" xfId="10258" xr:uid="{00000000-0005-0000-0000-0000121D0000}"/>
    <cellStyle name="Normal 100 2" xfId="10259" xr:uid="{00000000-0005-0000-0000-0000131D0000}"/>
    <cellStyle name="Normal 100 3" xfId="10260" xr:uid="{00000000-0005-0000-0000-0000141D0000}"/>
    <cellStyle name="Normal 101" xfId="10261" xr:uid="{00000000-0005-0000-0000-0000151D0000}"/>
    <cellStyle name="Normal 101 2" xfId="10262" xr:uid="{00000000-0005-0000-0000-0000161D0000}"/>
    <cellStyle name="Normal 101 3" xfId="10263" xr:uid="{00000000-0005-0000-0000-0000171D0000}"/>
    <cellStyle name="Normal 102" xfId="10264" xr:uid="{00000000-0005-0000-0000-0000181D0000}"/>
    <cellStyle name="Normal 102 2" xfId="10265" xr:uid="{00000000-0005-0000-0000-0000191D0000}"/>
    <cellStyle name="Normal 102 3" xfId="10266" xr:uid="{00000000-0005-0000-0000-00001A1D0000}"/>
    <cellStyle name="Normal 103" xfId="10267" xr:uid="{00000000-0005-0000-0000-00001B1D0000}"/>
    <cellStyle name="Normal 103 2" xfId="10268" xr:uid="{00000000-0005-0000-0000-00001C1D0000}"/>
    <cellStyle name="Normal 103 3" xfId="10269" xr:uid="{00000000-0005-0000-0000-00001D1D0000}"/>
    <cellStyle name="Normal 104" xfId="10270" xr:uid="{00000000-0005-0000-0000-00001E1D0000}"/>
    <cellStyle name="Normal 104 2" xfId="10271" xr:uid="{00000000-0005-0000-0000-00001F1D0000}"/>
    <cellStyle name="Normal 104 3" xfId="10272" xr:uid="{00000000-0005-0000-0000-0000201D0000}"/>
    <cellStyle name="Normal 105" xfId="10273" xr:uid="{00000000-0005-0000-0000-0000211D0000}"/>
    <cellStyle name="Normal 105 2" xfId="10274" xr:uid="{00000000-0005-0000-0000-0000221D0000}"/>
    <cellStyle name="Normal 105 3" xfId="10275" xr:uid="{00000000-0005-0000-0000-0000231D0000}"/>
    <cellStyle name="Normal 106" xfId="10276" xr:uid="{00000000-0005-0000-0000-0000241D0000}"/>
    <cellStyle name="Normal 106 2" xfId="10277" xr:uid="{00000000-0005-0000-0000-0000251D0000}"/>
    <cellStyle name="Normal 106 3" xfId="10278" xr:uid="{00000000-0005-0000-0000-0000261D0000}"/>
    <cellStyle name="Normal 107" xfId="10279" xr:uid="{00000000-0005-0000-0000-0000271D0000}"/>
    <cellStyle name="Normal 107 2" xfId="10280" xr:uid="{00000000-0005-0000-0000-0000281D0000}"/>
    <cellStyle name="Normal 107 3" xfId="10281" xr:uid="{00000000-0005-0000-0000-0000291D0000}"/>
    <cellStyle name="Normal 108" xfId="10282" xr:uid="{00000000-0005-0000-0000-00002A1D0000}"/>
    <cellStyle name="Normal 108 2" xfId="10283" xr:uid="{00000000-0005-0000-0000-00002B1D0000}"/>
    <cellStyle name="Normal 108 3" xfId="10284" xr:uid="{00000000-0005-0000-0000-00002C1D0000}"/>
    <cellStyle name="Normal 109" xfId="10285" xr:uid="{00000000-0005-0000-0000-00002D1D0000}"/>
    <cellStyle name="Normal 109 2" xfId="10286" xr:uid="{00000000-0005-0000-0000-00002E1D0000}"/>
    <cellStyle name="Normal 109 3" xfId="10287" xr:uid="{00000000-0005-0000-0000-00002F1D0000}"/>
    <cellStyle name="Normal 11" xfId="595" xr:uid="{00000000-0005-0000-0000-0000E9010000}"/>
    <cellStyle name="Normal 11 10" xfId="10288" xr:uid="{00000000-0005-0000-0000-0000311D0000}"/>
    <cellStyle name="Normal 11 10 2" xfId="10289" xr:uid="{00000000-0005-0000-0000-0000321D0000}"/>
    <cellStyle name="Normal 11 11" xfId="5393" xr:uid="{00000000-0005-0000-0000-0000301D0000}"/>
    <cellStyle name="Normal 11 2" xfId="596" xr:uid="{00000000-0005-0000-0000-0000EA010000}"/>
    <cellStyle name="Normal 11 2 2" xfId="10290" xr:uid="{00000000-0005-0000-0000-0000341D0000}"/>
    <cellStyle name="Normal 11 2 2 2" xfId="10291" xr:uid="{00000000-0005-0000-0000-0000351D0000}"/>
    <cellStyle name="Normal 11 2 2 3" xfId="10292" xr:uid="{00000000-0005-0000-0000-0000361D0000}"/>
    <cellStyle name="Normal 11 2 3" xfId="10293" xr:uid="{00000000-0005-0000-0000-0000371D0000}"/>
    <cellStyle name="Normal 11 2 3 2" xfId="10294" xr:uid="{00000000-0005-0000-0000-0000381D0000}"/>
    <cellStyle name="Normal 11 2 3 2 2" xfId="10295" xr:uid="{00000000-0005-0000-0000-0000391D0000}"/>
    <cellStyle name="Normal 11 2 3 2 2 2" xfId="10296" xr:uid="{00000000-0005-0000-0000-00003A1D0000}"/>
    <cellStyle name="Normal 11 2 3 2 2 3" xfId="10297" xr:uid="{00000000-0005-0000-0000-00003B1D0000}"/>
    <cellStyle name="Normal 11 2 3 2 3" xfId="10298" xr:uid="{00000000-0005-0000-0000-00003C1D0000}"/>
    <cellStyle name="Normal 11 2 3 2 4" xfId="10299" xr:uid="{00000000-0005-0000-0000-00003D1D0000}"/>
    <cellStyle name="Normal 11 2 3 3" xfId="10300" xr:uid="{00000000-0005-0000-0000-00003E1D0000}"/>
    <cellStyle name="Normal 11 2 3 3 2" xfId="10301" xr:uid="{00000000-0005-0000-0000-00003F1D0000}"/>
    <cellStyle name="Normal 11 2 3 3 3" xfId="10302" xr:uid="{00000000-0005-0000-0000-0000401D0000}"/>
    <cellStyle name="Normal 11 2 3 4" xfId="10303" xr:uid="{00000000-0005-0000-0000-0000411D0000}"/>
    <cellStyle name="Normal 11 2 3 5" xfId="10304" xr:uid="{00000000-0005-0000-0000-0000421D0000}"/>
    <cellStyle name="Normal 11 2 4" xfId="10305" xr:uid="{00000000-0005-0000-0000-0000431D0000}"/>
    <cellStyle name="Normal 11 2 4 2" xfId="10306" xr:uid="{00000000-0005-0000-0000-0000441D0000}"/>
    <cellStyle name="Normal 11 2 4 2 2" xfId="10307" xr:uid="{00000000-0005-0000-0000-0000451D0000}"/>
    <cellStyle name="Normal 11 2 4 2 3" xfId="10308" xr:uid="{00000000-0005-0000-0000-0000461D0000}"/>
    <cellStyle name="Normal 11 2 4 3" xfId="10309" xr:uid="{00000000-0005-0000-0000-0000471D0000}"/>
    <cellStyle name="Normal 11 2 4 4" xfId="10310" xr:uid="{00000000-0005-0000-0000-0000481D0000}"/>
    <cellStyle name="Normal 11 2 4 5" xfId="10311" xr:uid="{00000000-0005-0000-0000-0000491D0000}"/>
    <cellStyle name="Normal 11 2 5" xfId="10312" xr:uid="{00000000-0005-0000-0000-00004A1D0000}"/>
    <cellStyle name="Normal 11 2 6" xfId="10313" xr:uid="{00000000-0005-0000-0000-00004B1D0000}"/>
    <cellStyle name="Normal 11 2 7" xfId="10314" xr:uid="{00000000-0005-0000-0000-00004C1D0000}"/>
    <cellStyle name="Normal 11 3" xfId="597" xr:uid="{00000000-0005-0000-0000-0000EB010000}"/>
    <cellStyle name="Normal 11 3 2" xfId="10316" xr:uid="{00000000-0005-0000-0000-00004E1D0000}"/>
    <cellStyle name="Normal 11 3 3" xfId="10317" xr:uid="{00000000-0005-0000-0000-00004F1D0000}"/>
    <cellStyle name="Normal 11 3 4" xfId="10318" xr:uid="{00000000-0005-0000-0000-0000501D0000}"/>
    <cellStyle name="Normal 11 3 5" xfId="10315" xr:uid="{00000000-0005-0000-0000-00004D1D0000}"/>
    <cellStyle name="Normal 11 4" xfId="10319" xr:uid="{00000000-0005-0000-0000-0000511D0000}"/>
    <cellStyle name="Normal 11 4 2" xfId="10320" xr:uid="{00000000-0005-0000-0000-0000521D0000}"/>
    <cellStyle name="Normal 11 4 2 2" xfId="10321" xr:uid="{00000000-0005-0000-0000-0000531D0000}"/>
    <cellStyle name="Normal 11 4 2 2 2" xfId="10322" xr:uid="{00000000-0005-0000-0000-0000541D0000}"/>
    <cellStyle name="Normal 11 4 2 2 3" xfId="10323" xr:uid="{00000000-0005-0000-0000-0000551D0000}"/>
    <cellStyle name="Normal 11 4 2 3" xfId="10324" xr:uid="{00000000-0005-0000-0000-0000561D0000}"/>
    <cellStyle name="Normal 11 4 2 4" xfId="10325" xr:uid="{00000000-0005-0000-0000-0000571D0000}"/>
    <cellStyle name="Normal 11 4 3" xfId="10326" xr:uid="{00000000-0005-0000-0000-0000581D0000}"/>
    <cellStyle name="Normal 11 4 3 2" xfId="10327" xr:uid="{00000000-0005-0000-0000-0000591D0000}"/>
    <cellStyle name="Normal 11 4 3 3" xfId="10328" xr:uid="{00000000-0005-0000-0000-00005A1D0000}"/>
    <cellStyle name="Normal 11 4 4" xfId="10329" xr:uid="{00000000-0005-0000-0000-00005B1D0000}"/>
    <cellStyle name="Normal 11 4 5" xfId="10330" xr:uid="{00000000-0005-0000-0000-00005C1D0000}"/>
    <cellStyle name="Normal 11 4 6" xfId="10331" xr:uid="{00000000-0005-0000-0000-00005D1D0000}"/>
    <cellStyle name="Normal 11 5" xfId="10332" xr:uid="{00000000-0005-0000-0000-00005E1D0000}"/>
    <cellStyle name="Normal 11 5 2" xfId="10333" xr:uid="{00000000-0005-0000-0000-00005F1D0000}"/>
    <cellStyle name="Normal 11 5 3" xfId="10334" xr:uid="{00000000-0005-0000-0000-0000601D0000}"/>
    <cellStyle name="Normal 11 5 4" xfId="10335" xr:uid="{00000000-0005-0000-0000-0000611D0000}"/>
    <cellStyle name="Normal 11 6" xfId="10336" xr:uid="{00000000-0005-0000-0000-0000621D0000}"/>
    <cellStyle name="Normal 11 6 2" xfId="10337" xr:uid="{00000000-0005-0000-0000-0000631D0000}"/>
    <cellStyle name="Normal 11 6 2 2" xfId="10338" xr:uid="{00000000-0005-0000-0000-0000641D0000}"/>
    <cellStyle name="Normal 11 6 2 3" xfId="10339" xr:uid="{00000000-0005-0000-0000-0000651D0000}"/>
    <cellStyle name="Normal 11 6 3" xfId="10340" xr:uid="{00000000-0005-0000-0000-0000661D0000}"/>
    <cellStyle name="Normal 11 6 4" xfId="10341" xr:uid="{00000000-0005-0000-0000-0000671D0000}"/>
    <cellStyle name="Normal 11 7" xfId="10342" xr:uid="{00000000-0005-0000-0000-0000681D0000}"/>
    <cellStyle name="Normal 11 7 2" xfId="10343" xr:uid="{00000000-0005-0000-0000-0000691D0000}"/>
    <cellStyle name="Normal 11 7 2 2" xfId="10344" xr:uid="{00000000-0005-0000-0000-00006A1D0000}"/>
    <cellStyle name="Normal 11 7 2 3" xfId="10345" xr:uid="{00000000-0005-0000-0000-00006B1D0000}"/>
    <cellStyle name="Normal 11 7 3" xfId="10346" xr:uid="{00000000-0005-0000-0000-00006C1D0000}"/>
    <cellStyle name="Normal 11 7 4" xfId="10347" xr:uid="{00000000-0005-0000-0000-00006D1D0000}"/>
    <cellStyle name="Normal 11 7 5" xfId="10348" xr:uid="{00000000-0005-0000-0000-00006E1D0000}"/>
    <cellStyle name="Normal 11 8" xfId="10349" xr:uid="{00000000-0005-0000-0000-00006F1D0000}"/>
    <cellStyle name="Normal 11 9" xfId="10350" xr:uid="{00000000-0005-0000-0000-0000701D0000}"/>
    <cellStyle name="Normal 11 9 2" xfId="10351" xr:uid="{00000000-0005-0000-0000-0000711D0000}"/>
    <cellStyle name="Normal 11 9 2 2" xfId="10352" xr:uid="{00000000-0005-0000-0000-0000721D0000}"/>
    <cellStyle name="Normal 11 9 3" xfId="10353" xr:uid="{00000000-0005-0000-0000-0000731D0000}"/>
    <cellStyle name="Normal 11_App b.3 Unspent_" xfId="598" xr:uid="{00000000-0005-0000-0000-0000EC010000}"/>
    <cellStyle name="Normal 110" xfId="10354" xr:uid="{00000000-0005-0000-0000-0000741D0000}"/>
    <cellStyle name="Normal 110 2" xfId="10355" xr:uid="{00000000-0005-0000-0000-0000751D0000}"/>
    <cellStyle name="Normal 110 3" xfId="10356" xr:uid="{00000000-0005-0000-0000-0000761D0000}"/>
    <cellStyle name="Normal 111" xfId="10357" xr:uid="{00000000-0005-0000-0000-0000771D0000}"/>
    <cellStyle name="Normal 111 2" xfId="10358" xr:uid="{00000000-0005-0000-0000-0000781D0000}"/>
    <cellStyle name="Normal 112" xfId="599" xr:uid="{00000000-0005-0000-0000-0000ED010000}"/>
    <cellStyle name="Normal 112 2" xfId="10360" xr:uid="{00000000-0005-0000-0000-00007A1D0000}"/>
    <cellStyle name="Normal 112 3" xfId="10359" xr:uid="{00000000-0005-0000-0000-0000791D0000}"/>
    <cellStyle name="Normal 113" xfId="600" xr:uid="{00000000-0005-0000-0000-0000EE010000}"/>
    <cellStyle name="Normal 113 2" xfId="10361" xr:uid="{00000000-0005-0000-0000-00007C1D0000}"/>
    <cellStyle name="Normal 114" xfId="601" xr:uid="{00000000-0005-0000-0000-0000EF010000}"/>
    <cellStyle name="Normal 114 2" xfId="10362" xr:uid="{00000000-0005-0000-0000-00007E1D0000}"/>
    <cellStyle name="Normal 114 3" xfId="10363" xr:uid="{00000000-0005-0000-0000-00007F1D0000}"/>
    <cellStyle name="Normal 114 4" xfId="10364" xr:uid="{00000000-0005-0000-0000-0000801D0000}"/>
    <cellStyle name="Normal 115" xfId="10365" xr:uid="{00000000-0005-0000-0000-0000811D0000}"/>
    <cellStyle name="Normal 115 2" xfId="10366" xr:uid="{00000000-0005-0000-0000-0000821D0000}"/>
    <cellStyle name="Normal 116" xfId="10367" xr:uid="{00000000-0005-0000-0000-0000831D0000}"/>
    <cellStyle name="Normal 116 2" xfId="10368" xr:uid="{00000000-0005-0000-0000-0000841D0000}"/>
    <cellStyle name="Normal 117" xfId="10369" xr:uid="{00000000-0005-0000-0000-0000851D0000}"/>
    <cellStyle name="Normal 117 2" xfId="10370" xr:uid="{00000000-0005-0000-0000-0000861D0000}"/>
    <cellStyle name="Normal 118" xfId="10371" xr:uid="{00000000-0005-0000-0000-0000871D0000}"/>
    <cellStyle name="Normal 118 2" xfId="10372" xr:uid="{00000000-0005-0000-0000-0000881D0000}"/>
    <cellStyle name="Normal 119" xfId="10373" xr:uid="{00000000-0005-0000-0000-0000891D0000}"/>
    <cellStyle name="Normal 119 2" xfId="10374" xr:uid="{00000000-0005-0000-0000-00008A1D0000}"/>
    <cellStyle name="Normal 12" xfId="602" xr:uid="{00000000-0005-0000-0000-0000F0010000}"/>
    <cellStyle name="Normal 12 10" xfId="10375" xr:uid="{00000000-0005-0000-0000-00008C1D0000}"/>
    <cellStyle name="Normal 12 11" xfId="5392" xr:uid="{00000000-0005-0000-0000-00008B1D0000}"/>
    <cellStyle name="Normal 12 2" xfId="603" xr:uid="{00000000-0005-0000-0000-0000F1010000}"/>
    <cellStyle name="Normal 12 2 2" xfId="10376" xr:uid="{00000000-0005-0000-0000-00008E1D0000}"/>
    <cellStyle name="Normal 12 2 2 2" xfId="10377" xr:uid="{00000000-0005-0000-0000-00008F1D0000}"/>
    <cellStyle name="Normal 12 2 2 3" xfId="10378" xr:uid="{00000000-0005-0000-0000-0000901D0000}"/>
    <cellStyle name="Normal 12 2 3" xfId="10379" xr:uid="{00000000-0005-0000-0000-0000911D0000}"/>
    <cellStyle name="Normal 12 2 4" xfId="10380" xr:uid="{00000000-0005-0000-0000-0000921D0000}"/>
    <cellStyle name="Normal 12 2 5" xfId="10381" xr:uid="{00000000-0005-0000-0000-0000931D0000}"/>
    <cellStyle name="Normal 12 2 5 2" xfId="10382" xr:uid="{00000000-0005-0000-0000-0000941D0000}"/>
    <cellStyle name="Normal 12 2 6" xfId="10383" xr:uid="{00000000-0005-0000-0000-0000951D0000}"/>
    <cellStyle name="Normal 12 2 7" xfId="5391" xr:uid="{00000000-0005-0000-0000-00008D1D0000}"/>
    <cellStyle name="Normal 12 3" xfId="604" xr:uid="{00000000-0005-0000-0000-0000F2010000}"/>
    <cellStyle name="Normal 12 3 2" xfId="10385" xr:uid="{00000000-0005-0000-0000-0000971D0000}"/>
    <cellStyle name="Normal 12 3 3" xfId="10386" xr:uid="{00000000-0005-0000-0000-0000981D0000}"/>
    <cellStyle name="Normal 12 3 4" xfId="10384" xr:uid="{00000000-0005-0000-0000-0000961D0000}"/>
    <cellStyle name="Normal 12 4" xfId="10387" xr:uid="{00000000-0005-0000-0000-0000991D0000}"/>
    <cellStyle name="Normal 12 5" xfId="10388" xr:uid="{00000000-0005-0000-0000-00009A1D0000}"/>
    <cellStyle name="Normal 12 5 2" xfId="10389" xr:uid="{00000000-0005-0000-0000-00009B1D0000}"/>
    <cellStyle name="Normal 12 5 3" xfId="10390" xr:uid="{00000000-0005-0000-0000-00009C1D0000}"/>
    <cellStyle name="Normal 12 6" xfId="10391" xr:uid="{00000000-0005-0000-0000-00009D1D0000}"/>
    <cellStyle name="Normal 12 6 2" xfId="10392" xr:uid="{00000000-0005-0000-0000-00009E1D0000}"/>
    <cellStyle name="Normal 12 6 2 2" xfId="10393" xr:uid="{00000000-0005-0000-0000-00009F1D0000}"/>
    <cellStyle name="Normal 12 6 2 3" xfId="10394" xr:uid="{00000000-0005-0000-0000-0000A01D0000}"/>
    <cellStyle name="Normal 12 6 3" xfId="10395" xr:uid="{00000000-0005-0000-0000-0000A11D0000}"/>
    <cellStyle name="Normal 12 6 4" xfId="10396" xr:uid="{00000000-0005-0000-0000-0000A21D0000}"/>
    <cellStyle name="Normal 12 7" xfId="10397" xr:uid="{00000000-0005-0000-0000-0000A31D0000}"/>
    <cellStyle name="Normal 12 7 2" xfId="10398" xr:uid="{00000000-0005-0000-0000-0000A41D0000}"/>
    <cellStyle name="Normal 12 7 3" xfId="10399" xr:uid="{00000000-0005-0000-0000-0000A51D0000}"/>
    <cellStyle name="Normal 12 8" xfId="10400" xr:uid="{00000000-0005-0000-0000-0000A61D0000}"/>
    <cellStyle name="Normal 12 8 2" xfId="10401" xr:uid="{00000000-0005-0000-0000-0000A71D0000}"/>
    <cellStyle name="Normal 12 8 2 2" xfId="10402" xr:uid="{00000000-0005-0000-0000-0000A81D0000}"/>
    <cellStyle name="Normal 12 8 3" xfId="10403" xr:uid="{00000000-0005-0000-0000-0000A91D0000}"/>
    <cellStyle name="Normal 12 9" xfId="10404" xr:uid="{00000000-0005-0000-0000-0000AA1D0000}"/>
    <cellStyle name="Normal 12_2010 - 2012 CEE Analysis - 2012 Budget DRAFT 11.1.11" xfId="605" xr:uid="{00000000-0005-0000-0000-0000F3010000}"/>
    <cellStyle name="Normal 120" xfId="10405" xr:uid="{00000000-0005-0000-0000-0000AC1D0000}"/>
    <cellStyle name="Normal 120 2" xfId="10406" xr:uid="{00000000-0005-0000-0000-0000AD1D0000}"/>
    <cellStyle name="Normal 121" xfId="10407" xr:uid="{00000000-0005-0000-0000-0000AE1D0000}"/>
    <cellStyle name="Normal 121 2" xfId="10408" xr:uid="{00000000-0005-0000-0000-0000AF1D0000}"/>
    <cellStyle name="Normal 122" xfId="10409" xr:uid="{00000000-0005-0000-0000-0000B01D0000}"/>
    <cellStyle name="Normal 122 2" xfId="10410" xr:uid="{00000000-0005-0000-0000-0000B11D0000}"/>
    <cellStyle name="Normal 123" xfId="10411" xr:uid="{00000000-0005-0000-0000-0000B21D0000}"/>
    <cellStyle name="Normal 123 2" xfId="10412" xr:uid="{00000000-0005-0000-0000-0000B31D0000}"/>
    <cellStyle name="Normal 124" xfId="10413" xr:uid="{00000000-0005-0000-0000-0000B41D0000}"/>
    <cellStyle name="Normal 124 2" xfId="10414" xr:uid="{00000000-0005-0000-0000-0000B51D0000}"/>
    <cellStyle name="Normal 125" xfId="10415" xr:uid="{00000000-0005-0000-0000-0000B61D0000}"/>
    <cellStyle name="Normal 125 2" xfId="10416" xr:uid="{00000000-0005-0000-0000-0000B71D0000}"/>
    <cellStyle name="Normal 126" xfId="10417" xr:uid="{00000000-0005-0000-0000-0000B81D0000}"/>
    <cellStyle name="Normal 126 2" xfId="10418" xr:uid="{00000000-0005-0000-0000-0000B91D0000}"/>
    <cellStyle name="Normal 127" xfId="10419" xr:uid="{00000000-0005-0000-0000-0000BA1D0000}"/>
    <cellStyle name="Normal 127 2" xfId="10420" xr:uid="{00000000-0005-0000-0000-0000BB1D0000}"/>
    <cellStyle name="Normal 128" xfId="10421" xr:uid="{00000000-0005-0000-0000-0000BC1D0000}"/>
    <cellStyle name="Normal 128 2" xfId="10422" xr:uid="{00000000-0005-0000-0000-0000BD1D0000}"/>
    <cellStyle name="Normal 129" xfId="10423" xr:uid="{00000000-0005-0000-0000-0000BE1D0000}"/>
    <cellStyle name="Normal 129 2" xfId="10424" xr:uid="{00000000-0005-0000-0000-0000BF1D0000}"/>
    <cellStyle name="Normal 13" xfId="606" xr:uid="{00000000-0005-0000-0000-0000F4010000}"/>
    <cellStyle name="Normal 13 10" xfId="10425" xr:uid="{00000000-0005-0000-0000-0000C11D0000}"/>
    <cellStyle name="Normal 13 11" xfId="10426" xr:uid="{00000000-0005-0000-0000-0000C21D0000}"/>
    <cellStyle name="Normal 13 12" xfId="5390" xr:uid="{00000000-0005-0000-0000-0000C01D0000}"/>
    <cellStyle name="Normal 13 2" xfId="5607" xr:uid="{00000000-0005-0000-0000-0000C31D0000}"/>
    <cellStyle name="Normal 13 2 2" xfId="10427" xr:uid="{00000000-0005-0000-0000-0000C41D0000}"/>
    <cellStyle name="Normal 13 2 2 2" xfId="10428" xr:uid="{00000000-0005-0000-0000-0000C51D0000}"/>
    <cellStyle name="Normal 13 2 2 2 2" xfId="10429" xr:uid="{00000000-0005-0000-0000-0000C61D0000}"/>
    <cellStyle name="Normal 13 2 2 2 2 2" xfId="10430" xr:uid="{00000000-0005-0000-0000-0000C71D0000}"/>
    <cellStyle name="Normal 13 2 2 2 2 3" xfId="10431" xr:uid="{00000000-0005-0000-0000-0000C81D0000}"/>
    <cellStyle name="Normal 13 2 2 2 3" xfId="10432" xr:uid="{00000000-0005-0000-0000-0000C91D0000}"/>
    <cellStyle name="Normal 13 2 2 2 4" xfId="10433" xr:uid="{00000000-0005-0000-0000-0000CA1D0000}"/>
    <cellStyle name="Normal 13 2 2 3" xfId="10434" xr:uid="{00000000-0005-0000-0000-0000CB1D0000}"/>
    <cellStyle name="Normal 13 2 2 3 2" xfId="10435" xr:uid="{00000000-0005-0000-0000-0000CC1D0000}"/>
    <cellStyle name="Normal 13 2 2 3 3" xfId="10436" xr:uid="{00000000-0005-0000-0000-0000CD1D0000}"/>
    <cellStyle name="Normal 13 2 2 4" xfId="10437" xr:uid="{00000000-0005-0000-0000-0000CE1D0000}"/>
    <cellStyle name="Normal 13 2 2 5" xfId="10438" xr:uid="{00000000-0005-0000-0000-0000CF1D0000}"/>
    <cellStyle name="Normal 13 2 2 6" xfId="10439" xr:uid="{00000000-0005-0000-0000-0000D01D0000}"/>
    <cellStyle name="Normal 13 2 3" xfId="10440" xr:uid="{00000000-0005-0000-0000-0000D11D0000}"/>
    <cellStyle name="Normal 13 2 3 2" xfId="10441" xr:uid="{00000000-0005-0000-0000-0000D21D0000}"/>
    <cellStyle name="Normal 13 2 3 2 2" xfId="10442" xr:uid="{00000000-0005-0000-0000-0000D31D0000}"/>
    <cellStyle name="Normal 13 2 3 2 3" xfId="10443" xr:uid="{00000000-0005-0000-0000-0000D41D0000}"/>
    <cellStyle name="Normal 13 2 3 3" xfId="10444" xr:uid="{00000000-0005-0000-0000-0000D51D0000}"/>
    <cellStyle name="Normal 13 2 3 4" xfId="10445" xr:uid="{00000000-0005-0000-0000-0000D61D0000}"/>
    <cellStyle name="Normal 13 2 4" xfId="10446" xr:uid="{00000000-0005-0000-0000-0000D71D0000}"/>
    <cellStyle name="Normal 13 2 5" xfId="10447" xr:uid="{00000000-0005-0000-0000-0000D81D0000}"/>
    <cellStyle name="Normal 13 2 5 2" xfId="10448" xr:uid="{00000000-0005-0000-0000-0000D91D0000}"/>
    <cellStyle name="Normal 13 2 6" xfId="10449" xr:uid="{00000000-0005-0000-0000-0000DA1D0000}"/>
    <cellStyle name="Normal 13 3" xfId="10450" xr:uid="{00000000-0005-0000-0000-0000DB1D0000}"/>
    <cellStyle name="Normal 13 3 2" xfId="10451" xr:uid="{00000000-0005-0000-0000-0000DC1D0000}"/>
    <cellStyle name="Normal 13 3 3" xfId="10452" xr:uid="{00000000-0005-0000-0000-0000DD1D0000}"/>
    <cellStyle name="Normal 13 4" xfId="10453" xr:uid="{00000000-0005-0000-0000-0000DE1D0000}"/>
    <cellStyle name="Normal 13 4 2" xfId="10454" xr:uid="{00000000-0005-0000-0000-0000DF1D0000}"/>
    <cellStyle name="Normal 13 4 2 2" xfId="10455" xr:uid="{00000000-0005-0000-0000-0000E01D0000}"/>
    <cellStyle name="Normal 13 4 2 2 2" xfId="10456" xr:uid="{00000000-0005-0000-0000-0000E11D0000}"/>
    <cellStyle name="Normal 13 4 2 2 3" xfId="10457" xr:uid="{00000000-0005-0000-0000-0000E21D0000}"/>
    <cellStyle name="Normal 13 4 2 3" xfId="10458" xr:uid="{00000000-0005-0000-0000-0000E31D0000}"/>
    <cellStyle name="Normal 13 4 2 4" xfId="10459" xr:uid="{00000000-0005-0000-0000-0000E41D0000}"/>
    <cellStyle name="Normal 13 4 3" xfId="10460" xr:uid="{00000000-0005-0000-0000-0000E51D0000}"/>
    <cellStyle name="Normal 13 4 3 2" xfId="10461" xr:uid="{00000000-0005-0000-0000-0000E61D0000}"/>
    <cellStyle name="Normal 13 4 3 3" xfId="10462" xr:uid="{00000000-0005-0000-0000-0000E71D0000}"/>
    <cellStyle name="Normal 13 4 4" xfId="10463" xr:uid="{00000000-0005-0000-0000-0000E81D0000}"/>
    <cellStyle name="Normal 13 4 5" xfId="10464" xr:uid="{00000000-0005-0000-0000-0000E91D0000}"/>
    <cellStyle name="Normal 13 5" xfId="10465" xr:uid="{00000000-0005-0000-0000-0000EA1D0000}"/>
    <cellStyle name="Normal 13 5 2" xfId="10466" xr:uid="{00000000-0005-0000-0000-0000EB1D0000}"/>
    <cellStyle name="Normal 13 5 3" xfId="10467" xr:uid="{00000000-0005-0000-0000-0000EC1D0000}"/>
    <cellStyle name="Normal 13 6" xfId="10468" xr:uid="{00000000-0005-0000-0000-0000ED1D0000}"/>
    <cellStyle name="Normal 13 6 2" xfId="10469" xr:uid="{00000000-0005-0000-0000-0000EE1D0000}"/>
    <cellStyle name="Normal 13 6 2 2" xfId="10470" xr:uid="{00000000-0005-0000-0000-0000EF1D0000}"/>
    <cellStyle name="Normal 13 6 2 3" xfId="10471" xr:uid="{00000000-0005-0000-0000-0000F01D0000}"/>
    <cellStyle name="Normal 13 6 3" xfId="10472" xr:uid="{00000000-0005-0000-0000-0000F11D0000}"/>
    <cellStyle name="Normal 13 6 4" xfId="10473" xr:uid="{00000000-0005-0000-0000-0000F21D0000}"/>
    <cellStyle name="Normal 13 7" xfId="10474" xr:uid="{00000000-0005-0000-0000-0000F31D0000}"/>
    <cellStyle name="Normal 13 7 2" xfId="10475" xr:uid="{00000000-0005-0000-0000-0000F41D0000}"/>
    <cellStyle name="Normal 13 7 2 2" xfId="10476" xr:uid="{00000000-0005-0000-0000-0000F51D0000}"/>
    <cellStyle name="Normal 13 7 2 3" xfId="10477" xr:uid="{00000000-0005-0000-0000-0000F61D0000}"/>
    <cellStyle name="Normal 13 7 3" xfId="10478" xr:uid="{00000000-0005-0000-0000-0000F71D0000}"/>
    <cellStyle name="Normal 13 7 4" xfId="10479" xr:uid="{00000000-0005-0000-0000-0000F81D0000}"/>
    <cellStyle name="Normal 13 8" xfId="10480" xr:uid="{00000000-0005-0000-0000-0000F91D0000}"/>
    <cellStyle name="Normal 13 8 2" xfId="10481" xr:uid="{00000000-0005-0000-0000-0000FA1D0000}"/>
    <cellStyle name="Normal 13 8 3" xfId="10482" xr:uid="{00000000-0005-0000-0000-0000FB1D0000}"/>
    <cellStyle name="Normal 13 9" xfId="10483" xr:uid="{00000000-0005-0000-0000-0000FC1D0000}"/>
    <cellStyle name="Normal 13 9 2" xfId="10484" xr:uid="{00000000-0005-0000-0000-0000FD1D0000}"/>
    <cellStyle name="Normal 13 9 3" xfId="10485" xr:uid="{00000000-0005-0000-0000-0000FE1D0000}"/>
    <cellStyle name="Normal 130" xfId="10486" xr:uid="{00000000-0005-0000-0000-0000FF1D0000}"/>
    <cellStyle name="Normal 130 2" xfId="10487" xr:uid="{00000000-0005-0000-0000-0000001E0000}"/>
    <cellStyle name="Normal 131" xfId="5283" xr:uid="{00000000-0005-0000-0000-0000011E0000}"/>
    <cellStyle name="Normal 131 2" xfId="10488" xr:uid="{00000000-0005-0000-0000-0000021E0000}"/>
    <cellStyle name="Normal 132" xfId="10489" xr:uid="{00000000-0005-0000-0000-0000031E0000}"/>
    <cellStyle name="Normal 132 2" xfId="10490" xr:uid="{00000000-0005-0000-0000-0000041E0000}"/>
    <cellStyle name="Normal 133" xfId="5282" xr:uid="{00000000-0005-0000-0000-0000051E0000}"/>
    <cellStyle name="Normal 133 2" xfId="10491" xr:uid="{00000000-0005-0000-0000-0000061E0000}"/>
    <cellStyle name="Normal 134" xfId="10492" xr:uid="{00000000-0005-0000-0000-0000071E0000}"/>
    <cellStyle name="Normal 134 2" xfId="10493" xr:uid="{00000000-0005-0000-0000-0000081E0000}"/>
    <cellStyle name="Normal 135" xfId="10494" xr:uid="{00000000-0005-0000-0000-0000091E0000}"/>
    <cellStyle name="Normal 135 2" xfId="10495" xr:uid="{00000000-0005-0000-0000-00000A1E0000}"/>
    <cellStyle name="Normal 136" xfId="5281" xr:uid="{00000000-0005-0000-0000-00000B1E0000}"/>
    <cellStyle name="Normal 136 2" xfId="10496" xr:uid="{00000000-0005-0000-0000-00000C1E0000}"/>
    <cellStyle name="Normal 137" xfId="10497" xr:uid="{00000000-0005-0000-0000-00000D1E0000}"/>
    <cellStyle name="Normal 137 2" xfId="10498" xr:uid="{00000000-0005-0000-0000-00000E1E0000}"/>
    <cellStyle name="Normal 138" xfId="5280" xr:uid="{00000000-0005-0000-0000-00000F1E0000}"/>
    <cellStyle name="Normal 138 2" xfId="10499" xr:uid="{00000000-0005-0000-0000-0000101E0000}"/>
    <cellStyle name="Normal 139" xfId="5279" xr:uid="{00000000-0005-0000-0000-0000111E0000}"/>
    <cellStyle name="Normal 139 2" xfId="10500" xr:uid="{00000000-0005-0000-0000-0000121E0000}"/>
    <cellStyle name="Normal 14" xfId="607" xr:uid="{00000000-0005-0000-0000-0000F5010000}"/>
    <cellStyle name="Normal 14 2" xfId="608" xr:uid="{00000000-0005-0000-0000-0000F6010000}"/>
    <cellStyle name="Normal 14 2 2" xfId="10501" xr:uid="{00000000-0005-0000-0000-0000151E0000}"/>
    <cellStyle name="Normal 14 2 2 2" xfId="10502" xr:uid="{00000000-0005-0000-0000-0000161E0000}"/>
    <cellStyle name="Normal 14 2 3" xfId="10503" xr:uid="{00000000-0005-0000-0000-0000171E0000}"/>
    <cellStyle name="Normal 14 2 4" xfId="10504" xr:uid="{00000000-0005-0000-0000-0000181E0000}"/>
    <cellStyle name="Normal 14 2 5" xfId="10505" xr:uid="{00000000-0005-0000-0000-0000191E0000}"/>
    <cellStyle name="Normal 14 2 6" xfId="5389" xr:uid="{00000000-0005-0000-0000-0000141E0000}"/>
    <cellStyle name="Normal 14 3" xfId="10506" xr:uid="{00000000-0005-0000-0000-00001A1E0000}"/>
    <cellStyle name="Normal 14 3 2" xfId="10507" xr:uid="{00000000-0005-0000-0000-00001B1E0000}"/>
    <cellStyle name="Normal 14 3 2 2" xfId="10508" xr:uid="{00000000-0005-0000-0000-00001C1E0000}"/>
    <cellStyle name="Normal 14 3 3" xfId="10509" xr:uid="{00000000-0005-0000-0000-00001D1E0000}"/>
    <cellStyle name="Normal 14 4" xfId="10510" xr:uid="{00000000-0005-0000-0000-00001E1E0000}"/>
    <cellStyle name="Normal 14 5" xfId="10511" xr:uid="{00000000-0005-0000-0000-00001F1E0000}"/>
    <cellStyle name="Normal 14 5 2" xfId="10512" xr:uid="{00000000-0005-0000-0000-0000201E0000}"/>
    <cellStyle name="Normal 14 5 3" xfId="10513" xr:uid="{00000000-0005-0000-0000-0000211E0000}"/>
    <cellStyle name="Normal 14 6" xfId="10514" xr:uid="{00000000-0005-0000-0000-0000221E0000}"/>
    <cellStyle name="Normal 14 7" xfId="10515" xr:uid="{00000000-0005-0000-0000-0000231E0000}"/>
    <cellStyle name="Normal 14_App b.3 Unspent_" xfId="609" xr:uid="{00000000-0005-0000-0000-0000F7010000}"/>
    <cellStyle name="Normal 140" xfId="5278" xr:uid="{00000000-0005-0000-0000-0000241E0000}"/>
    <cellStyle name="Normal 140 2" xfId="10516" xr:uid="{00000000-0005-0000-0000-0000251E0000}"/>
    <cellStyle name="Normal 141" xfId="5277" xr:uid="{00000000-0005-0000-0000-0000261E0000}"/>
    <cellStyle name="Normal 141 2" xfId="10517" xr:uid="{00000000-0005-0000-0000-0000271E0000}"/>
    <cellStyle name="Normal 142" xfId="10518" xr:uid="{00000000-0005-0000-0000-0000281E0000}"/>
    <cellStyle name="Normal 142 2" xfId="10519" xr:uid="{00000000-0005-0000-0000-0000291E0000}"/>
    <cellStyle name="Normal 143" xfId="10520" xr:uid="{00000000-0005-0000-0000-00002A1E0000}"/>
    <cellStyle name="Normal 143 2" xfId="10521" xr:uid="{00000000-0005-0000-0000-00002B1E0000}"/>
    <cellStyle name="Normal 144" xfId="10522" xr:uid="{00000000-0005-0000-0000-00002C1E0000}"/>
    <cellStyle name="Normal 144 2" xfId="10523" xr:uid="{00000000-0005-0000-0000-00002D1E0000}"/>
    <cellStyle name="Normal 145" xfId="10524" xr:uid="{00000000-0005-0000-0000-00002E1E0000}"/>
    <cellStyle name="Normal 145 2" xfId="10525" xr:uid="{00000000-0005-0000-0000-00002F1E0000}"/>
    <cellStyle name="Normal 146" xfId="5276" xr:uid="{00000000-0005-0000-0000-0000301E0000}"/>
    <cellStyle name="Normal 146 2" xfId="10526" xr:uid="{00000000-0005-0000-0000-0000311E0000}"/>
    <cellStyle name="Normal 147" xfId="10527" xr:uid="{00000000-0005-0000-0000-0000321E0000}"/>
    <cellStyle name="Normal 147 2" xfId="10528" xr:uid="{00000000-0005-0000-0000-0000331E0000}"/>
    <cellStyle name="Normal 148" xfId="10529" xr:uid="{00000000-0005-0000-0000-0000341E0000}"/>
    <cellStyle name="Normal 148 2" xfId="10530" xr:uid="{00000000-0005-0000-0000-0000351E0000}"/>
    <cellStyle name="Normal 149" xfId="10531" xr:uid="{00000000-0005-0000-0000-0000361E0000}"/>
    <cellStyle name="Normal 15" xfId="610" xr:uid="{00000000-0005-0000-0000-0000F8010000}"/>
    <cellStyle name="Normal 15 10" xfId="5388" xr:uid="{00000000-0005-0000-0000-0000371E0000}"/>
    <cellStyle name="Normal 15 2" xfId="611" xr:uid="{00000000-0005-0000-0000-0000F9010000}"/>
    <cellStyle name="Normal 15 2 2" xfId="10532" xr:uid="{00000000-0005-0000-0000-0000391E0000}"/>
    <cellStyle name="Normal 15 2 2 2" xfId="10533" xr:uid="{00000000-0005-0000-0000-00003A1E0000}"/>
    <cellStyle name="Normal 15 2 2 3" xfId="10534" xr:uid="{00000000-0005-0000-0000-00003B1E0000}"/>
    <cellStyle name="Normal 15 2 3" xfId="5387" xr:uid="{00000000-0005-0000-0000-0000381E0000}"/>
    <cellStyle name="Normal 15 3" xfId="5386" xr:uid="{00000000-0005-0000-0000-00003C1E0000}"/>
    <cellStyle name="Normal 15 4" xfId="10535" xr:uid="{00000000-0005-0000-0000-00003D1E0000}"/>
    <cellStyle name="Normal 15 4 2" xfId="10536" xr:uid="{00000000-0005-0000-0000-00003E1E0000}"/>
    <cellStyle name="Normal 15 4 2 2" xfId="10537" xr:uid="{00000000-0005-0000-0000-00003F1E0000}"/>
    <cellStyle name="Normal 15 4 3" xfId="10538" xr:uid="{00000000-0005-0000-0000-0000401E0000}"/>
    <cellStyle name="Normal 15 4 4" xfId="10539" xr:uid="{00000000-0005-0000-0000-0000411E0000}"/>
    <cellStyle name="Normal 15 5" xfId="10540" xr:uid="{00000000-0005-0000-0000-0000421E0000}"/>
    <cellStyle name="Normal 15 5 2" xfId="10541" xr:uid="{00000000-0005-0000-0000-0000431E0000}"/>
    <cellStyle name="Normal 15 5 2 2" xfId="10542" xr:uid="{00000000-0005-0000-0000-0000441E0000}"/>
    <cellStyle name="Normal 15 5 2 3" xfId="10543" xr:uid="{00000000-0005-0000-0000-0000451E0000}"/>
    <cellStyle name="Normal 15 5 3" xfId="10544" xr:uid="{00000000-0005-0000-0000-0000461E0000}"/>
    <cellStyle name="Normal 15 5 4" xfId="10545" xr:uid="{00000000-0005-0000-0000-0000471E0000}"/>
    <cellStyle name="Normal 15 6" xfId="10546" xr:uid="{00000000-0005-0000-0000-0000481E0000}"/>
    <cellStyle name="Normal 15 6 2" xfId="10547" xr:uid="{00000000-0005-0000-0000-0000491E0000}"/>
    <cellStyle name="Normal 15 6 3" xfId="10548" xr:uid="{00000000-0005-0000-0000-00004A1E0000}"/>
    <cellStyle name="Normal 15 7" xfId="10549" xr:uid="{00000000-0005-0000-0000-00004B1E0000}"/>
    <cellStyle name="Normal 15 7 2" xfId="10550" xr:uid="{00000000-0005-0000-0000-00004C1E0000}"/>
    <cellStyle name="Normal 15 7 3" xfId="10551" xr:uid="{00000000-0005-0000-0000-00004D1E0000}"/>
    <cellStyle name="Normal 15 8" xfId="10552" xr:uid="{00000000-0005-0000-0000-00004E1E0000}"/>
    <cellStyle name="Normal 15 9" xfId="10553" xr:uid="{00000000-0005-0000-0000-00004F1E0000}"/>
    <cellStyle name="Normal 15_App b.3 Unspent_" xfId="612" xr:uid="{00000000-0005-0000-0000-0000FA010000}"/>
    <cellStyle name="Normal 150" xfId="10554" xr:uid="{00000000-0005-0000-0000-0000501E0000}"/>
    <cellStyle name="Normal 151" xfId="10555" xr:uid="{00000000-0005-0000-0000-0000511E0000}"/>
    <cellStyle name="Normal 152" xfId="10556" xr:uid="{00000000-0005-0000-0000-0000521E0000}"/>
    <cellStyle name="Normal 153" xfId="2871" xr:uid="{00000000-0005-0000-0000-0000FB010000}"/>
    <cellStyle name="Normal 153 2" xfId="10557" xr:uid="{00000000-0005-0000-0000-0000531E0000}"/>
    <cellStyle name="Normal 154" xfId="10558" xr:uid="{00000000-0005-0000-0000-0000541E0000}"/>
    <cellStyle name="Normal 155" xfId="10559" xr:uid="{00000000-0005-0000-0000-0000551E0000}"/>
    <cellStyle name="Normal 156" xfId="10560" xr:uid="{00000000-0005-0000-0000-0000561E0000}"/>
    <cellStyle name="Normal 157" xfId="10561" xr:uid="{00000000-0005-0000-0000-0000571E0000}"/>
    <cellStyle name="Normal 158" xfId="10562" xr:uid="{00000000-0005-0000-0000-0000581E0000}"/>
    <cellStyle name="Normal 159" xfId="10563" xr:uid="{00000000-0005-0000-0000-0000591E0000}"/>
    <cellStyle name="Normal 16" xfId="613" xr:uid="{00000000-0005-0000-0000-0000FC010000}"/>
    <cellStyle name="Normal 16 10" xfId="10564" xr:uid="{00000000-0005-0000-0000-00005B1E0000}"/>
    <cellStyle name="Normal 16 2" xfId="614" xr:uid="{00000000-0005-0000-0000-0000FD010000}"/>
    <cellStyle name="Normal 16 2 2" xfId="10565" xr:uid="{00000000-0005-0000-0000-00005D1E0000}"/>
    <cellStyle name="Normal 16 2 2 2" xfId="10566" xr:uid="{00000000-0005-0000-0000-00005E1E0000}"/>
    <cellStyle name="Normal 16 2 3" xfId="10567" xr:uid="{00000000-0005-0000-0000-00005F1E0000}"/>
    <cellStyle name="Normal 16 2 4" xfId="10568" xr:uid="{00000000-0005-0000-0000-0000601E0000}"/>
    <cellStyle name="Normal 16 2 5" xfId="5385" xr:uid="{00000000-0005-0000-0000-00005C1E0000}"/>
    <cellStyle name="Normal 16 3" xfId="10569" xr:uid="{00000000-0005-0000-0000-0000611E0000}"/>
    <cellStyle name="Normal 16 3 2" xfId="10570" xr:uid="{00000000-0005-0000-0000-0000621E0000}"/>
    <cellStyle name="Normal 16 4" xfId="10571" xr:uid="{00000000-0005-0000-0000-0000631E0000}"/>
    <cellStyle name="Normal 16 4 2" xfId="10572" xr:uid="{00000000-0005-0000-0000-0000641E0000}"/>
    <cellStyle name="Normal 16 5" xfId="10573" xr:uid="{00000000-0005-0000-0000-0000651E0000}"/>
    <cellStyle name="Normal 16 5 2" xfId="10574" xr:uid="{00000000-0005-0000-0000-0000661E0000}"/>
    <cellStyle name="Normal 16 5 2 2" xfId="10575" xr:uid="{00000000-0005-0000-0000-0000671E0000}"/>
    <cellStyle name="Normal 16 5 2 2 2" xfId="10576" xr:uid="{00000000-0005-0000-0000-0000681E0000}"/>
    <cellStyle name="Normal 16 5 2 2 3" xfId="10577" xr:uid="{00000000-0005-0000-0000-0000691E0000}"/>
    <cellStyle name="Normal 16 5 2 3" xfId="10578" xr:uid="{00000000-0005-0000-0000-00006A1E0000}"/>
    <cellStyle name="Normal 16 5 2 4" xfId="10579" xr:uid="{00000000-0005-0000-0000-00006B1E0000}"/>
    <cellStyle name="Normal 16 5 3" xfId="10580" xr:uid="{00000000-0005-0000-0000-00006C1E0000}"/>
    <cellStyle name="Normal 16 5 3 2" xfId="10581" xr:uid="{00000000-0005-0000-0000-00006D1E0000}"/>
    <cellStyle name="Normal 16 5 3 3" xfId="10582" xr:uid="{00000000-0005-0000-0000-00006E1E0000}"/>
    <cellStyle name="Normal 16 5 4" xfId="10583" xr:uid="{00000000-0005-0000-0000-00006F1E0000}"/>
    <cellStyle name="Normal 16 5 5" xfId="10584" xr:uid="{00000000-0005-0000-0000-0000701E0000}"/>
    <cellStyle name="Normal 16 6" xfId="10585" xr:uid="{00000000-0005-0000-0000-0000711E0000}"/>
    <cellStyle name="Normal 16 6 2" xfId="10586" xr:uid="{00000000-0005-0000-0000-0000721E0000}"/>
    <cellStyle name="Normal 16 6 2 2" xfId="10587" xr:uid="{00000000-0005-0000-0000-0000731E0000}"/>
    <cellStyle name="Normal 16 6 2 3" xfId="10588" xr:uid="{00000000-0005-0000-0000-0000741E0000}"/>
    <cellStyle name="Normal 16 6 3" xfId="10589" xr:uid="{00000000-0005-0000-0000-0000751E0000}"/>
    <cellStyle name="Normal 16 6 4" xfId="10590" xr:uid="{00000000-0005-0000-0000-0000761E0000}"/>
    <cellStyle name="Normal 16 7" xfId="10591" xr:uid="{00000000-0005-0000-0000-0000771E0000}"/>
    <cellStyle name="Normal 16 8" xfId="10592" xr:uid="{00000000-0005-0000-0000-0000781E0000}"/>
    <cellStyle name="Normal 16 8 2" xfId="10593" xr:uid="{00000000-0005-0000-0000-0000791E0000}"/>
    <cellStyle name="Normal 16 9" xfId="10594" xr:uid="{00000000-0005-0000-0000-00007A1E0000}"/>
    <cellStyle name="Normal 16_App b.3 Unspent_" xfId="615" xr:uid="{00000000-0005-0000-0000-0000FE010000}"/>
    <cellStyle name="Normal 160" xfId="10595" xr:uid="{00000000-0005-0000-0000-00007B1E0000}"/>
    <cellStyle name="Normal 161" xfId="10596" xr:uid="{00000000-0005-0000-0000-00007C1E0000}"/>
    <cellStyle name="Normal 162" xfId="10597" xr:uid="{00000000-0005-0000-0000-00007D1E0000}"/>
    <cellStyle name="Normal 163" xfId="10598" xr:uid="{00000000-0005-0000-0000-00007E1E0000}"/>
    <cellStyle name="Normal 164" xfId="10599" xr:uid="{00000000-0005-0000-0000-00007F1E0000}"/>
    <cellStyle name="Normal 165" xfId="5275" xr:uid="{00000000-0005-0000-0000-0000801E0000}"/>
    <cellStyle name="Normal 165 3 4" xfId="10600" xr:uid="{00000000-0005-0000-0000-0000811E0000}"/>
    <cellStyle name="Normal 166" xfId="10601" xr:uid="{00000000-0005-0000-0000-0000821E0000}"/>
    <cellStyle name="Normal 167" xfId="10602" xr:uid="{00000000-0005-0000-0000-0000831E0000}"/>
    <cellStyle name="Normal 168" xfId="5274" xr:uid="{00000000-0005-0000-0000-0000841E0000}"/>
    <cellStyle name="Normal 169" xfId="10603" xr:uid="{00000000-0005-0000-0000-0000851E0000}"/>
    <cellStyle name="Normal 17" xfId="616" xr:uid="{00000000-0005-0000-0000-0000FF010000}"/>
    <cellStyle name="Normal 17 2" xfId="617" xr:uid="{00000000-0005-0000-0000-000000020000}"/>
    <cellStyle name="Normal 17 2 2" xfId="10604" xr:uid="{00000000-0005-0000-0000-0000881E0000}"/>
    <cellStyle name="Normal 17 2 2 2" xfId="10605" xr:uid="{00000000-0005-0000-0000-0000891E0000}"/>
    <cellStyle name="Normal 17 2 3" xfId="10606" xr:uid="{00000000-0005-0000-0000-00008A1E0000}"/>
    <cellStyle name="Normal 17 2 4" xfId="5383" xr:uid="{00000000-0005-0000-0000-0000871E0000}"/>
    <cellStyle name="Normal 17 3" xfId="5382" xr:uid="{00000000-0005-0000-0000-00008B1E0000}"/>
    <cellStyle name="Normal 17 3 2" xfId="10607" xr:uid="{00000000-0005-0000-0000-00008C1E0000}"/>
    <cellStyle name="Normal 17 3 2 2" xfId="10608" xr:uid="{00000000-0005-0000-0000-00008D1E0000}"/>
    <cellStyle name="Normal 17 3 2 2 2" xfId="10609" xr:uid="{00000000-0005-0000-0000-00008E1E0000}"/>
    <cellStyle name="Normal 17 3 2 2 3" xfId="10610" xr:uid="{00000000-0005-0000-0000-00008F1E0000}"/>
    <cellStyle name="Normal 17 3 2 3" xfId="10611" xr:uid="{00000000-0005-0000-0000-0000901E0000}"/>
    <cellStyle name="Normal 17 3 2 4" xfId="10612" xr:uid="{00000000-0005-0000-0000-0000911E0000}"/>
    <cellStyle name="Normal 17 3 3" xfId="10613" xr:uid="{00000000-0005-0000-0000-0000921E0000}"/>
    <cellStyle name="Normal 17 3 3 2" xfId="10614" xr:uid="{00000000-0005-0000-0000-0000931E0000}"/>
    <cellStyle name="Normal 17 3 3 3" xfId="10615" xr:uid="{00000000-0005-0000-0000-0000941E0000}"/>
    <cellStyle name="Normal 17 3 4" xfId="10616" xr:uid="{00000000-0005-0000-0000-0000951E0000}"/>
    <cellStyle name="Normal 17 3 5" xfId="10617" xr:uid="{00000000-0005-0000-0000-0000961E0000}"/>
    <cellStyle name="Normal 17 3 6" xfId="10618" xr:uid="{00000000-0005-0000-0000-0000971E0000}"/>
    <cellStyle name="Normal 17 4" xfId="5381" xr:uid="{00000000-0005-0000-0000-0000981E0000}"/>
    <cellStyle name="Normal 17 4 2" xfId="10619" xr:uid="{00000000-0005-0000-0000-0000991E0000}"/>
    <cellStyle name="Normal 17 4 3" xfId="10620" xr:uid="{00000000-0005-0000-0000-00009A1E0000}"/>
    <cellStyle name="Normal 17 5" xfId="10621" xr:uid="{00000000-0005-0000-0000-00009B1E0000}"/>
    <cellStyle name="Normal 17 5 2" xfId="10622" xr:uid="{00000000-0005-0000-0000-00009C1E0000}"/>
    <cellStyle name="Normal 17 5 2 2" xfId="10623" xr:uid="{00000000-0005-0000-0000-00009D1E0000}"/>
    <cellStyle name="Normal 17 5 2 3" xfId="10624" xr:uid="{00000000-0005-0000-0000-00009E1E0000}"/>
    <cellStyle name="Normal 17 5 3" xfId="10625" xr:uid="{00000000-0005-0000-0000-00009F1E0000}"/>
    <cellStyle name="Normal 17 5 4" xfId="10626" xr:uid="{00000000-0005-0000-0000-0000A01E0000}"/>
    <cellStyle name="Normal 17 5 5" xfId="10627" xr:uid="{00000000-0005-0000-0000-0000A11E0000}"/>
    <cellStyle name="Normal 17 6" xfId="10628" xr:uid="{00000000-0005-0000-0000-0000A21E0000}"/>
    <cellStyle name="Normal 17 7" xfId="10629" xr:uid="{00000000-0005-0000-0000-0000A31E0000}"/>
    <cellStyle name="Normal 17 8" xfId="10630" xr:uid="{00000000-0005-0000-0000-0000A41E0000}"/>
    <cellStyle name="Normal 17 8 2" xfId="10631" xr:uid="{00000000-0005-0000-0000-0000A51E0000}"/>
    <cellStyle name="Normal 17 9" xfId="5384" xr:uid="{00000000-0005-0000-0000-0000861E0000}"/>
    <cellStyle name="Normal 17_App b.3 Unspent_" xfId="618" xr:uid="{00000000-0005-0000-0000-000001020000}"/>
    <cellStyle name="Normal 170" xfId="10632" xr:uid="{00000000-0005-0000-0000-0000A61E0000}"/>
    <cellStyle name="Normal 171" xfId="10633" xr:uid="{00000000-0005-0000-0000-0000A71E0000}"/>
    <cellStyle name="Normal 172" xfId="10634" xr:uid="{00000000-0005-0000-0000-0000A81E0000}"/>
    <cellStyle name="Normal 173" xfId="10635" xr:uid="{00000000-0005-0000-0000-0000A91E0000}"/>
    <cellStyle name="Normal 174" xfId="10636" xr:uid="{00000000-0005-0000-0000-0000AA1E0000}"/>
    <cellStyle name="Normal 175" xfId="10637" xr:uid="{00000000-0005-0000-0000-0000AB1E0000}"/>
    <cellStyle name="Normal 176" xfId="10638" xr:uid="{00000000-0005-0000-0000-0000AC1E0000}"/>
    <cellStyle name="Normal 177" xfId="10639" xr:uid="{00000000-0005-0000-0000-0000AD1E0000}"/>
    <cellStyle name="Normal 178" xfId="10640" xr:uid="{00000000-0005-0000-0000-0000AE1E0000}"/>
    <cellStyle name="Normal 179" xfId="10641" xr:uid="{00000000-0005-0000-0000-0000AF1E0000}"/>
    <cellStyle name="Normal 18" xfId="619" xr:uid="{00000000-0005-0000-0000-000002020000}"/>
    <cellStyle name="Normal 18 2" xfId="5606" xr:uid="{00000000-0005-0000-0000-0000B11E0000}"/>
    <cellStyle name="Normal 18 2 2" xfId="10642" xr:uid="{00000000-0005-0000-0000-0000B21E0000}"/>
    <cellStyle name="Normal 18 3" xfId="16" xr:uid="{00000000-0005-0000-0000-00000B000000}"/>
    <cellStyle name="Normal 18 3 2" xfId="118" xr:uid="{00000000-0005-0000-0000-00000B000000}"/>
    <cellStyle name="Normal 18 3 2 2" xfId="10644" xr:uid="{00000000-0005-0000-0000-0000B41E0000}"/>
    <cellStyle name="Normal 18 3 3" xfId="17" xr:uid="{00000000-0005-0000-0000-00000C000000}"/>
    <cellStyle name="Normal 18 3 3 2" xfId="119" xr:uid="{00000000-0005-0000-0000-00000C000000}"/>
    <cellStyle name="Normal 18 3 3 3" xfId="10645" xr:uid="{00000000-0005-0000-0000-0000B51E0000}"/>
    <cellStyle name="Normal 18 3 4" xfId="10643" xr:uid="{00000000-0005-0000-0000-0000B31E0000}"/>
    <cellStyle name="Normal 18 4" xfId="10646" xr:uid="{00000000-0005-0000-0000-0000B61E0000}"/>
    <cellStyle name="Normal 18 4 2" xfId="10647" xr:uid="{00000000-0005-0000-0000-0000B71E0000}"/>
    <cellStyle name="Normal 18 4 2 2" xfId="10648" xr:uid="{00000000-0005-0000-0000-0000B81E0000}"/>
    <cellStyle name="Normal 18 4 2 2 2" xfId="10649" xr:uid="{00000000-0005-0000-0000-0000B91E0000}"/>
    <cellStyle name="Normal 18 4 2 2 3" xfId="10650" xr:uid="{00000000-0005-0000-0000-0000BA1E0000}"/>
    <cellStyle name="Normal 18 4 2 3" xfId="10651" xr:uid="{00000000-0005-0000-0000-0000BB1E0000}"/>
    <cellStyle name="Normal 18 4 2 4" xfId="10652" xr:uid="{00000000-0005-0000-0000-0000BC1E0000}"/>
    <cellStyle name="Normal 18 4 3" xfId="10653" xr:uid="{00000000-0005-0000-0000-0000BD1E0000}"/>
    <cellStyle name="Normal 18 4 3 2" xfId="10654" xr:uid="{00000000-0005-0000-0000-0000BE1E0000}"/>
    <cellStyle name="Normal 18 4 3 3" xfId="10655" xr:uid="{00000000-0005-0000-0000-0000BF1E0000}"/>
    <cellStyle name="Normal 18 4 4" xfId="10656" xr:uid="{00000000-0005-0000-0000-0000C01E0000}"/>
    <cellStyle name="Normal 18 4 5" xfId="10657" xr:uid="{00000000-0005-0000-0000-0000C11E0000}"/>
    <cellStyle name="Normal 18 5" xfId="10658" xr:uid="{00000000-0005-0000-0000-0000C21E0000}"/>
    <cellStyle name="Normal 18 6" xfId="10659" xr:uid="{00000000-0005-0000-0000-0000C31E0000}"/>
    <cellStyle name="Normal 18 7" xfId="10660" xr:uid="{00000000-0005-0000-0000-0000C41E0000}"/>
    <cellStyle name="Normal 18 8" xfId="5380" xr:uid="{00000000-0005-0000-0000-0000B01E0000}"/>
    <cellStyle name="Normal 180" xfId="10661" xr:uid="{00000000-0005-0000-0000-0000C51E0000}"/>
    <cellStyle name="Normal 181" xfId="10662" xr:uid="{00000000-0005-0000-0000-0000C61E0000}"/>
    <cellStyle name="Normal 182" xfId="10663" xr:uid="{00000000-0005-0000-0000-0000C71E0000}"/>
    <cellStyle name="Normal 183" xfId="10664" xr:uid="{00000000-0005-0000-0000-0000C81E0000}"/>
    <cellStyle name="Normal 184" xfId="10665" xr:uid="{00000000-0005-0000-0000-0000C91E0000}"/>
    <cellStyle name="Normal 185" xfId="10666" xr:uid="{00000000-0005-0000-0000-0000CA1E0000}"/>
    <cellStyle name="Normal 186" xfId="10667" xr:uid="{00000000-0005-0000-0000-0000CB1E0000}"/>
    <cellStyle name="Normal 187" xfId="10668" xr:uid="{00000000-0005-0000-0000-0000CC1E0000}"/>
    <cellStyle name="Normal 188" xfId="10669" xr:uid="{00000000-0005-0000-0000-0000CD1E0000}"/>
    <cellStyle name="Normal 189" xfId="10670" xr:uid="{00000000-0005-0000-0000-0000CE1E0000}"/>
    <cellStyle name="Normal 19" xfId="620" xr:uid="{00000000-0005-0000-0000-000003020000}"/>
    <cellStyle name="Normal 19 2" xfId="621" xr:uid="{00000000-0005-0000-0000-000004020000}"/>
    <cellStyle name="Normal 19 2 2" xfId="10671" xr:uid="{00000000-0005-0000-0000-0000D11E0000}"/>
    <cellStyle name="Normal 19 2 2 2" xfId="10672" xr:uid="{00000000-0005-0000-0000-0000D21E0000}"/>
    <cellStyle name="Normal 19 2 2 2 2" xfId="10673" xr:uid="{00000000-0005-0000-0000-0000D31E0000}"/>
    <cellStyle name="Normal 19 2 2 2 3" xfId="10674" xr:uid="{00000000-0005-0000-0000-0000D41E0000}"/>
    <cellStyle name="Normal 19 2 2 3" xfId="10675" xr:uid="{00000000-0005-0000-0000-0000D51E0000}"/>
    <cellStyle name="Normal 19 2 2 4" xfId="10676" xr:uid="{00000000-0005-0000-0000-0000D61E0000}"/>
    <cellStyle name="Normal 19 2 3" xfId="10677" xr:uid="{00000000-0005-0000-0000-0000D71E0000}"/>
    <cellStyle name="Normal 19 2 3 2" xfId="10678" xr:uid="{00000000-0005-0000-0000-0000D81E0000}"/>
    <cellStyle name="Normal 19 2 3 3" xfId="10679" xr:uid="{00000000-0005-0000-0000-0000D91E0000}"/>
    <cellStyle name="Normal 19 2 4" xfId="10680" xr:uid="{00000000-0005-0000-0000-0000DA1E0000}"/>
    <cellStyle name="Normal 19 2 4 2" xfId="10681" xr:uid="{00000000-0005-0000-0000-0000DB1E0000}"/>
    <cellStyle name="Normal 19 2 5" xfId="10682" xr:uid="{00000000-0005-0000-0000-0000DC1E0000}"/>
    <cellStyle name="Normal 19 2 6" xfId="10683" xr:uid="{00000000-0005-0000-0000-0000DD1E0000}"/>
    <cellStyle name="Normal 19 2 7" xfId="5379" xr:uid="{00000000-0005-0000-0000-0000D01E0000}"/>
    <cellStyle name="Normal 19 3" xfId="18" xr:uid="{00000000-0005-0000-0000-00000D000000}"/>
    <cellStyle name="Normal 19 3 2" xfId="120" xr:uid="{00000000-0005-0000-0000-00000D000000}"/>
    <cellStyle name="Normal 19 3 2 2" xfId="10685" xr:uid="{00000000-0005-0000-0000-0000DF1E0000}"/>
    <cellStyle name="Normal 19 3 3" xfId="10686" xr:uid="{00000000-0005-0000-0000-0000E01E0000}"/>
    <cellStyle name="Normal 19 3 4" xfId="10684" xr:uid="{00000000-0005-0000-0000-0000DE1E0000}"/>
    <cellStyle name="Normal 19 4" xfId="5536" xr:uid="{00000000-0005-0000-0000-0000CF1E0000}"/>
    <cellStyle name="Normal 19_App b.3 Unspent_" xfId="622" xr:uid="{00000000-0005-0000-0000-000005020000}"/>
    <cellStyle name="Normal 190" xfId="10687" xr:uid="{00000000-0005-0000-0000-0000E11E0000}"/>
    <cellStyle name="Normal 191" xfId="10688" xr:uid="{00000000-0005-0000-0000-0000E21E0000}"/>
    <cellStyle name="Normal 192" xfId="10689" xr:uid="{00000000-0005-0000-0000-0000E31E0000}"/>
    <cellStyle name="Normal 193" xfId="10690" xr:uid="{00000000-0005-0000-0000-0000E41E0000}"/>
    <cellStyle name="Normal 194" xfId="10691" xr:uid="{00000000-0005-0000-0000-0000E51E0000}"/>
    <cellStyle name="Normal 195" xfId="10692" xr:uid="{00000000-0005-0000-0000-0000E61E0000}"/>
    <cellStyle name="Normal 196" xfId="10693" xr:uid="{00000000-0005-0000-0000-0000E71E0000}"/>
    <cellStyle name="Normal 197" xfId="10694" xr:uid="{00000000-0005-0000-0000-0000E81E0000}"/>
    <cellStyle name="Normal 198" xfId="5273" xr:uid="{00000000-0005-0000-0000-0000E91E0000}"/>
    <cellStyle name="Normal 199" xfId="10695" xr:uid="{00000000-0005-0000-0000-0000EA1E0000}"/>
    <cellStyle name="Normal 2" xfId="1" xr:uid="{00000000-0005-0000-0000-00000E000000}"/>
    <cellStyle name="Normal 2 10" xfId="623" xr:uid="{00000000-0005-0000-0000-000007020000}"/>
    <cellStyle name="Normal 2 10 10" xfId="624" xr:uid="{00000000-0005-0000-0000-000008020000}"/>
    <cellStyle name="Normal 2 10 10 2" xfId="14" xr:uid="{00000000-0005-0000-0000-00000F000000}"/>
    <cellStyle name="Normal 2 10 10 3" xfId="10696" xr:uid="{00000000-0005-0000-0000-0000EF1E0000}"/>
    <cellStyle name="Normal 2 10 11" xfId="626" xr:uid="{00000000-0005-0000-0000-00000A020000}"/>
    <cellStyle name="Normal 2 10 11 2" xfId="10697" xr:uid="{00000000-0005-0000-0000-0000F11E0000}"/>
    <cellStyle name="Normal 2 10 12" xfId="627" xr:uid="{00000000-0005-0000-0000-00000B020000}"/>
    <cellStyle name="Normal 2 10 12 2" xfId="10698" xr:uid="{00000000-0005-0000-0000-0000F31E0000}"/>
    <cellStyle name="Normal 2 10 13" xfId="628" xr:uid="{00000000-0005-0000-0000-00000C020000}"/>
    <cellStyle name="Normal 2 10 13 2" xfId="10699" xr:uid="{00000000-0005-0000-0000-0000F51E0000}"/>
    <cellStyle name="Normal 2 10 14" xfId="629" xr:uid="{00000000-0005-0000-0000-00000D020000}"/>
    <cellStyle name="Normal 2 10 14 2" xfId="10700" xr:uid="{00000000-0005-0000-0000-0000F71E0000}"/>
    <cellStyle name="Normal 2 10 15" xfId="630" xr:uid="{00000000-0005-0000-0000-00000E020000}"/>
    <cellStyle name="Normal 2 10 15 2" xfId="10701" xr:uid="{00000000-0005-0000-0000-0000F91E0000}"/>
    <cellStyle name="Normal 2 10 16" xfId="631" xr:uid="{00000000-0005-0000-0000-00000F020000}"/>
    <cellStyle name="Normal 2 10 16 2" xfId="10702" xr:uid="{00000000-0005-0000-0000-0000FB1E0000}"/>
    <cellStyle name="Normal 2 10 17" xfId="632" xr:uid="{00000000-0005-0000-0000-000010020000}"/>
    <cellStyle name="Normal 2 10 17 2" xfId="10703" xr:uid="{00000000-0005-0000-0000-0000FD1E0000}"/>
    <cellStyle name="Normal 2 10 18" xfId="633" xr:uid="{00000000-0005-0000-0000-000011020000}"/>
    <cellStyle name="Normal 2 10 18 2" xfId="10704" xr:uid="{00000000-0005-0000-0000-0000FF1E0000}"/>
    <cellStyle name="Normal 2 10 19" xfId="634" xr:uid="{00000000-0005-0000-0000-000012020000}"/>
    <cellStyle name="Normal 2 10 19 2" xfId="10705" xr:uid="{00000000-0005-0000-0000-0000011F0000}"/>
    <cellStyle name="Normal 2 10 2" xfId="635" xr:uid="{00000000-0005-0000-0000-000013020000}"/>
    <cellStyle name="Normal 2 10 2 2" xfId="10706" xr:uid="{00000000-0005-0000-0000-0000031F0000}"/>
    <cellStyle name="Normal 2 10 20" xfId="636" xr:uid="{00000000-0005-0000-0000-000014020000}"/>
    <cellStyle name="Normal 2 10 20 2" xfId="10707" xr:uid="{00000000-0005-0000-0000-0000051F0000}"/>
    <cellStyle name="Normal 2 10 21" xfId="637" xr:uid="{00000000-0005-0000-0000-000015020000}"/>
    <cellStyle name="Normal 2 10 21 2" xfId="10708" xr:uid="{00000000-0005-0000-0000-0000071F0000}"/>
    <cellStyle name="Normal 2 10 22" xfId="638" xr:uid="{00000000-0005-0000-0000-000016020000}"/>
    <cellStyle name="Normal 2 10 22 2" xfId="10709" xr:uid="{00000000-0005-0000-0000-0000091F0000}"/>
    <cellStyle name="Normal 2 10 23" xfId="639" xr:uid="{00000000-0005-0000-0000-000017020000}"/>
    <cellStyle name="Normal 2 10 23 2" xfId="10710" xr:uid="{00000000-0005-0000-0000-00000B1F0000}"/>
    <cellStyle name="Normal 2 10 24" xfId="10711" xr:uid="{00000000-0005-0000-0000-00000C1F0000}"/>
    <cellStyle name="Normal 2 10 24 2" xfId="10712" xr:uid="{00000000-0005-0000-0000-00000D1F0000}"/>
    <cellStyle name="Normal 2 10 3" xfId="640" xr:uid="{00000000-0005-0000-0000-000018020000}"/>
    <cellStyle name="Normal 2 10 3 2" xfId="10713" xr:uid="{00000000-0005-0000-0000-00000F1F0000}"/>
    <cellStyle name="Normal 2 10 4" xfId="641" xr:uid="{00000000-0005-0000-0000-000019020000}"/>
    <cellStyle name="Normal 2 10 4 2" xfId="10714" xr:uid="{00000000-0005-0000-0000-0000111F0000}"/>
    <cellStyle name="Normal 2 10 5" xfId="642" xr:uid="{00000000-0005-0000-0000-00001A020000}"/>
    <cellStyle name="Normal 2 10 5 2" xfId="10715" xr:uid="{00000000-0005-0000-0000-0000131F0000}"/>
    <cellStyle name="Normal 2 10 6" xfId="643" xr:uid="{00000000-0005-0000-0000-00001B020000}"/>
    <cellStyle name="Normal 2 10 6 2" xfId="10716" xr:uid="{00000000-0005-0000-0000-0000151F0000}"/>
    <cellStyle name="Normal 2 10 7" xfId="644" xr:uid="{00000000-0005-0000-0000-00001C020000}"/>
    <cellStyle name="Normal 2 10 7 2" xfId="10717" xr:uid="{00000000-0005-0000-0000-0000171F0000}"/>
    <cellStyle name="Normal 2 10 8" xfId="645" xr:uid="{00000000-0005-0000-0000-00001D020000}"/>
    <cellStyle name="Normal 2 10 8 2" xfId="10718" xr:uid="{00000000-0005-0000-0000-0000191F0000}"/>
    <cellStyle name="Normal 2 10 9" xfId="646" xr:uid="{00000000-0005-0000-0000-00001E020000}"/>
    <cellStyle name="Normal 2 10 9 2" xfId="10719" xr:uid="{00000000-0005-0000-0000-00001B1F0000}"/>
    <cellStyle name="Normal 2 10_App b.3 Unspent_" xfId="647" xr:uid="{00000000-0005-0000-0000-00001F020000}"/>
    <cellStyle name="Normal 2 100" xfId="10720" xr:uid="{00000000-0005-0000-0000-00001C1F0000}"/>
    <cellStyle name="Normal 2 101" xfId="5497" xr:uid="{00000000-0005-0000-0000-0000EB1E0000}"/>
    <cellStyle name="Normal 2 102" xfId="15896" xr:uid="{00000000-0005-0000-0000-0000EB1E0000}"/>
    <cellStyle name="Normal 2 11" xfId="648" xr:uid="{00000000-0005-0000-0000-000020020000}"/>
    <cellStyle name="Normal 2 11 10" xfId="649" xr:uid="{00000000-0005-0000-0000-000021020000}"/>
    <cellStyle name="Normal 2 11 10 2" xfId="10721" xr:uid="{00000000-0005-0000-0000-00001F1F0000}"/>
    <cellStyle name="Normal 2 11 11" xfId="650" xr:uid="{00000000-0005-0000-0000-000022020000}"/>
    <cellStyle name="Normal 2 11 11 2" xfId="10722" xr:uid="{00000000-0005-0000-0000-0000211F0000}"/>
    <cellStyle name="Normal 2 11 12" xfId="651" xr:uid="{00000000-0005-0000-0000-000023020000}"/>
    <cellStyle name="Normal 2 11 12 2" xfId="10723" xr:uid="{00000000-0005-0000-0000-0000231F0000}"/>
    <cellStyle name="Normal 2 11 13" xfId="652" xr:uid="{00000000-0005-0000-0000-000024020000}"/>
    <cellStyle name="Normal 2 11 13 2" xfId="10724" xr:uid="{00000000-0005-0000-0000-0000251F0000}"/>
    <cellStyle name="Normal 2 11 14" xfId="653" xr:uid="{00000000-0005-0000-0000-000025020000}"/>
    <cellStyle name="Normal 2 11 14 2" xfId="10725" xr:uid="{00000000-0005-0000-0000-0000271F0000}"/>
    <cellStyle name="Normal 2 11 15" xfId="654" xr:uid="{00000000-0005-0000-0000-000026020000}"/>
    <cellStyle name="Normal 2 11 15 2" xfId="10726" xr:uid="{00000000-0005-0000-0000-0000291F0000}"/>
    <cellStyle name="Normal 2 11 16" xfId="655" xr:uid="{00000000-0005-0000-0000-000027020000}"/>
    <cellStyle name="Normal 2 11 16 2" xfId="10727" xr:uid="{00000000-0005-0000-0000-00002B1F0000}"/>
    <cellStyle name="Normal 2 11 17" xfId="656" xr:uid="{00000000-0005-0000-0000-000028020000}"/>
    <cellStyle name="Normal 2 11 17 2" xfId="10728" xr:uid="{00000000-0005-0000-0000-00002D1F0000}"/>
    <cellStyle name="Normal 2 11 18" xfId="657" xr:uid="{00000000-0005-0000-0000-000029020000}"/>
    <cellStyle name="Normal 2 11 18 2" xfId="10729" xr:uid="{00000000-0005-0000-0000-00002F1F0000}"/>
    <cellStyle name="Normal 2 11 19" xfId="658" xr:uid="{00000000-0005-0000-0000-00002A020000}"/>
    <cellStyle name="Normal 2 11 19 2" xfId="10730" xr:uid="{00000000-0005-0000-0000-0000311F0000}"/>
    <cellStyle name="Normal 2 11 2" xfId="659" xr:uid="{00000000-0005-0000-0000-00002B020000}"/>
    <cellStyle name="Normal 2 11 2 2" xfId="10731" xr:uid="{00000000-0005-0000-0000-0000331F0000}"/>
    <cellStyle name="Normal 2 11 2 3" xfId="10732" xr:uid="{00000000-0005-0000-0000-0000341F0000}"/>
    <cellStyle name="Normal 2 11 2 4" xfId="10733" xr:uid="{00000000-0005-0000-0000-0000351F0000}"/>
    <cellStyle name="Normal 2 11 20" xfId="660" xr:uid="{00000000-0005-0000-0000-00002C020000}"/>
    <cellStyle name="Normal 2 11 20 2" xfId="10734" xr:uid="{00000000-0005-0000-0000-0000371F0000}"/>
    <cellStyle name="Normal 2 11 21" xfId="661" xr:uid="{00000000-0005-0000-0000-00002D020000}"/>
    <cellStyle name="Normal 2 11 21 2" xfId="10735" xr:uid="{00000000-0005-0000-0000-0000391F0000}"/>
    <cellStyle name="Normal 2 11 22" xfId="662" xr:uid="{00000000-0005-0000-0000-00002E020000}"/>
    <cellStyle name="Normal 2 11 22 2" xfId="10736" xr:uid="{00000000-0005-0000-0000-00003B1F0000}"/>
    <cellStyle name="Normal 2 11 23" xfId="663" xr:uid="{00000000-0005-0000-0000-00002F020000}"/>
    <cellStyle name="Normal 2 11 23 2" xfId="10737" xr:uid="{00000000-0005-0000-0000-00003D1F0000}"/>
    <cellStyle name="Normal 2 11 24" xfId="10738" xr:uid="{00000000-0005-0000-0000-00003E1F0000}"/>
    <cellStyle name="Normal 2 11 24 2" xfId="10739" xr:uid="{00000000-0005-0000-0000-00003F1F0000}"/>
    <cellStyle name="Normal 2 11 24 3" xfId="10740" xr:uid="{00000000-0005-0000-0000-0000401F0000}"/>
    <cellStyle name="Normal 2 11 25" xfId="10741" xr:uid="{00000000-0005-0000-0000-0000411F0000}"/>
    <cellStyle name="Normal 2 11 25 2" xfId="10742" xr:uid="{00000000-0005-0000-0000-0000421F0000}"/>
    <cellStyle name="Normal 2 11 25 2 2" xfId="10743" xr:uid="{00000000-0005-0000-0000-0000431F0000}"/>
    <cellStyle name="Normal 2 11 25 2 3" xfId="10744" xr:uid="{00000000-0005-0000-0000-0000441F0000}"/>
    <cellStyle name="Normal 2 11 25 3" xfId="10745" xr:uid="{00000000-0005-0000-0000-0000451F0000}"/>
    <cellStyle name="Normal 2 11 25 4" xfId="10746" xr:uid="{00000000-0005-0000-0000-0000461F0000}"/>
    <cellStyle name="Normal 2 11 26" xfId="10747" xr:uid="{00000000-0005-0000-0000-0000471F0000}"/>
    <cellStyle name="Normal 2 11 26 2" xfId="10748" xr:uid="{00000000-0005-0000-0000-0000481F0000}"/>
    <cellStyle name="Normal 2 11 26 3" xfId="10749" xr:uid="{00000000-0005-0000-0000-0000491F0000}"/>
    <cellStyle name="Normal 2 11 27" xfId="10750" xr:uid="{00000000-0005-0000-0000-00004A1F0000}"/>
    <cellStyle name="Normal 2 11 28" xfId="10751" xr:uid="{00000000-0005-0000-0000-00004B1F0000}"/>
    <cellStyle name="Normal 2 11 29" xfId="20117" xr:uid="{00000000-0005-0000-0000-00004C1F0000}"/>
    <cellStyle name="Normal 2 11 3" xfId="664" xr:uid="{00000000-0005-0000-0000-000030020000}"/>
    <cellStyle name="Normal 2 11 3 2" xfId="10752" xr:uid="{00000000-0005-0000-0000-00004E1F0000}"/>
    <cellStyle name="Normal 2 11 30" xfId="5292" xr:uid="{00000000-0005-0000-0000-00001D1F0000}"/>
    <cellStyle name="Normal 2 11 4" xfId="665" xr:uid="{00000000-0005-0000-0000-000031020000}"/>
    <cellStyle name="Normal 2 11 4 2" xfId="10753" xr:uid="{00000000-0005-0000-0000-0000501F0000}"/>
    <cellStyle name="Normal 2 11 5" xfId="666" xr:uid="{00000000-0005-0000-0000-000032020000}"/>
    <cellStyle name="Normal 2 11 5 2" xfId="10754" xr:uid="{00000000-0005-0000-0000-0000521F0000}"/>
    <cellStyle name="Normal 2 11 6" xfId="667" xr:uid="{00000000-0005-0000-0000-000033020000}"/>
    <cellStyle name="Normal 2 11 6 2" xfId="10755" xr:uid="{00000000-0005-0000-0000-0000541F0000}"/>
    <cellStyle name="Normal 2 11 7" xfId="668" xr:uid="{00000000-0005-0000-0000-000034020000}"/>
    <cellStyle name="Normal 2 11 7 2" xfId="10756" xr:uid="{00000000-0005-0000-0000-0000561F0000}"/>
    <cellStyle name="Normal 2 11 8" xfId="669" xr:uid="{00000000-0005-0000-0000-000035020000}"/>
    <cellStyle name="Normal 2 11 8 2" xfId="10757" xr:uid="{00000000-0005-0000-0000-0000581F0000}"/>
    <cellStyle name="Normal 2 11 9" xfId="670" xr:uid="{00000000-0005-0000-0000-000036020000}"/>
    <cellStyle name="Normal 2 11 9 2" xfId="10758" xr:uid="{00000000-0005-0000-0000-00005A1F0000}"/>
    <cellStyle name="Normal 2 12" xfId="671" xr:uid="{00000000-0005-0000-0000-000037020000}"/>
    <cellStyle name="Normal 2 12 10" xfId="672" xr:uid="{00000000-0005-0000-0000-000038020000}"/>
    <cellStyle name="Normal 2 12 10 2" xfId="10759" xr:uid="{00000000-0005-0000-0000-00005D1F0000}"/>
    <cellStyle name="Normal 2 12 11" xfId="673" xr:uid="{00000000-0005-0000-0000-000039020000}"/>
    <cellStyle name="Normal 2 12 11 2" xfId="10760" xr:uid="{00000000-0005-0000-0000-00005F1F0000}"/>
    <cellStyle name="Normal 2 12 12" xfId="674" xr:uid="{00000000-0005-0000-0000-00003A020000}"/>
    <cellStyle name="Normal 2 12 12 2" xfId="10761" xr:uid="{00000000-0005-0000-0000-0000611F0000}"/>
    <cellStyle name="Normal 2 12 13" xfId="675" xr:uid="{00000000-0005-0000-0000-00003B020000}"/>
    <cellStyle name="Normal 2 12 13 2" xfId="10762" xr:uid="{00000000-0005-0000-0000-0000631F0000}"/>
    <cellStyle name="Normal 2 12 14" xfId="676" xr:uid="{00000000-0005-0000-0000-00003C020000}"/>
    <cellStyle name="Normal 2 12 14 2" xfId="10763" xr:uid="{00000000-0005-0000-0000-0000651F0000}"/>
    <cellStyle name="Normal 2 12 15" xfId="677" xr:uid="{00000000-0005-0000-0000-00003D020000}"/>
    <cellStyle name="Normal 2 12 15 2" xfId="10764" xr:uid="{00000000-0005-0000-0000-0000671F0000}"/>
    <cellStyle name="Normal 2 12 16" xfId="678" xr:uid="{00000000-0005-0000-0000-00003E020000}"/>
    <cellStyle name="Normal 2 12 16 2" xfId="10765" xr:uid="{00000000-0005-0000-0000-0000691F0000}"/>
    <cellStyle name="Normal 2 12 17" xfId="679" xr:uid="{00000000-0005-0000-0000-00003F020000}"/>
    <cellStyle name="Normal 2 12 17 2" xfId="10766" xr:uid="{00000000-0005-0000-0000-00006B1F0000}"/>
    <cellStyle name="Normal 2 12 18" xfId="680" xr:uid="{00000000-0005-0000-0000-000040020000}"/>
    <cellStyle name="Normal 2 12 18 2" xfId="10767" xr:uid="{00000000-0005-0000-0000-00006D1F0000}"/>
    <cellStyle name="Normal 2 12 19" xfId="681" xr:uid="{00000000-0005-0000-0000-000041020000}"/>
    <cellStyle name="Normal 2 12 19 2" xfId="10768" xr:uid="{00000000-0005-0000-0000-00006F1F0000}"/>
    <cellStyle name="Normal 2 12 2" xfId="682" xr:uid="{00000000-0005-0000-0000-000042020000}"/>
    <cellStyle name="Normal 2 12 2 2" xfId="10769" xr:uid="{00000000-0005-0000-0000-0000711F0000}"/>
    <cellStyle name="Normal 2 12 20" xfId="683" xr:uid="{00000000-0005-0000-0000-000043020000}"/>
    <cellStyle name="Normal 2 12 20 2" xfId="10770" xr:uid="{00000000-0005-0000-0000-0000731F0000}"/>
    <cellStyle name="Normal 2 12 21" xfId="684" xr:uid="{00000000-0005-0000-0000-000044020000}"/>
    <cellStyle name="Normal 2 12 21 2" xfId="10771" xr:uid="{00000000-0005-0000-0000-0000751F0000}"/>
    <cellStyle name="Normal 2 12 22" xfId="685" xr:uid="{00000000-0005-0000-0000-000045020000}"/>
    <cellStyle name="Normal 2 12 22 2" xfId="10772" xr:uid="{00000000-0005-0000-0000-0000771F0000}"/>
    <cellStyle name="Normal 2 12 23" xfId="686" xr:uid="{00000000-0005-0000-0000-000046020000}"/>
    <cellStyle name="Normal 2 12 23 2" xfId="10773" xr:uid="{00000000-0005-0000-0000-0000791F0000}"/>
    <cellStyle name="Normal 2 12 24" xfId="10774" xr:uid="{00000000-0005-0000-0000-00007A1F0000}"/>
    <cellStyle name="Normal 2 12 3" xfId="687" xr:uid="{00000000-0005-0000-0000-000047020000}"/>
    <cellStyle name="Normal 2 12 3 2" xfId="10775" xr:uid="{00000000-0005-0000-0000-00007C1F0000}"/>
    <cellStyle name="Normal 2 12 4" xfId="688" xr:uid="{00000000-0005-0000-0000-000048020000}"/>
    <cellStyle name="Normal 2 12 4 2" xfId="10776" xr:uid="{00000000-0005-0000-0000-00007E1F0000}"/>
    <cellStyle name="Normal 2 12 5" xfId="689" xr:uid="{00000000-0005-0000-0000-000049020000}"/>
    <cellStyle name="Normal 2 12 5 2" xfId="10777" xr:uid="{00000000-0005-0000-0000-0000801F0000}"/>
    <cellStyle name="Normal 2 12 6" xfId="690" xr:uid="{00000000-0005-0000-0000-00004A020000}"/>
    <cellStyle name="Normal 2 12 6 2" xfId="10778" xr:uid="{00000000-0005-0000-0000-0000821F0000}"/>
    <cellStyle name="Normal 2 12 7" xfId="691" xr:uid="{00000000-0005-0000-0000-00004B020000}"/>
    <cellStyle name="Normal 2 12 7 2" xfId="10779" xr:uid="{00000000-0005-0000-0000-0000841F0000}"/>
    <cellStyle name="Normal 2 12 8" xfId="692" xr:uid="{00000000-0005-0000-0000-00004C020000}"/>
    <cellStyle name="Normal 2 12 8 2" xfId="10780" xr:uid="{00000000-0005-0000-0000-0000861F0000}"/>
    <cellStyle name="Normal 2 12 9" xfId="693" xr:uid="{00000000-0005-0000-0000-00004D020000}"/>
    <cellStyle name="Normal 2 12 9 2" xfId="10781" xr:uid="{00000000-0005-0000-0000-0000881F0000}"/>
    <cellStyle name="Normal 2 122" xfId="20566" xr:uid="{4274BA2E-76D4-42DF-B17B-8A96717D3BDA}"/>
    <cellStyle name="Normal 2 13" xfId="694" xr:uid="{00000000-0005-0000-0000-00004E020000}"/>
    <cellStyle name="Normal 2 13 10" xfId="695" xr:uid="{00000000-0005-0000-0000-00004F020000}"/>
    <cellStyle name="Normal 2 13 10 2" xfId="10782" xr:uid="{00000000-0005-0000-0000-00008B1F0000}"/>
    <cellStyle name="Normal 2 13 11" xfId="696" xr:uid="{00000000-0005-0000-0000-000050020000}"/>
    <cellStyle name="Normal 2 13 11 2" xfId="10783" xr:uid="{00000000-0005-0000-0000-00008D1F0000}"/>
    <cellStyle name="Normal 2 13 12" xfId="697" xr:uid="{00000000-0005-0000-0000-000051020000}"/>
    <cellStyle name="Normal 2 13 12 2" xfId="10784" xr:uid="{00000000-0005-0000-0000-00008F1F0000}"/>
    <cellStyle name="Normal 2 13 13" xfId="698" xr:uid="{00000000-0005-0000-0000-000052020000}"/>
    <cellStyle name="Normal 2 13 13 2" xfId="10785" xr:uid="{00000000-0005-0000-0000-0000911F0000}"/>
    <cellStyle name="Normal 2 13 14" xfId="699" xr:uid="{00000000-0005-0000-0000-000053020000}"/>
    <cellStyle name="Normal 2 13 14 2" xfId="10786" xr:uid="{00000000-0005-0000-0000-0000931F0000}"/>
    <cellStyle name="Normal 2 13 15" xfId="700" xr:uid="{00000000-0005-0000-0000-000054020000}"/>
    <cellStyle name="Normal 2 13 15 2" xfId="10787" xr:uid="{00000000-0005-0000-0000-0000951F0000}"/>
    <cellStyle name="Normal 2 13 16" xfId="701" xr:uid="{00000000-0005-0000-0000-000055020000}"/>
    <cellStyle name="Normal 2 13 16 2" xfId="10788" xr:uid="{00000000-0005-0000-0000-0000971F0000}"/>
    <cellStyle name="Normal 2 13 17" xfId="702" xr:uid="{00000000-0005-0000-0000-000056020000}"/>
    <cellStyle name="Normal 2 13 17 2" xfId="10789" xr:uid="{00000000-0005-0000-0000-0000991F0000}"/>
    <cellStyle name="Normal 2 13 18" xfId="703" xr:uid="{00000000-0005-0000-0000-000057020000}"/>
    <cellStyle name="Normal 2 13 18 2" xfId="10790" xr:uid="{00000000-0005-0000-0000-00009B1F0000}"/>
    <cellStyle name="Normal 2 13 19" xfId="704" xr:uid="{00000000-0005-0000-0000-000058020000}"/>
    <cellStyle name="Normal 2 13 19 2" xfId="10791" xr:uid="{00000000-0005-0000-0000-00009D1F0000}"/>
    <cellStyle name="Normal 2 13 2" xfId="705" xr:uid="{00000000-0005-0000-0000-000059020000}"/>
    <cellStyle name="Normal 2 13 2 2" xfId="10792" xr:uid="{00000000-0005-0000-0000-00009F1F0000}"/>
    <cellStyle name="Normal 2 13 20" xfId="706" xr:uid="{00000000-0005-0000-0000-00005A020000}"/>
    <cellStyle name="Normal 2 13 20 2" xfId="10793" xr:uid="{00000000-0005-0000-0000-0000A11F0000}"/>
    <cellStyle name="Normal 2 13 21" xfId="707" xr:uid="{00000000-0005-0000-0000-00005B020000}"/>
    <cellStyle name="Normal 2 13 21 2" xfId="10794" xr:uid="{00000000-0005-0000-0000-0000A31F0000}"/>
    <cellStyle name="Normal 2 13 22" xfId="708" xr:uid="{00000000-0005-0000-0000-00005C020000}"/>
    <cellStyle name="Normal 2 13 22 2" xfId="10795" xr:uid="{00000000-0005-0000-0000-0000A51F0000}"/>
    <cellStyle name="Normal 2 13 23" xfId="709" xr:uid="{00000000-0005-0000-0000-00005D020000}"/>
    <cellStyle name="Normal 2 13 23 2" xfId="10796" xr:uid="{00000000-0005-0000-0000-0000A71F0000}"/>
    <cellStyle name="Normal 2 13 24" xfId="10797" xr:uid="{00000000-0005-0000-0000-0000A81F0000}"/>
    <cellStyle name="Normal 2 13 3" xfId="710" xr:uid="{00000000-0005-0000-0000-00005E020000}"/>
    <cellStyle name="Normal 2 13 3 2" xfId="10798" xr:uid="{00000000-0005-0000-0000-0000AA1F0000}"/>
    <cellStyle name="Normal 2 13 4" xfId="711" xr:uid="{00000000-0005-0000-0000-00005F020000}"/>
    <cellStyle name="Normal 2 13 4 2" xfId="10799" xr:uid="{00000000-0005-0000-0000-0000AC1F0000}"/>
    <cellStyle name="Normal 2 13 5" xfId="712" xr:uid="{00000000-0005-0000-0000-000060020000}"/>
    <cellStyle name="Normal 2 13 5 2" xfId="10800" xr:uid="{00000000-0005-0000-0000-0000AE1F0000}"/>
    <cellStyle name="Normal 2 13 6" xfId="713" xr:uid="{00000000-0005-0000-0000-000061020000}"/>
    <cellStyle name="Normal 2 13 6 2" xfId="10801" xr:uid="{00000000-0005-0000-0000-0000B01F0000}"/>
    <cellStyle name="Normal 2 13 7" xfId="714" xr:uid="{00000000-0005-0000-0000-000062020000}"/>
    <cellStyle name="Normal 2 13 7 2" xfId="10802" xr:uid="{00000000-0005-0000-0000-0000B21F0000}"/>
    <cellStyle name="Normal 2 13 8" xfId="715" xr:uid="{00000000-0005-0000-0000-000063020000}"/>
    <cellStyle name="Normal 2 13 8 2" xfId="10803" xr:uid="{00000000-0005-0000-0000-0000B41F0000}"/>
    <cellStyle name="Normal 2 13 9" xfId="716" xr:uid="{00000000-0005-0000-0000-000064020000}"/>
    <cellStyle name="Normal 2 13 9 2" xfId="10804" xr:uid="{00000000-0005-0000-0000-0000B61F0000}"/>
    <cellStyle name="Normal 2 14" xfId="717" xr:uid="{00000000-0005-0000-0000-000065020000}"/>
    <cellStyle name="Normal 2 14 10" xfId="718" xr:uid="{00000000-0005-0000-0000-000066020000}"/>
    <cellStyle name="Normal 2 14 10 2" xfId="10805" xr:uid="{00000000-0005-0000-0000-0000B91F0000}"/>
    <cellStyle name="Normal 2 14 11" xfId="719" xr:uid="{00000000-0005-0000-0000-000067020000}"/>
    <cellStyle name="Normal 2 14 11 2" xfId="10806" xr:uid="{00000000-0005-0000-0000-0000BB1F0000}"/>
    <cellStyle name="Normal 2 14 12" xfId="720" xr:uid="{00000000-0005-0000-0000-000068020000}"/>
    <cellStyle name="Normal 2 14 12 2" xfId="10807" xr:uid="{00000000-0005-0000-0000-0000BD1F0000}"/>
    <cellStyle name="Normal 2 14 13" xfId="721" xr:uid="{00000000-0005-0000-0000-000069020000}"/>
    <cellStyle name="Normal 2 14 13 2" xfId="10808" xr:uid="{00000000-0005-0000-0000-0000BF1F0000}"/>
    <cellStyle name="Normal 2 14 14" xfId="722" xr:uid="{00000000-0005-0000-0000-00006A020000}"/>
    <cellStyle name="Normal 2 14 14 2" xfId="10809" xr:uid="{00000000-0005-0000-0000-0000C11F0000}"/>
    <cellStyle name="Normal 2 14 15" xfId="723" xr:uid="{00000000-0005-0000-0000-00006B020000}"/>
    <cellStyle name="Normal 2 14 15 2" xfId="10810" xr:uid="{00000000-0005-0000-0000-0000C31F0000}"/>
    <cellStyle name="Normal 2 14 16" xfId="724" xr:uid="{00000000-0005-0000-0000-00006C020000}"/>
    <cellStyle name="Normal 2 14 16 2" xfId="10811" xr:uid="{00000000-0005-0000-0000-0000C51F0000}"/>
    <cellStyle name="Normal 2 14 17" xfId="725" xr:uid="{00000000-0005-0000-0000-00006D020000}"/>
    <cellStyle name="Normal 2 14 17 2" xfId="10812" xr:uid="{00000000-0005-0000-0000-0000C71F0000}"/>
    <cellStyle name="Normal 2 14 18" xfId="726" xr:uid="{00000000-0005-0000-0000-00006E020000}"/>
    <cellStyle name="Normal 2 14 18 2" xfId="10813" xr:uid="{00000000-0005-0000-0000-0000C91F0000}"/>
    <cellStyle name="Normal 2 14 19" xfId="727" xr:uid="{00000000-0005-0000-0000-00006F020000}"/>
    <cellStyle name="Normal 2 14 19 2" xfId="10814" xr:uid="{00000000-0005-0000-0000-0000CB1F0000}"/>
    <cellStyle name="Normal 2 14 2" xfId="728" xr:uid="{00000000-0005-0000-0000-000070020000}"/>
    <cellStyle name="Normal 2 14 2 2" xfId="10815" xr:uid="{00000000-0005-0000-0000-0000CD1F0000}"/>
    <cellStyle name="Normal 2 14 20" xfId="729" xr:uid="{00000000-0005-0000-0000-000071020000}"/>
    <cellStyle name="Normal 2 14 20 2" xfId="10816" xr:uid="{00000000-0005-0000-0000-0000CF1F0000}"/>
    <cellStyle name="Normal 2 14 21" xfId="730" xr:uid="{00000000-0005-0000-0000-000072020000}"/>
    <cellStyle name="Normal 2 14 21 2" xfId="10817" xr:uid="{00000000-0005-0000-0000-0000D11F0000}"/>
    <cellStyle name="Normal 2 14 22" xfId="731" xr:uid="{00000000-0005-0000-0000-000073020000}"/>
    <cellStyle name="Normal 2 14 22 2" xfId="10818" xr:uid="{00000000-0005-0000-0000-0000D31F0000}"/>
    <cellStyle name="Normal 2 14 23" xfId="732" xr:uid="{00000000-0005-0000-0000-000074020000}"/>
    <cellStyle name="Normal 2 14 23 2" xfId="10819" xr:uid="{00000000-0005-0000-0000-0000D51F0000}"/>
    <cellStyle name="Normal 2 14 24" xfId="10820" xr:uid="{00000000-0005-0000-0000-0000D61F0000}"/>
    <cellStyle name="Normal 2 14 3" xfId="733" xr:uid="{00000000-0005-0000-0000-000075020000}"/>
    <cellStyle name="Normal 2 14 3 2" xfId="10821" xr:uid="{00000000-0005-0000-0000-0000D81F0000}"/>
    <cellStyle name="Normal 2 14 4" xfId="734" xr:uid="{00000000-0005-0000-0000-000076020000}"/>
    <cellStyle name="Normal 2 14 4 2" xfId="10822" xr:uid="{00000000-0005-0000-0000-0000DA1F0000}"/>
    <cellStyle name="Normal 2 14 5" xfId="735" xr:uid="{00000000-0005-0000-0000-000077020000}"/>
    <cellStyle name="Normal 2 14 5 2" xfId="10823" xr:uid="{00000000-0005-0000-0000-0000DC1F0000}"/>
    <cellStyle name="Normal 2 14 6" xfId="736" xr:uid="{00000000-0005-0000-0000-000078020000}"/>
    <cellStyle name="Normal 2 14 6 2" xfId="10824" xr:uid="{00000000-0005-0000-0000-0000DE1F0000}"/>
    <cellStyle name="Normal 2 14 7" xfId="737" xr:uid="{00000000-0005-0000-0000-000079020000}"/>
    <cellStyle name="Normal 2 14 7 2" xfId="10825" xr:uid="{00000000-0005-0000-0000-0000E01F0000}"/>
    <cellStyle name="Normal 2 14 8" xfId="738" xr:uid="{00000000-0005-0000-0000-00007A020000}"/>
    <cellStyle name="Normal 2 14 8 2" xfId="10826" xr:uid="{00000000-0005-0000-0000-0000E21F0000}"/>
    <cellStyle name="Normal 2 14 9" xfId="739" xr:uid="{00000000-0005-0000-0000-00007B020000}"/>
    <cellStyle name="Normal 2 14 9 2" xfId="10827" xr:uid="{00000000-0005-0000-0000-0000E41F0000}"/>
    <cellStyle name="Normal 2 15" xfId="740" xr:uid="{00000000-0005-0000-0000-00007C020000}"/>
    <cellStyle name="Normal 2 15 10" xfId="741" xr:uid="{00000000-0005-0000-0000-00007D020000}"/>
    <cellStyle name="Normal 2 15 10 2" xfId="10828" xr:uid="{00000000-0005-0000-0000-0000E71F0000}"/>
    <cellStyle name="Normal 2 15 11" xfId="742" xr:uid="{00000000-0005-0000-0000-00007E020000}"/>
    <cellStyle name="Normal 2 15 11 2" xfId="10829" xr:uid="{00000000-0005-0000-0000-0000E91F0000}"/>
    <cellStyle name="Normal 2 15 12" xfId="743" xr:uid="{00000000-0005-0000-0000-00007F020000}"/>
    <cellStyle name="Normal 2 15 12 2" xfId="10830" xr:uid="{00000000-0005-0000-0000-0000EB1F0000}"/>
    <cellStyle name="Normal 2 15 13" xfId="744" xr:uid="{00000000-0005-0000-0000-000080020000}"/>
    <cellStyle name="Normal 2 15 13 2" xfId="10831" xr:uid="{00000000-0005-0000-0000-0000ED1F0000}"/>
    <cellStyle name="Normal 2 15 14" xfId="745" xr:uid="{00000000-0005-0000-0000-000081020000}"/>
    <cellStyle name="Normal 2 15 14 2" xfId="10832" xr:uid="{00000000-0005-0000-0000-0000EF1F0000}"/>
    <cellStyle name="Normal 2 15 15" xfId="746" xr:uid="{00000000-0005-0000-0000-000082020000}"/>
    <cellStyle name="Normal 2 15 15 2" xfId="10833" xr:uid="{00000000-0005-0000-0000-0000F11F0000}"/>
    <cellStyle name="Normal 2 15 16" xfId="747" xr:uid="{00000000-0005-0000-0000-000083020000}"/>
    <cellStyle name="Normal 2 15 16 2" xfId="10834" xr:uid="{00000000-0005-0000-0000-0000F31F0000}"/>
    <cellStyle name="Normal 2 15 17" xfId="748" xr:uid="{00000000-0005-0000-0000-000084020000}"/>
    <cellStyle name="Normal 2 15 17 2" xfId="10835" xr:uid="{00000000-0005-0000-0000-0000F51F0000}"/>
    <cellStyle name="Normal 2 15 18" xfId="749" xr:uid="{00000000-0005-0000-0000-000085020000}"/>
    <cellStyle name="Normal 2 15 18 2" xfId="10836" xr:uid="{00000000-0005-0000-0000-0000F71F0000}"/>
    <cellStyle name="Normal 2 15 19" xfId="750" xr:uid="{00000000-0005-0000-0000-000086020000}"/>
    <cellStyle name="Normal 2 15 19 2" xfId="10837" xr:uid="{00000000-0005-0000-0000-0000F91F0000}"/>
    <cellStyle name="Normal 2 15 2" xfId="751" xr:uid="{00000000-0005-0000-0000-000087020000}"/>
    <cellStyle name="Normal 2 15 2 2" xfId="10838" xr:uid="{00000000-0005-0000-0000-0000FB1F0000}"/>
    <cellStyle name="Normal 2 15 20" xfId="752" xr:uid="{00000000-0005-0000-0000-000088020000}"/>
    <cellStyle name="Normal 2 15 20 2" xfId="10839" xr:uid="{00000000-0005-0000-0000-0000FD1F0000}"/>
    <cellStyle name="Normal 2 15 21" xfId="753" xr:uid="{00000000-0005-0000-0000-000089020000}"/>
    <cellStyle name="Normal 2 15 21 2" xfId="10840" xr:uid="{00000000-0005-0000-0000-0000FF1F0000}"/>
    <cellStyle name="Normal 2 15 22" xfId="754" xr:uid="{00000000-0005-0000-0000-00008A020000}"/>
    <cellStyle name="Normal 2 15 22 2" xfId="10841" xr:uid="{00000000-0005-0000-0000-000001200000}"/>
    <cellStyle name="Normal 2 15 23" xfId="755" xr:uid="{00000000-0005-0000-0000-00008B020000}"/>
    <cellStyle name="Normal 2 15 23 2" xfId="10842" xr:uid="{00000000-0005-0000-0000-000003200000}"/>
    <cellStyle name="Normal 2 15 24" xfId="10843" xr:uid="{00000000-0005-0000-0000-000004200000}"/>
    <cellStyle name="Normal 2 15 3" xfId="756" xr:uid="{00000000-0005-0000-0000-00008C020000}"/>
    <cellStyle name="Normal 2 15 3 2" xfId="10844" xr:uid="{00000000-0005-0000-0000-000006200000}"/>
    <cellStyle name="Normal 2 15 4" xfId="757" xr:uid="{00000000-0005-0000-0000-00008D020000}"/>
    <cellStyle name="Normal 2 15 4 2" xfId="10845" xr:uid="{00000000-0005-0000-0000-000008200000}"/>
    <cellStyle name="Normal 2 15 5" xfId="758" xr:uid="{00000000-0005-0000-0000-00008E020000}"/>
    <cellStyle name="Normal 2 15 5 2" xfId="10846" xr:uid="{00000000-0005-0000-0000-00000A200000}"/>
    <cellStyle name="Normal 2 15 6" xfId="759" xr:uid="{00000000-0005-0000-0000-00008F020000}"/>
    <cellStyle name="Normal 2 15 6 2" xfId="10847" xr:uid="{00000000-0005-0000-0000-00000C200000}"/>
    <cellStyle name="Normal 2 15 7" xfId="760" xr:uid="{00000000-0005-0000-0000-000090020000}"/>
    <cellStyle name="Normal 2 15 7 2" xfId="10848" xr:uid="{00000000-0005-0000-0000-00000E200000}"/>
    <cellStyle name="Normal 2 15 8" xfId="761" xr:uid="{00000000-0005-0000-0000-000091020000}"/>
    <cellStyle name="Normal 2 15 8 2" xfId="10849" xr:uid="{00000000-0005-0000-0000-000010200000}"/>
    <cellStyle name="Normal 2 15 9" xfId="762" xr:uid="{00000000-0005-0000-0000-000092020000}"/>
    <cellStyle name="Normal 2 15 9 2" xfId="10850" xr:uid="{00000000-0005-0000-0000-000012200000}"/>
    <cellStyle name="Normal 2 16" xfId="763" xr:uid="{00000000-0005-0000-0000-000093020000}"/>
    <cellStyle name="Normal 2 16 10" xfId="764" xr:uid="{00000000-0005-0000-0000-000094020000}"/>
    <cellStyle name="Normal 2 16 10 2" xfId="10851" xr:uid="{00000000-0005-0000-0000-000015200000}"/>
    <cellStyle name="Normal 2 16 11" xfId="765" xr:uid="{00000000-0005-0000-0000-000095020000}"/>
    <cellStyle name="Normal 2 16 11 2" xfId="10852" xr:uid="{00000000-0005-0000-0000-000017200000}"/>
    <cellStyle name="Normal 2 16 12" xfId="766" xr:uid="{00000000-0005-0000-0000-000096020000}"/>
    <cellStyle name="Normal 2 16 12 2" xfId="10853" xr:uid="{00000000-0005-0000-0000-000019200000}"/>
    <cellStyle name="Normal 2 16 13" xfId="767" xr:uid="{00000000-0005-0000-0000-000097020000}"/>
    <cellStyle name="Normal 2 16 13 2" xfId="10854" xr:uid="{00000000-0005-0000-0000-00001B200000}"/>
    <cellStyle name="Normal 2 16 14" xfId="768" xr:uid="{00000000-0005-0000-0000-000098020000}"/>
    <cellStyle name="Normal 2 16 14 2" xfId="10855" xr:uid="{00000000-0005-0000-0000-00001D200000}"/>
    <cellStyle name="Normal 2 16 15" xfId="769" xr:uid="{00000000-0005-0000-0000-000099020000}"/>
    <cellStyle name="Normal 2 16 15 2" xfId="10856" xr:uid="{00000000-0005-0000-0000-00001F200000}"/>
    <cellStyle name="Normal 2 16 16" xfId="770" xr:uid="{00000000-0005-0000-0000-00009A020000}"/>
    <cellStyle name="Normal 2 16 16 2" xfId="10857" xr:uid="{00000000-0005-0000-0000-000021200000}"/>
    <cellStyle name="Normal 2 16 17" xfId="771" xr:uid="{00000000-0005-0000-0000-00009B020000}"/>
    <cellStyle name="Normal 2 16 17 2" xfId="10858" xr:uid="{00000000-0005-0000-0000-000023200000}"/>
    <cellStyle name="Normal 2 16 18" xfId="772" xr:uid="{00000000-0005-0000-0000-00009C020000}"/>
    <cellStyle name="Normal 2 16 18 2" xfId="10859" xr:uid="{00000000-0005-0000-0000-000025200000}"/>
    <cellStyle name="Normal 2 16 19" xfId="773" xr:uid="{00000000-0005-0000-0000-00009D020000}"/>
    <cellStyle name="Normal 2 16 19 2" xfId="10860" xr:uid="{00000000-0005-0000-0000-000027200000}"/>
    <cellStyle name="Normal 2 16 2" xfId="774" xr:uid="{00000000-0005-0000-0000-00009E020000}"/>
    <cellStyle name="Normal 2 16 2 2" xfId="10861" xr:uid="{00000000-0005-0000-0000-000029200000}"/>
    <cellStyle name="Normal 2 16 20" xfId="775" xr:uid="{00000000-0005-0000-0000-00009F020000}"/>
    <cellStyle name="Normal 2 16 20 2" xfId="10862" xr:uid="{00000000-0005-0000-0000-00002B200000}"/>
    <cellStyle name="Normal 2 16 21" xfId="776" xr:uid="{00000000-0005-0000-0000-0000A0020000}"/>
    <cellStyle name="Normal 2 16 21 2" xfId="10863" xr:uid="{00000000-0005-0000-0000-00002D200000}"/>
    <cellStyle name="Normal 2 16 22" xfId="777" xr:uid="{00000000-0005-0000-0000-0000A1020000}"/>
    <cellStyle name="Normal 2 16 22 2" xfId="10864" xr:uid="{00000000-0005-0000-0000-00002F200000}"/>
    <cellStyle name="Normal 2 16 23" xfId="778" xr:uid="{00000000-0005-0000-0000-0000A2020000}"/>
    <cellStyle name="Normal 2 16 23 2" xfId="10865" xr:uid="{00000000-0005-0000-0000-000031200000}"/>
    <cellStyle name="Normal 2 16 24" xfId="10866" xr:uid="{00000000-0005-0000-0000-000032200000}"/>
    <cellStyle name="Normal 2 16 3" xfId="779" xr:uid="{00000000-0005-0000-0000-0000A3020000}"/>
    <cellStyle name="Normal 2 16 3 2" xfId="10867" xr:uid="{00000000-0005-0000-0000-000034200000}"/>
    <cellStyle name="Normal 2 16 4" xfId="780" xr:uid="{00000000-0005-0000-0000-0000A4020000}"/>
    <cellStyle name="Normal 2 16 4 2" xfId="10868" xr:uid="{00000000-0005-0000-0000-000036200000}"/>
    <cellStyle name="Normal 2 16 5" xfId="781" xr:uid="{00000000-0005-0000-0000-0000A5020000}"/>
    <cellStyle name="Normal 2 16 5 2" xfId="10869" xr:uid="{00000000-0005-0000-0000-000038200000}"/>
    <cellStyle name="Normal 2 16 6" xfId="782" xr:uid="{00000000-0005-0000-0000-0000A6020000}"/>
    <cellStyle name="Normal 2 16 6 2" xfId="10870" xr:uid="{00000000-0005-0000-0000-00003A200000}"/>
    <cellStyle name="Normal 2 16 7" xfId="783" xr:uid="{00000000-0005-0000-0000-0000A7020000}"/>
    <cellStyle name="Normal 2 16 7 2" xfId="10871" xr:uid="{00000000-0005-0000-0000-00003C200000}"/>
    <cellStyle name="Normal 2 16 8" xfId="784" xr:uid="{00000000-0005-0000-0000-0000A8020000}"/>
    <cellStyle name="Normal 2 16 8 2" xfId="10872" xr:uid="{00000000-0005-0000-0000-00003E200000}"/>
    <cellStyle name="Normal 2 16 9" xfId="785" xr:uid="{00000000-0005-0000-0000-0000A9020000}"/>
    <cellStyle name="Normal 2 16 9 2" xfId="10873" xr:uid="{00000000-0005-0000-0000-000040200000}"/>
    <cellStyle name="Normal 2 17" xfId="786" xr:uid="{00000000-0005-0000-0000-0000AA020000}"/>
    <cellStyle name="Normal 2 17 10" xfId="787" xr:uid="{00000000-0005-0000-0000-0000AB020000}"/>
    <cellStyle name="Normal 2 17 10 2" xfId="10874" xr:uid="{00000000-0005-0000-0000-000043200000}"/>
    <cellStyle name="Normal 2 17 11" xfId="788" xr:uid="{00000000-0005-0000-0000-0000AC020000}"/>
    <cellStyle name="Normal 2 17 11 2" xfId="10875" xr:uid="{00000000-0005-0000-0000-000045200000}"/>
    <cellStyle name="Normal 2 17 12" xfId="789" xr:uid="{00000000-0005-0000-0000-0000AD020000}"/>
    <cellStyle name="Normal 2 17 12 2" xfId="10876" xr:uid="{00000000-0005-0000-0000-000047200000}"/>
    <cellStyle name="Normal 2 17 13" xfId="790" xr:uid="{00000000-0005-0000-0000-0000AE020000}"/>
    <cellStyle name="Normal 2 17 13 2" xfId="10877" xr:uid="{00000000-0005-0000-0000-000049200000}"/>
    <cellStyle name="Normal 2 17 14" xfId="791" xr:uid="{00000000-0005-0000-0000-0000AF020000}"/>
    <cellStyle name="Normal 2 17 14 2" xfId="10878" xr:uid="{00000000-0005-0000-0000-00004B200000}"/>
    <cellStyle name="Normal 2 17 15" xfId="792" xr:uid="{00000000-0005-0000-0000-0000B0020000}"/>
    <cellStyle name="Normal 2 17 15 2" xfId="10879" xr:uid="{00000000-0005-0000-0000-00004D200000}"/>
    <cellStyle name="Normal 2 17 16" xfId="793" xr:uid="{00000000-0005-0000-0000-0000B1020000}"/>
    <cellStyle name="Normal 2 17 16 2" xfId="10880" xr:uid="{00000000-0005-0000-0000-00004F200000}"/>
    <cellStyle name="Normal 2 17 17" xfId="794" xr:uid="{00000000-0005-0000-0000-0000B2020000}"/>
    <cellStyle name="Normal 2 17 17 2" xfId="10881" xr:uid="{00000000-0005-0000-0000-000051200000}"/>
    <cellStyle name="Normal 2 17 18" xfId="795" xr:uid="{00000000-0005-0000-0000-0000B3020000}"/>
    <cellStyle name="Normal 2 17 18 2" xfId="10882" xr:uid="{00000000-0005-0000-0000-000053200000}"/>
    <cellStyle name="Normal 2 17 19" xfId="796" xr:uid="{00000000-0005-0000-0000-0000B4020000}"/>
    <cellStyle name="Normal 2 17 19 2" xfId="10883" xr:uid="{00000000-0005-0000-0000-000055200000}"/>
    <cellStyle name="Normal 2 17 2" xfId="797" xr:uid="{00000000-0005-0000-0000-0000B5020000}"/>
    <cellStyle name="Normal 2 17 2 2" xfId="10884" xr:uid="{00000000-0005-0000-0000-000057200000}"/>
    <cellStyle name="Normal 2 17 20" xfId="798" xr:uid="{00000000-0005-0000-0000-0000B6020000}"/>
    <cellStyle name="Normal 2 17 20 2" xfId="10885" xr:uid="{00000000-0005-0000-0000-000059200000}"/>
    <cellStyle name="Normal 2 17 21" xfId="799" xr:uid="{00000000-0005-0000-0000-0000B7020000}"/>
    <cellStyle name="Normal 2 17 21 2" xfId="10886" xr:uid="{00000000-0005-0000-0000-00005B200000}"/>
    <cellStyle name="Normal 2 17 22" xfId="800" xr:uid="{00000000-0005-0000-0000-0000B8020000}"/>
    <cellStyle name="Normal 2 17 22 2" xfId="10887" xr:uid="{00000000-0005-0000-0000-00005D200000}"/>
    <cellStyle name="Normal 2 17 23" xfId="801" xr:uid="{00000000-0005-0000-0000-0000B9020000}"/>
    <cellStyle name="Normal 2 17 23 2" xfId="10888" xr:uid="{00000000-0005-0000-0000-00005F200000}"/>
    <cellStyle name="Normal 2 17 24" xfId="10889" xr:uid="{00000000-0005-0000-0000-000060200000}"/>
    <cellStyle name="Normal 2 17 3" xfId="802" xr:uid="{00000000-0005-0000-0000-0000BA020000}"/>
    <cellStyle name="Normal 2 17 3 2" xfId="10890" xr:uid="{00000000-0005-0000-0000-000062200000}"/>
    <cellStyle name="Normal 2 17 4" xfId="803" xr:uid="{00000000-0005-0000-0000-0000BB020000}"/>
    <cellStyle name="Normal 2 17 4 2" xfId="10891" xr:uid="{00000000-0005-0000-0000-000064200000}"/>
    <cellStyle name="Normal 2 17 5" xfId="804" xr:uid="{00000000-0005-0000-0000-0000BC020000}"/>
    <cellStyle name="Normal 2 17 5 2" xfId="10892" xr:uid="{00000000-0005-0000-0000-000066200000}"/>
    <cellStyle name="Normal 2 17 6" xfId="805" xr:uid="{00000000-0005-0000-0000-0000BD020000}"/>
    <cellStyle name="Normal 2 17 6 2" xfId="10893" xr:uid="{00000000-0005-0000-0000-000068200000}"/>
    <cellStyle name="Normal 2 17 7" xfId="806" xr:uid="{00000000-0005-0000-0000-0000BE020000}"/>
    <cellStyle name="Normal 2 17 7 2" xfId="10894" xr:uid="{00000000-0005-0000-0000-00006A200000}"/>
    <cellStyle name="Normal 2 17 8" xfId="807" xr:uid="{00000000-0005-0000-0000-0000BF020000}"/>
    <cellStyle name="Normal 2 17 8 2" xfId="10895" xr:uid="{00000000-0005-0000-0000-00006C200000}"/>
    <cellStyle name="Normal 2 17 9" xfId="808" xr:uid="{00000000-0005-0000-0000-0000C0020000}"/>
    <cellStyle name="Normal 2 17 9 2" xfId="10896" xr:uid="{00000000-0005-0000-0000-00006E200000}"/>
    <cellStyle name="Normal 2 18" xfId="809" xr:uid="{00000000-0005-0000-0000-0000C1020000}"/>
    <cellStyle name="Normal 2 18 10" xfId="810" xr:uid="{00000000-0005-0000-0000-0000C2020000}"/>
    <cellStyle name="Normal 2 18 10 2" xfId="10897" xr:uid="{00000000-0005-0000-0000-000071200000}"/>
    <cellStyle name="Normal 2 18 11" xfId="811" xr:uid="{00000000-0005-0000-0000-0000C3020000}"/>
    <cellStyle name="Normal 2 18 11 2" xfId="10898" xr:uid="{00000000-0005-0000-0000-000073200000}"/>
    <cellStyle name="Normal 2 18 12" xfId="812" xr:uid="{00000000-0005-0000-0000-0000C4020000}"/>
    <cellStyle name="Normal 2 18 12 2" xfId="10899" xr:uid="{00000000-0005-0000-0000-000075200000}"/>
    <cellStyle name="Normal 2 18 13" xfId="813" xr:uid="{00000000-0005-0000-0000-0000C5020000}"/>
    <cellStyle name="Normal 2 18 13 2" xfId="10900" xr:uid="{00000000-0005-0000-0000-000077200000}"/>
    <cellStyle name="Normal 2 18 14" xfId="814" xr:uid="{00000000-0005-0000-0000-0000C6020000}"/>
    <cellStyle name="Normal 2 18 14 2" xfId="10901" xr:uid="{00000000-0005-0000-0000-000079200000}"/>
    <cellStyle name="Normal 2 18 15" xfId="815" xr:uid="{00000000-0005-0000-0000-0000C7020000}"/>
    <cellStyle name="Normal 2 18 15 2" xfId="10902" xr:uid="{00000000-0005-0000-0000-00007B200000}"/>
    <cellStyle name="Normal 2 18 16" xfId="816" xr:uid="{00000000-0005-0000-0000-0000C8020000}"/>
    <cellStyle name="Normal 2 18 16 2" xfId="10903" xr:uid="{00000000-0005-0000-0000-00007D200000}"/>
    <cellStyle name="Normal 2 18 17" xfId="817" xr:uid="{00000000-0005-0000-0000-0000C9020000}"/>
    <cellStyle name="Normal 2 18 17 2" xfId="10904" xr:uid="{00000000-0005-0000-0000-00007F200000}"/>
    <cellStyle name="Normal 2 18 18" xfId="818" xr:uid="{00000000-0005-0000-0000-0000CA020000}"/>
    <cellStyle name="Normal 2 18 18 2" xfId="10905" xr:uid="{00000000-0005-0000-0000-000081200000}"/>
    <cellStyle name="Normal 2 18 19" xfId="819" xr:uid="{00000000-0005-0000-0000-0000CB020000}"/>
    <cellStyle name="Normal 2 18 19 2" xfId="10906" xr:uid="{00000000-0005-0000-0000-000083200000}"/>
    <cellStyle name="Normal 2 18 2" xfId="820" xr:uid="{00000000-0005-0000-0000-0000CC020000}"/>
    <cellStyle name="Normal 2 18 2 2" xfId="10907" xr:uid="{00000000-0005-0000-0000-000085200000}"/>
    <cellStyle name="Normal 2 18 20" xfId="821" xr:uid="{00000000-0005-0000-0000-0000CD020000}"/>
    <cellStyle name="Normal 2 18 20 2" xfId="10908" xr:uid="{00000000-0005-0000-0000-000087200000}"/>
    <cellStyle name="Normal 2 18 21" xfId="822" xr:uid="{00000000-0005-0000-0000-0000CE020000}"/>
    <cellStyle name="Normal 2 18 21 2" xfId="10909" xr:uid="{00000000-0005-0000-0000-000089200000}"/>
    <cellStyle name="Normal 2 18 22" xfId="823" xr:uid="{00000000-0005-0000-0000-0000CF020000}"/>
    <cellStyle name="Normal 2 18 22 2" xfId="10910" xr:uid="{00000000-0005-0000-0000-00008B200000}"/>
    <cellStyle name="Normal 2 18 23" xfId="824" xr:uid="{00000000-0005-0000-0000-0000D0020000}"/>
    <cellStyle name="Normal 2 18 23 2" xfId="10911" xr:uid="{00000000-0005-0000-0000-00008D200000}"/>
    <cellStyle name="Normal 2 18 24" xfId="10912" xr:uid="{00000000-0005-0000-0000-00008E200000}"/>
    <cellStyle name="Normal 2 18 3" xfId="825" xr:uid="{00000000-0005-0000-0000-0000D1020000}"/>
    <cellStyle name="Normal 2 18 3 2" xfId="10913" xr:uid="{00000000-0005-0000-0000-000090200000}"/>
    <cellStyle name="Normal 2 18 4" xfId="826" xr:uid="{00000000-0005-0000-0000-0000D2020000}"/>
    <cellStyle name="Normal 2 18 4 2" xfId="10914" xr:uid="{00000000-0005-0000-0000-000092200000}"/>
    <cellStyle name="Normal 2 18 5" xfId="827" xr:uid="{00000000-0005-0000-0000-0000D3020000}"/>
    <cellStyle name="Normal 2 18 5 2" xfId="10915" xr:uid="{00000000-0005-0000-0000-000094200000}"/>
    <cellStyle name="Normal 2 18 6" xfId="828" xr:uid="{00000000-0005-0000-0000-0000D4020000}"/>
    <cellStyle name="Normal 2 18 6 2" xfId="10916" xr:uid="{00000000-0005-0000-0000-000096200000}"/>
    <cellStyle name="Normal 2 18 7" xfId="829" xr:uid="{00000000-0005-0000-0000-0000D5020000}"/>
    <cellStyle name="Normal 2 18 7 2" xfId="10917" xr:uid="{00000000-0005-0000-0000-000098200000}"/>
    <cellStyle name="Normal 2 18 8" xfId="830" xr:uid="{00000000-0005-0000-0000-0000D6020000}"/>
    <cellStyle name="Normal 2 18 8 2" xfId="10918" xr:uid="{00000000-0005-0000-0000-00009A200000}"/>
    <cellStyle name="Normal 2 18 9" xfId="831" xr:uid="{00000000-0005-0000-0000-0000D7020000}"/>
    <cellStyle name="Normal 2 18 9 2" xfId="10919" xr:uid="{00000000-0005-0000-0000-00009C200000}"/>
    <cellStyle name="Normal 2 19" xfId="832" xr:uid="{00000000-0005-0000-0000-0000D8020000}"/>
    <cellStyle name="Normal 2 19 10" xfId="833" xr:uid="{00000000-0005-0000-0000-0000D9020000}"/>
    <cellStyle name="Normal 2 19 10 2" xfId="10920" xr:uid="{00000000-0005-0000-0000-00009F200000}"/>
    <cellStyle name="Normal 2 19 11" xfId="834" xr:uid="{00000000-0005-0000-0000-0000DA020000}"/>
    <cellStyle name="Normal 2 19 11 2" xfId="10921" xr:uid="{00000000-0005-0000-0000-0000A1200000}"/>
    <cellStyle name="Normal 2 19 12" xfId="835" xr:uid="{00000000-0005-0000-0000-0000DB020000}"/>
    <cellStyle name="Normal 2 19 12 2" xfId="10922" xr:uid="{00000000-0005-0000-0000-0000A3200000}"/>
    <cellStyle name="Normal 2 19 13" xfId="836" xr:uid="{00000000-0005-0000-0000-0000DC020000}"/>
    <cellStyle name="Normal 2 19 13 2" xfId="10923" xr:uid="{00000000-0005-0000-0000-0000A5200000}"/>
    <cellStyle name="Normal 2 19 14" xfId="837" xr:uid="{00000000-0005-0000-0000-0000DD020000}"/>
    <cellStyle name="Normal 2 19 14 2" xfId="10924" xr:uid="{00000000-0005-0000-0000-0000A7200000}"/>
    <cellStyle name="Normal 2 19 15" xfId="838" xr:uid="{00000000-0005-0000-0000-0000DE020000}"/>
    <cellStyle name="Normal 2 19 15 2" xfId="10925" xr:uid="{00000000-0005-0000-0000-0000A9200000}"/>
    <cellStyle name="Normal 2 19 16" xfId="839" xr:uid="{00000000-0005-0000-0000-0000DF020000}"/>
    <cellStyle name="Normal 2 19 16 2" xfId="10926" xr:uid="{00000000-0005-0000-0000-0000AB200000}"/>
    <cellStyle name="Normal 2 19 17" xfId="840" xr:uid="{00000000-0005-0000-0000-0000E0020000}"/>
    <cellStyle name="Normal 2 19 17 2" xfId="10927" xr:uid="{00000000-0005-0000-0000-0000AD200000}"/>
    <cellStyle name="Normal 2 19 18" xfId="841" xr:uid="{00000000-0005-0000-0000-0000E1020000}"/>
    <cellStyle name="Normal 2 19 18 2" xfId="10928" xr:uid="{00000000-0005-0000-0000-0000AF200000}"/>
    <cellStyle name="Normal 2 19 19" xfId="842" xr:uid="{00000000-0005-0000-0000-0000E2020000}"/>
    <cellStyle name="Normal 2 19 19 2" xfId="10929" xr:uid="{00000000-0005-0000-0000-0000B1200000}"/>
    <cellStyle name="Normal 2 19 2" xfId="843" xr:uid="{00000000-0005-0000-0000-0000E3020000}"/>
    <cellStyle name="Normal 2 19 2 2" xfId="10930" xr:uid="{00000000-0005-0000-0000-0000B3200000}"/>
    <cellStyle name="Normal 2 19 20" xfId="844" xr:uid="{00000000-0005-0000-0000-0000E4020000}"/>
    <cellStyle name="Normal 2 19 20 2" xfId="10931" xr:uid="{00000000-0005-0000-0000-0000B5200000}"/>
    <cellStyle name="Normal 2 19 21" xfId="845" xr:uid="{00000000-0005-0000-0000-0000E5020000}"/>
    <cellStyle name="Normal 2 19 21 2" xfId="10932" xr:uid="{00000000-0005-0000-0000-0000B7200000}"/>
    <cellStyle name="Normal 2 19 22" xfId="846" xr:uid="{00000000-0005-0000-0000-0000E6020000}"/>
    <cellStyle name="Normal 2 19 22 2" xfId="10933" xr:uid="{00000000-0005-0000-0000-0000B9200000}"/>
    <cellStyle name="Normal 2 19 23" xfId="847" xr:uid="{00000000-0005-0000-0000-0000E7020000}"/>
    <cellStyle name="Normal 2 19 23 2" xfId="10934" xr:uid="{00000000-0005-0000-0000-0000BB200000}"/>
    <cellStyle name="Normal 2 19 24" xfId="10935" xr:uid="{00000000-0005-0000-0000-0000BC200000}"/>
    <cellStyle name="Normal 2 19 3" xfId="848" xr:uid="{00000000-0005-0000-0000-0000E8020000}"/>
    <cellStyle name="Normal 2 19 3 2" xfId="10936" xr:uid="{00000000-0005-0000-0000-0000BE200000}"/>
    <cellStyle name="Normal 2 19 4" xfId="849" xr:uid="{00000000-0005-0000-0000-0000E9020000}"/>
    <cellStyle name="Normal 2 19 4 2" xfId="10937" xr:uid="{00000000-0005-0000-0000-0000C0200000}"/>
    <cellStyle name="Normal 2 19 5" xfId="850" xr:uid="{00000000-0005-0000-0000-0000EA020000}"/>
    <cellStyle name="Normal 2 19 5 2" xfId="10938" xr:uid="{00000000-0005-0000-0000-0000C2200000}"/>
    <cellStyle name="Normal 2 19 6" xfId="851" xr:uid="{00000000-0005-0000-0000-0000EB020000}"/>
    <cellStyle name="Normal 2 19 6 2" xfId="10939" xr:uid="{00000000-0005-0000-0000-0000C4200000}"/>
    <cellStyle name="Normal 2 19 7" xfId="852" xr:uid="{00000000-0005-0000-0000-0000EC020000}"/>
    <cellStyle name="Normal 2 19 7 2" xfId="10940" xr:uid="{00000000-0005-0000-0000-0000C6200000}"/>
    <cellStyle name="Normal 2 19 8" xfId="853" xr:uid="{00000000-0005-0000-0000-0000ED020000}"/>
    <cellStyle name="Normal 2 19 8 2" xfId="10941" xr:uid="{00000000-0005-0000-0000-0000C8200000}"/>
    <cellStyle name="Normal 2 19 9" xfId="854" xr:uid="{00000000-0005-0000-0000-0000EE020000}"/>
    <cellStyle name="Normal 2 19 9 2" xfId="10942" xr:uid="{00000000-0005-0000-0000-0000CA200000}"/>
    <cellStyle name="Normal 2 2" xfId="8" xr:uid="{00000000-0005-0000-0000-000010000000}"/>
    <cellStyle name="Normal 2 2 2" xfId="112" xr:uid="{00000000-0005-0000-0000-000010000000}"/>
    <cellStyle name="Normal 2 2 2 2" xfId="856" xr:uid="{00000000-0005-0000-0000-0000F0020000}"/>
    <cellStyle name="Normal 2 2 2 2 2" xfId="10943" xr:uid="{00000000-0005-0000-0000-0000CE200000}"/>
    <cellStyle name="Normal 2 2 2 3" xfId="10944" xr:uid="{00000000-0005-0000-0000-0000CF200000}"/>
    <cellStyle name="Normal 2 2 2 4" xfId="10945" xr:uid="{00000000-0005-0000-0000-0000D0200000}"/>
    <cellStyle name="Normal 2 2 2 5" xfId="10946" xr:uid="{00000000-0005-0000-0000-0000D1200000}"/>
    <cellStyle name="Normal 2 2 3" xfId="857" xr:uid="{00000000-0005-0000-0000-0000F1020000}"/>
    <cellStyle name="Normal 2 2 3 2" xfId="10948" xr:uid="{00000000-0005-0000-0000-0000D3200000}"/>
    <cellStyle name="Normal 2 2 3 3" xfId="10949" xr:uid="{00000000-0005-0000-0000-0000D4200000}"/>
    <cellStyle name="Normal 2 2 3 4" xfId="10947" xr:uid="{00000000-0005-0000-0000-0000D2200000}"/>
    <cellStyle name="Normal 2 2 4" xfId="855" xr:uid="{00000000-0005-0000-0000-0000EF020000}"/>
    <cellStyle name="Normal 2 2 4 2" xfId="10951" xr:uid="{00000000-0005-0000-0000-0000D6200000}"/>
    <cellStyle name="Normal 2 2 4 2 2" xfId="10952" xr:uid="{00000000-0005-0000-0000-0000D7200000}"/>
    <cellStyle name="Normal 2 2 4 3" xfId="10953" xr:uid="{00000000-0005-0000-0000-0000D8200000}"/>
    <cellStyle name="Normal 2 2 4 4" xfId="10950" xr:uid="{00000000-0005-0000-0000-0000D5200000}"/>
    <cellStyle name="Normal 2 2 5" xfId="10954" xr:uid="{00000000-0005-0000-0000-0000D9200000}"/>
    <cellStyle name="Normal 2 2 5 2" xfId="10955" xr:uid="{00000000-0005-0000-0000-0000DA200000}"/>
    <cellStyle name="Normal 2 2 5 2 2" xfId="10956" xr:uid="{00000000-0005-0000-0000-0000DB200000}"/>
    <cellStyle name="Normal 2 2 5 3" xfId="10957" xr:uid="{00000000-0005-0000-0000-0000DC200000}"/>
    <cellStyle name="Normal 2 2 6" xfId="10958" xr:uid="{00000000-0005-0000-0000-0000DD200000}"/>
    <cellStyle name="Normal 2 2 6 2" xfId="10959" xr:uid="{00000000-0005-0000-0000-0000DE200000}"/>
    <cellStyle name="Normal 2 2 7" xfId="10960" xr:uid="{00000000-0005-0000-0000-0000DF200000}"/>
    <cellStyle name="Normal 2 2 8" xfId="20532" xr:uid="{E125A2C0-628B-48A2-A1FD-B5CB5266D13C}"/>
    <cellStyle name="Normal 2 2 8 2" xfId="20540" xr:uid="{91DCED61-724E-4E15-ACCF-DD31D84A0D68}"/>
    <cellStyle name="Normal 2 2 8 2 2" xfId="20548" xr:uid="{0CA544D7-17F4-48E8-A318-E6E47D14B7AD}"/>
    <cellStyle name="Normal 2 2 8 3" xfId="20562" xr:uid="{A5241C68-4D71-423D-A378-4AE18A057E6E}"/>
    <cellStyle name="Normal 2 2 8 4" xfId="20573" xr:uid="{D8E6189D-97EA-4112-97C4-7FB35D08212E}"/>
    <cellStyle name="Normal 2 2 8 4 2" xfId="20574" xr:uid="{63BFFF18-3A4A-4318-9957-7423E25ECC39}"/>
    <cellStyle name="Normal 2 2 8 4 2 2" xfId="20577" xr:uid="{57407C9F-585F-4678-957B-0ABF387AD94E}"/>
    <cellStyle name="Normal 2 2_App b.3 Unspent_" xfId="858" xr:uid="{00000000-0005-0000-0000-0000F2020000}"/>
    <cellStyle name="Normal 2 20" xfId="859" xr:uid="{00000000-0005-0000-0000-0000F3020000}"/>
    <cellStyle name="Normal 2 20 10" xfId="860" xr:uid="{00000000-0005-0000-0000-0000F4020000}"/>
    <cellStyle name="Normal 2 20 10 2" xfId="10961" xr:uid="{00000000-0005-0000-0000-0000E3200000}"/>
    <cellStyle name="Normal 2 20 11" xfId="861" xr:uid="{00000000-0005-0000-0000-0000F5020000}"/>
    <cellStyle name="Normal 2 20 11 2" xfId="10962" xr:uid="{00000000-0005-0000-0000-0000E5200000}"/>
    <cellStyle name="Normal 2 20 12" xfId="862" xr:uid="{00000000-0005-0000-0000-0000F6020000}"/>
    <cellStyle name="Normal 2 20 12 2" xfId="10963" xr:uid="{00000000-0005-0000-0000-0000E7200000}"/>
    <cellStyle name="Normal 2 20 13" xfId="863" xr:uid="{00000000-0005-0000-0000-0000F7020000}"/>
    <cellStyle name="Normal 2 20 13 2" xfId="10964" xr:uid="{00000000-0005-0000-0000-0000E9200000}"/>
    <cellStyle name="Normal 2 20 14" xfId="864" xr:uid="{00000000-0005-0000-0000-0000F8020000}"/>
    <cellStyle name="Normal 2 20 14 2" xfId="10965" xr:uid="{00000000-0005-0000-0000-0000EB200000}"/>
    <cellStyle name="Normal 2 20 15" xfId="865" xr:uid="{00000000-0005-0000-0000-0000F9020000}"/>
    <cellStyle name="Normal 2 20 15 2" xfId="10966" xr:uid="{00000000-0005-0000-0000-0000ED200000}"/>
    <cellStyle name="Normal 2 20 16" xfId="866" xr:uid="{00000000-0005-0000-0000-0000FA020000}"/>
    <cellStyle name="Normal 2 20 16 2" xfId="10967" xr:uid="{00000000-0005-0000-0000-0000EF200000}"/>
    <cellStyle name="Normal 2 20 17" xfId="867" xr:uid="{00000000-0005-0000-0000-0000FB020000}"/>
    <cellStyle name="Normal 2 20 17 2" xfId="10968" xr:uid="{00000000-0005-0000-0000-0000F1200000}"/>
    <cellStyle name="Normal 2 20 18" xfId="868" xr:uid="{00000000-0005-0000-0000-0000FC020000}"/>
    <cellStyle name="Normal 2 20 18 2" xfId="10969" xr:uid="{00000000-0005-0000-0000-0000F3200000}"/>
    <cellStyle name="Normal 2 20 19" xfId="869" xr:uid="{00000000-0005-0000-0000-0000FD020000}"/>
    <cellStyle name="Normal 2 20 19 2" xfId="10970" xr:uid="{00000000-0005-0000-0000-0000F5200000}"/>
    <cellStyle name="Normal 2 20 2" xfId="870" xr:uid="{00000000-0005-0000-0000-0000FE020000}"/>
    <cellStyle name="Normal 2 20 2 2" xfId="10971" xr:uid="{00000000-0005-0000-0000-0000F7200000}"/>
    <cellStyle name="Normal 2 20 20" xfId="871" xr:uid="{00000000-0005-0000-0000-0000FF020000}"/>
    <cellStyle name="Normal 2 20 20 2" xfId="10972" xr:uid="{00000000-0005-0000-0000-0000F9200000}"/>
    <cellStyle name="Normal 2 20 21" xfId="872" xr:uid="{00000000-0005-0000-0000-000000030000}"/>
    <cellStyle name="Normal 2 20 21 2" xfId="10973" xr:uid="{00000000-0005-0000-0000-0000FB200000}"/>
    <cellStyle name="Normal 2 20 22" xfId="873" xr:uid="{00000000-0005-0000-0000-000001030000}"/>
    <cellStyle name="Normal 2 20 22 2" xfId="10974" xr:uid="{00000000-0005-0000-0000-0000FD200000}"/>
    <cellStyle name="Normal 2 20 23" xfId="874" xr:uid="{00000000-0005-0000-0000-000002030000}"/>
    <cellStyle name="Normal 2 20 23 2" xfId="10975" xr:uid="{00000000-0005-0000-0000-0000FF200000}"/>
    <cellStyle name="Normal 2 20 24" xfId="10976" xr:uid="{00000000-0005-0000-0000-000000210000}"/>
    <cellStyle name="Normal 2 20 3" xfId="875" xr:uid="{00000000-0005-0000-0000-000003030000}"/>
    <cellStyle name="Normal 2 20 3 2" xfId="10977" xr:uid="{00000000-0005-0000-0000-000002210000}"/>
    <cellStyle name="Normal 2 20 4" xfId="876" xr:uid="{00000000-0005-0000-0000-000004030000}"/>
    <cellStyle name="Normal 2 20 4 2" xfId="10978" xr:uid="{00000000-0005-0000-0000-000004210000}"/>
    <cellStyle name="Normal 2 20 5" xfId="877" xr:uid="{00000000-0005-0000-0000-000005030000}"/>
    <cellStyle name="Normal 2 20 5 2" xfId="10979" xr:uid="{00000000-0005-0000-0000-000006210000}"/>
    <cellStyle name="Normal 2 20 6" xfId="878" xr:uid="{00000000-0005-0000-0000-000006030000}"/>
    <cellStyle name="Normal 2 20 6 2" xfId="10980" xr:uid="{00000000-0005-0000-0000-000008210000}"/>
    <cellStyle name="Normal 2 20 7" xfId="879" xr:uid="{00000000-0005-0000-0000-000007030000}"/>
    <cellStyle name="Normal 2 20 7 2" xfId="10981" xr:uid="{00000000-0005-0000-0000-00000A210000}"/>
    <cellStyle name="Normal 2 20 8" xfId="880" xr:uid="{00000000-0005-0000-0000-000008030000}"/>
    <cellStyle name="Normal 2 20 8 2" xfId="10982" xr:uid="{00000000-0005-0000-0000-00000C210000}"/>
    <cellStyle name="Normal 2 20 9" xfId="881" xr:uid="{00000000-0005-0000-0000-000009030000}"/>
    <cellStyle name="Normal 2 20 9 2" xfId="10983" xr:uid="{00000000-0005-0000-0000-00000E210000}"/>
    <cellStyle name="Normal 2 21" xfId="882" xr:uid="{00000000-0005-0000-0000-00000A030000}"/>
    <cellStyle name="Normal 2 21 10" xfId="883" xr:uid="{00000000-0005-0000-0000-00000B030000}"/>
    <cellStyle name="Normal 2 21 10 2" xfId="10984" xr:uid="{00000000-0005-0000-0000-000011210000}"/>
    <cellStyle name="Normal 2 21 11" xfId="884" xr:uid="{00000000-0005-0000-0000-00000C030000}"/>
    <cellStyle name="Normal 2 21 11 2" xfId="10985" xr:uid="{00000000-0005-0000-0000-000013210000}"/>
    <cellStyle name="Normal 2 21 12" xfId="885" xr:uid="{00000000-0005-0000-0000-00000D030000}"/>
    <cellStyle name="Normal 2 21 12 2" xfId="10986" xr:uid="{00000000-0005-0000-0000-000015210000}"/>
    <cellStyle name="Normal 2 21 13" xfId="886" xr:uid="{00000000-0005-0000-0000-00000E030000}"/>
    <cellStyle name="Normal 2 21 13 2" xfId="10987" xr:uid="{00000000-0005-0000-0000-000017210000}"/>
    <cellStyle name="Normal 2 21 14" xfId="887" xr:uid="{00000000-0005-0000-0000-00000F030000}"/>
    <cellStyle name="Normal 2 21 14 2" xfId="10988" xr:uid="{00000000-0005-0000-0000-000019210000}"/>
    <cellStyle name="Normal 2 21 15" xfId="888" xr:uid="{00000000-0005-0000-0000-000010030000}"/>
    <cellStyle name="Normal 2 21 15 2" xfId="10989" xr:uid="{00000000-0005-0000-0000-00001B210000}"/>
    <cellStyle name="Normal 2 21 16" xfId="889" xr:uid="{00000000-0005-0000-0000-000011030000}"/>
    <cellStyle name="Normal 2 21 16 2" xfId="10990" xr:uid="{00000000-0005-0000-0000-00001D210000}"/>
    <cellStyle name="Normal 2 21 17" xfId="890" xr:uid="{00000000-0005-0000-0000-000012030000}"/>
    <cellStyle name="Normal 2 21 17 2" xfId="10991" xr:uid="{00000000-0005-0000-0000-00001F210000}"/>
    <cellStyle name="Normal 2 21 18" xfId="891" xr:uid="{00000000-0005-0000-0000-000013030000}"/>
    <cellStyle name="Normal 2 21 18 2" xfId="10992" xr:uid="{00000000-0005-0000-0000-000021210000}"/>
    <cellStyle name="Normal 2 21 19" xfId="892" xr:uid="{00000000-0005-0000-0000-000014030000}"/>
    <cellStyle name="Normal 2 21 19 2" xfId="10993" xr:uid="{00000000-0005-0000-0000-000023210000}"/>
    <cellStyle name="Normal 2 21 2" xfId="893" xr:uid="{00000000-0005-0000-0000-000015030000}"/>
    <cellStyle name="Normal 2 21 2 2" xfId="10994" xr:uid="{00000000-0005-0000-0000-000025210000}"/>
    <cellStyle name="Normal 2 21 20" xfId="894" xr:uid="{00000000-0005-0000-0000-000016030000}"/>
    <cellStyle name="Normal 2 21 20 2" xfId="10995" xr:uid="{00000000-0005-0000-0000-000027210000}"/>
    <cellStyle name="Normal 2 21 21" xfId="895" xr:uid="{00000000-0005-0000-0000-000017030000}"/>
    <cellStyle name="Normal 2 21 21 2" xfId="10996" xr:uid="{00000000-0005-0000-0000-000029210000}"/>
    <cellStyle name="Normal 2 21 22" xfId="896" xr:uid="{00000000-0005-0000-0000-000018030000}"/>
    <cellStyle name="Normal 2 21 22 2" xfId="10997" xr:uid="{00000000-0005-0000-0000-00002B210000}"/>
    <cellStyle name="Normal 2 21 23" xfId="897" xr:uid="{00000000-0005-0000-0000-000019030000}"/>
    <cellStyle name="Normal 2 21 23 2" xfId="10998" xr:uid="{00000000-0005-0000-0000-00002D210000}"/>
    <cellStyle name="Normal 2 21 24" xfId="10999" xr:uid="{00000000-0005-0000-0000-00002E210000}"/>
    <cellStyle name="Normal 2 21 3" xfId="898" xr:uid="{00000000-0005-0000-0000-00001A030000}"/>
    <cellStyle name="Normal 2 21 3 2" xfId="11000" xr:uid="{00000000-0005-0000-0000-000030210000}"/>
    <cellStyle name="Normal 2 21 4" xfId="899" xr:uid="{00000000-0005-0000-0000-00001B030000}"/>
    <cellStyle name="Normal 2 21 4 2" xfId="11001" xr:uid="{00000000-0005-0000-0000-000032210000}"/>
    <cellStyle name="Normal 2 21 5" xfId="900" xr:uid="{00000000-0005-0000-0000-00001C030000}"/>
    <cellStyle name="Normal 2 21 5 2" xfId="11002" xr:uid="{00000000-0005-0000-0000-000034210000}"/>
    <cellStyle name="Normal 2 21 6" xfId="901" xr:uid="{00000000-0005-0000-0000-00001D030000}"/>
    <cellStyle name="Normal 2 21 6 2" xfId="11003" xr:uid="{00000000-0005-0000-0000-000036210000}"/>
    <cellStyle name="Normal 2 21 7" xfId="902" xr:uid="{00000000-0005-0000-0000-00001E030000}"/>
    <cellStyle name="Normal 2 21 7 2" xfId="11004" xr:uid="{00000000-0005-0000-0000-000038210000}"/>
    <cellStyle name="Normal 2 21 8" xfId="903" xr:uid="{00000000-0005-0000-0000-00001F030000}"/>
    <cellStyle name="Normal 2 21 8 2" xfId="11005" xr:uid="{00000000-0005-0000-0000-00003A210000}"/>
    <cellStyle name="Normal 2 21 9" xfId="904" xr:uid="{00000000-0005-0000-0000-000020030000}"/>
    <cellStyle name="Normal 2 21 9 2" xfId="11006" xr:uid="{00000000-0005-0000-0000-00003C210000}"/>
    <cellStyle name="Normal 2 22" xfId="905" xr:uid="{00000000-0005-0000-0000-000021030000}"/>
    <cellStyle name="Normal 2 22 10" xfId="906" xr:uid="{00000000-0005-0000-0000-000022030000}"/>
    <cellStyle name="Normal 2 22 10 2" xfId="11007" xr:uid="{00000000-0005-0000-0000-00003F210000}"/>
    <cellStyle name="Normal 2 22 11" xfId="907" xr:uid="{00000000-0005-0000-0000-000023030000}"/>
    <cellStyle name="Normal 2 22 11 2" xfId="11008" xr:uid="{00000000-0005-0000-0000-000041210000}"/>
    <cellStyle name="Normal 2 22 12" xfId="908" xr:uid="{00000000-0005-0000-0000-000024030000}"/>
    <cellStyle name="Normal 2 22 12 2" xfId="11009" xr:uid="{00000000-0005-0000-0000-000043210000}"/>
    <cellStyle name="Normal 2 22 13" xfId="909" xr:uid="{00000000-0005-0000-0000-000025030000}"/>
    <cellStyle name="Normal 2 22 13 2" xfId="11010" xr:uid="{00000000-0005-0000-0000-000045210000}"/>
    <cellStyle name="Normal 2 22 14" xfId="910" xr:uid="{00000000-0005-0000-0000-000026030000}"/>
    <cellStyle name="Normal 2 22 14 2" xfId="11011" xr:uid="{00000000-0005-0000-0000-000047210000}"/>
    <cellStyle name="Normal 2 22 15" xfId="911" xr:uid="{00000000-0005-0000-0000-000027030000}"/>
    <cellStyle name="Normal 2 22 15 2" xfId="11012" xr:uid="{00000000-0005-0000-0000-000049210000}"/>
    <cellStyle name="Normal 2 22 16" xfId="912" xr:uid="{00000000-0005-0000-0000-000028030000}"/>
    <cellStyle name="Normal 2 22 16 2" xfId="11013" xr:uid="{00000000-0005-0000-0000-00004B210000}"/>
    <cellStyle name="Normal 2 22 17" xfId="913" xr:uid="{00000000-0005-0000-0000-000029030000}"/>
    <cellStyle name="Normal 2 22 17 2" xfId="11014" xr:uid="{00000000-0005-0000-0000-00004D210000}"/>
    <cellStyle name="Normal 2 22 18" xfId="914" xr:uid="{00000000-0005-0000-0000-00002A030000}"/>
    <cellStyle name="Normal 2 22 18 2" xfId="11015" xr:uid="{00000000-0005-0000-0000-00004F210000}"/>
    <cellStyle name="Normal 2 22 19" xfId="915" xr:uid="{00000000-0005-0000-0000-00002B030000}"/>
    <cellStyle name="Normal 2 22 19 2" xfId="11016" xr:uid="{00000000-0005-0000-0000-000051210000}"/>
    <cellStyle name="Normal 2 22 2" xfId="916" xr:uid="{00000000-0005-0000-0000-00002C030000}"/>
    <cellStyle name="Normal 2 22 2 2" xfId="11017" xr:uid="{00000000-0005-0000-0000-000053210000}"/>
    <cellStyle name="Normal 2 22 20" xfId="917" xr:uid="{00000000-0005-0000-0000-00002D030000}"/>
    <cellStyle name="Normal 2 22 20 2" xfId="11018" xr:uid="{00000000-0005-0000-0000-000055210000}"/>
    <cellStyle name="Normal 2 22 21" xfId="918" xr:uid="{00000000-0005-0000-0000-00002E030000}"/>
    <cellStyle name="Normal 2 22 21 2" xfId="11019" xr:uid="{00000000-0005-0000-0000-000057210000}"/>
    <cellStyle name="Normal 2 22 22" xfId="919" xr:uid="{00000000-0005-0000-0000-00002F030000}"/>
    <cellStyle name="Normal 2 22 22 2" xfId="11020" xr:uid="{00000000-0005-0000-0000-000059210000}"/>
    <cellStyle name="Normal 2 22 23" xfId="920" xr:uid="{00000000-0005-0000-0000-000030030000}"/>
    <cellStyle name="Normal 2 22 23 2" xfId="11021" xr:uid="{00000000-0005-0000-0000-00005B210000}"/>
    <cellStyle name="Normal 2 22 24" xfId="11022" xr:uid="{00000000-0005-0000-0000-00005C210000}"/>
    <cellStyle name="Normal 2 22 3" xfId="921" xr:uid="{00000000-0005-0000-0000-000031030000}"/>
    <cellStyle name="Normal 2 22 3 2" xfId="11023" xr:uid="{00000000-0005-0000-0000-00005E210000}"/>
    <cellStyle name="Normal 2 22 4" xfId="922" xr:uid="{00000000-0005-0000-0000-000032030000}"/>
    <cellStyle name="Normal 2 22 4 2" xfId="11024" xr:uid="{00000000-0005-0000-0000-000060210000}"/>
    <cellStyle name="Normal 2 22 5" xfId="923" xr:uid="{00000000-0005-0000-0000-000033030000}"/>
    <cellStyle name="Normal 2 22 5 2" xfId="11025" xr:uid="{00000000-0005-0000-0000-000062210000}"/>
    <cellStyle name="Normal 2 22 6" xfId="924" xr:uid="{00000000-0005-0000-0000-000034030000}"/>
    <cellStyle name="Normal 2 22 6 2" xfId="11026" xr:uid="{00000000-0005-0000-0000-000064210000}"/>
    <cellStyle name="Normal 2 22 7" xfId="925" xr:uid="{00000000-0005-0000-0000-000035030000}"/>
    <cellStyle name="Normal 2 22 7 2" xfId="11027" xr:uid="{00000000-0005-0000-0000-000066210000}"/>
    <cellStyle name="Normal 2 22 8" xfId="926" xr:uid="{00000000-0005-0000-0000-000036030000}"/>
    <cellStyle name="Normal 2 22 8 2" xfId="11028" xr:uid="{00000000-0005-0000-0000-000068210000}"/>
    <cellStyle name="Normal 2 22 9" xfId="927" xr:uid="{00000000-0005-0000-0000-000037030000}"/>
    <cellStyle name="Normal 2 22 9 2" xfId="11029" xr:uid="{00000000-0005-0000-0000-00006A210000}"/>
    <cellStyle name="Normal 2 23" xfId="928" xr:uid="{00000000-0005-0000-0000-000038030000}"/>
    <cellStyle name="Normal 2 23 10" xfId="929" xr:uid="{00000000-0005-0000-0000-000039030000}"/>
    <cellStyle name="Normal 2 23 10 2" xfId="11030" xr:uid="{00000000-0005-0000-0000-00006D210000}"/>
    <cellStyle name="Normal 2 23 11" xfId="930" xr:uid="{00000000-0005-0000-0000-00003A030000}"/>
    <cellStyle name="Normal 2 23 11 2" xfId="11031" xr:uid="{00000000-0005-0000-0000-00006F210000}"/>
    <cellStyle name="Normal 2 23 12" xfId="931" xr:uid="{00000000-0005-0000-0000-00003B030000}"/>
    <cellStyle name="Normal 2 23 12 2" xfId="11032" xr:uid="{00000000-0005-0000-0000-000071210000}"/>
    <cellStyle name="Normal 2 23 13" xfId="932" xr:uid="{00000000-0005-0000-0000-00003C030000}"/>
    <cellStyle name="Normal 2 23 13 2" xfId="11033" xr:uid="{00000000-0005-0000-0000-000073210000}"/>
    <cellStyle name="Normal 2 23 14" xfId="933" xr:uid="{00000000-0005-0000-0000-00003D030000}"/>
    <cellStyle name="Normal 2 23 14 2" xfId="11034" xr:uid="{00000000-0005-0000-0000-000075210000}"/>
    <cellStyle name="Normal 2 23 15" xfId="934" xr:uid="{00000000-0005-0000-0000-00003E030000}"/>
    <cellStyle name="Normal 2 23 15 2" xfId="11035" xr:uid="{00000000-0005-0000-0000-000077210000}"/>
    <cellStyle name="Normal 2 23 16" xfId="935" xr:uid="{00000000-0005-0000-0000-00003F030000}"/>
    <cellStyle name="Normal 2 23 16 2" xfId="11036" xr:uid="{00000000-0005-0000-0000-000079210000}"/>
    <cellStyle name="Normal 2 23 17" xfId="936" xr:uid="{00000000-0005-0000-0000-000040030000}"/>
    <cellStyle name="Normal 2 23 17 2" xfId="11037" xr:uid="{00000000-0005-0000-0000-00007B210000}"/>
    <cellStyle name="Normal 2 23 18" xfId="937" xr:uid="{00000000-0005-0000-0000-000041030000}"/>
    <cellStyle name="Normal 2 23 18 2" xfId="11038" xr:uid="{00000000-0005-0000-0000-00007D210000}"/>
    <cellStyle name="Normal 2 23 19" xfId="938" xr:uid="{00000000-0005-0000-0000-000042030000}"/>
    <cellStyle name="Normal 2 23 19 2" xfId="11039" xr:uid="{00000000-0005-0000-0000-00007F210000}"/>
    <cellStyle name="Normal 2 23 2" xfId="939" xr:uid="{00000000-0005-0000-0000-000043030000}"/>
    <cellStyle name="Normal 2 23 2 2" xfId="11040" xr:uid="{00000000-0005-0000-0000-000081210000}"/>
    <cellStyle name="Normal 2 23 20" xfId="940" xr:uid="{00000000-0005-0000-0000-000044030000}"/>
    <cellStyle name="Normal 2 23 20 2" xfId="11041" xr:uid="{00000000-0005-0000-0000-000083210000}"/>
    <cellStyle name="Normal 2 23 21" xfId="941" xr:uid="{00000000-0005-0000-0000-000045030000}"/>
    <cellStyle name="Normal 2 23 21 2" xfId="11042" xr:uid="{00000000-0005-0000-0000-000085210000}"/>
    <cellStyle name="Normal 2 23 22" xfId="942" xr:uid="{00000000-0005-0000-0000-000046030000}"/>
    <cellStyle name="Normal 2 23 22 2" xfId="11043" xr:uid="{00000000-0005-0000-0000-000087210000}"/>
    <cellStyle name="Normal 2 23 23" xfId="943" xr:uid="{00000000-0005-0000-0000-000047030000}"/>
    <cellStyle name="Normal 2 23 23 2" xfId="11044" xr:uid="{00000000-0005-0000-0000-000089210000}"/>
    <cellStyle name="Normal 2 23 24" xfId="11045" xr:uid="{00000000-0005-0000-0000-00008A210000}"/>
    <cellStyle name="Normal 2 23 3" xfId="944" xr:uid="{00000000-0005-0000-0000-000048030000}"/>
    <cellStyle name="Normal 2 23 3 2" xfId="11046" xr:uid="{00000000-0005-0000-0000-00008C210000}"/>
    <cellStyle name="Normal 2 23 4" xfId="945" xr:uid="{00000000-0005-0000-0000-000049030000}"/>
    <cellStyle name="Normal 2 23 4 2" xfId="11047" xr:uid="{00000000-0005-0000-0000-00008E210000}"/>
    <cellStyle name="Normal 2 23 5" xfId="946" xr:uid="{00000000-0005-0000-0000-00004A030000}"/>
    <cellStyle name="Normal 2 23 5 2" xfId="11048" xr:uid="{00000000-0005-0000-0000-000090210000}"/>
    <cellStyle name="Normal 2 23 6" xfId="947" xr:uid="{00000000-0005-0000-0000-00004B030000}"/>
    <cellStyle name="Normal 2 23 6 2" xfId="11049" xr:uid="{00000000-0005-0000-0000-000092210000}"/>
    <cellStyle name="Normal 2 23 7" xfId="948" xr:uid="{00000000-0005-0000-0000-00004C030000}"/>
    <cellStyle name="Normal 2 23 7 2" xfId="11050" xr:uid="{00000000-0005-0000-0000-000094210000}"/>
    <cellStyle name="Normal 2 23 8" xfId="949" xr:uid="{00000000-0005-0000-0000-00004D030000}"/>
    <cellStyle name="Normal 2 23 8 2" xfId="11051" xr:uid="{00000000-0005-0000-0000-000096210000}"/>
    <cellStyle name="Normal 2 23 9" xfId="950" xr:uid="{00000000-0005-0000-0000-00004E030000}"/>
    <cellStyle name="Normal 2 23 9 2" xfId="11052" xr:uid="{00000000-0005-0000-0000-000098210000}"/>
    <cellStyle name="Normal 2 24" xfId="951" xr:uid="{00000000-0005-0000-0000-00004F030000}"/>
    <cellStyle name="Normal 2 24 10" xfId="952" xr:uid="{00000000-0005-0000-0000-000050030000}"/>
    <cellStyle name="Normal 2 24 10 2" xfId="11053" xr:uid="{00000000-0005-0000-0000-00009B210000}"/>
    <cellStyle name="Normal 2 24 11" xfId="953" xr:uid="{00000000-0005-0000-0000-000051030000}"/>
    <cellStyle name="Normal 2 24 11 2" xfId="11054" xr:uid="{00000000-0005-0000-0000-00009D210000}"/>
    <cellStyle name="Normal 2 24 12" xfId="954" xr:uid="{00000000-0005-0000-0000-000052030000}"/>
    <cellStyle name="Normal 2 24 12 2" xfId="11055" xr:uid="{00000000-0005-0000-0000-00009F210000}"/>
    <cellStyle name="Normal 2 24 13" xfId="955" xr:uid="{00000000-0005-0000-0000-000053030000}"/>
    <cellStyle name="Normal 2 24 13 2" xfId="11056" xr:uid="{00000000-0005-0000-0000-0000A1210000}"/>
    <cellStyle name="Normal 2 24 14" xfId="956" xr:uid="{00000000-0005-0000-0000-000054030000}"/>
    <cellStyle name="Normal 2 24 14 2" xfId="11057" xr:uid="{00000000-0005-0000-0000-0000A3210000}"/>
    <cellStyle name="Normal 2 24 15" xfId="957" xr:uid="{00000000-0005-0000-0000-000055030000}"/>
    <cellStyle name="Normal 2 24 15 2" xfId="11058" xr:uid="{00000000-0005-0000-0000-0000A5210000}"/>
    <cellStyle name="Normal 2 24 16" xfId="958" xr:uid="{00000000-0005-0000-0000-000056030000}"/>
    <cellStyle name="Normal 2 24 16 2" xfId="11059" xr:uid="{00000000-0005-0000-0000-0000A7210000}"/>
    <cellStyle name="Normal 2 24 17" xfId="959" xr:uid="{00000000-0005-0000-0000-000057030000}"/>
    <cellStyle name="Normal 2 24 17 2" xfId="11060" xr:uid="{00000000-0005-0000-0000-0000A9210000}"/>
    <cellStyle name="Normal 2 24 18" xfId="960" xr:uid="{00000000-0005-0000-0000-000058030000}"/>
    <cellStyle name="Normal 2 24 18 2" xfId="11061" xr:uid="{00000000-0005-0000-0000-0000AB210000}"/>
    <cellStyle name="Normal 2 24 19" xfId="961" xr:uid="{00000000-0005-0000-0000-000059030000}"/>
    <cellStyle name="Normal 2 24 19 2" xfId="11062" xr:uid="{00000000-0005-0000-0000-0000AD210000}"/>
    <cellStyle name="Normal 2 24 2" xfId="962" xr:uid="{00000000-0005-0000-0000-00005A030000}"/>
    <cellStyle name="Normal 2 24 2 2" xfId="11063" xr:uid="{00000000-0005-0000-0000-0000AF210000}"/>
    <cellStyle name="Normal 2 24 20" xfId="963" xr:uid="{00000000-0005-0000-0000-00005B030000}"/>
    <cellStyle name="Normal 2 24 20 2" xfId="11064" xr:uid="{00000000-0005-0000-0000-0000B1210000}"/>
    <cellStyle name="Normal 2 24 21" xfId="964" xr:uid="{00000000-0005-0000-0000-00005C030000}"/>
    <cellStyle name="Normal 2 24 21 2" xfId="11065" xr:uid="{00000000-0005-0000-0000-0000B3210000}"/>
    <cellStyle name="Normal 2 24 22" xfId="965" xr:uid="{00000000-0005-0000-0000-00005D030000}"/>
    <cellStyle name="Normal 2 24 22 2" xfId="11066" xr:uid="{00000000-0005-0000-0000-0000B5210000}"/>
    <cellStyle name="Normal 2 24 23" xfId="966" xr:uid="{00000000-0005-0000-0000-00005E030000}"/>
    <cellStyle name="Normal 2 24 23 2" xfId="11067" xr:uid="{00000000-0005-0000-0000-0000B7210000}"/>
    <cellStyle name="Normal 2 24 24" xfId="11068" xr:uid="{00000000-0005-0000-0000-0000B8210000}"/>
    <cellStyle name="Normal 2 24 3" xfId="967" xr:uid="{00000000-0005-0000-0000-00005F030000}"/>
    <cellStyle name="Normal 2 24 3 2" xfId="11069" xr:uid="{00000000-0005-0000-0000-0000BA210000}"/>
    <cellStyle name="Normal 2 24 4" xfId="968" xr:uid="{00000000-0005-0000-0000-000060030000}"/>
    <cellStyle name="Normal 2 24 4 2" xfId="11070" xr:uid="{00000000-0005-0000-0000-0000BC210000}"/>
    <cellStyle name="Normal 2 24 5" xfId="969" xr:uid="{00000000-0005-0000-0000-000061030000}"/>
    <cellStyle name="Normal 2 24 5 2" xfId="11071" xr:uid="{00000000-0005-0000-0000-0000BE210000}"/>
    <cellStyle name="Normal 2 24 6" xfId="970" xr:uid="{00000000-0005-0000-0000-000062030000}"/>
    <cellStyle name="Normal 2 24 6 2" xfId="11072" xr:uid="{00000000-0005-0000-0000-0000C0210000}"/>
    <cellStyle name="Normal 2 24 7" xfId="971" xr:uid="{00000000-0005-0000-0000-000063030000}"/>
    <cellStyle name="Normal 2 24 7 2" xfId="11073" xr:uid="{00000000-0005-0000-0000-0000C2210000}"/>
    <cellStyle name="Normal 2 24 8" xfId="972" xr:uid="{00000000-0005-0000-0000-000064030000}"/>
    <cellStyle name="Normal 2 24 8 2" xfId="11074" xr:uid="{00000000-0005-0000-0000-0000C4210000}"/>
    <cellStyle name="Normal 2 24 9" xfId="973" xr:uid="{00000000-0005-0000-0000-000065030000}"/>
    <cellStyle name="Normal 2 24 9 2" xfId="11075" xr:uid="{00000000-0005-0000-0000-0000C6210000}"/>
    <cellStyle name="Normal 2 25" xfId="974" xr:uid="{00000000-0005-0000-0000-000066030000}"/>
    <cellStyle name="Normal 2 25 10" xfId="975" xr:uid="{00000000-0005-0000-0000-000067030000}"/>
    <cellStyle name="Normal 2 25 10 2" xfId="11076" xr:uid="{00000000-0005-0000-0000-0000C9210000}"/>
    <cellStyle name="Normal 2 25 11" xfId="976" xr:uid="{00000000-0005-0000-0000-000068030000}"/>
    <cellStyle name="Normal 2 25 11 2" xfId="11077" xr:uid="{00000000-0005-0000-0000-0000CB210000}"/>
    <cellStyle name="Normal 2 25 12" xfId="977" xr:uid="{00000000-0005-0000-0000-000069030000}"/>
    <cellStyle name="Normal 2 25 12 2" xfId="11078" xr:uid="{00000000-0005-0000-0000-0000CD210000}"/>
    <cellStyle name="Normal 2 25 13" xfId="978" xr:uid="{00000000-0005-0000-0000-00006A030000}"/>
    <cellStyle name="Normal 2 25 13 2" xfId="11079" xr:uid="{00000000-0005-0000-0000-0000CF210000}"/>
    <cellStyle name="Normal 2 25 14" xfId="979" xr:uid="{00000000-0005-0000-0000-00006B030000}"/>
    <cellStyle name="Normal 2 25 14 2" xfId="11080" xr:uid="{00000000-0005-0000-0000-0000D1210000}"/>
    <cellStyle name="Normal 2 25 15" xfId="980" xr:uid="{00000000-0005-0000-0000-00006C030000}"/>
    <cellStyle name="Normal 2 25 15 2" xfId="11081" xr:uid="{00000000-0005-0000-0000-0000D3210000}"/>
    <cellStyle name="Normal 2 25 16" xfId="981" xr:uid="{00000000-0005-0000-0000-00006D030000}"/>
    <cellStyle name="Normal 2 25 16 2" xfId="11082" xr:uid="{00000000-0005-0000-0000-0000D5210000}"/>
    <cellStyle name="Normal 2 25 17" xfId="982" xr:uid="{00000000-0005-0000-0000-00006E030000}"/>
    <cellStyle name="Normal 2 25 17 2" xfId="11083" xr:uid="{00000000-0005-0000-0000-0000D7210000}"/>
    <cellStyle name="Normal 2 25 18" xfId="983" xr:uid="{00000000-0005-0000-0000-00006F030000}"/>
    <cellStyle name="Normal 2 25 18 2" xfId="11084" xr:uid="{00000000-0005-0000-0000-0000D9210000}"/>
    <cellStyle name="Normal 2 25 19" xfId="984" xr:uid="{00000000-0005-0000-0000-000070030000}"/>
    <cellStyle name="Normal 2 25 19 2" xfId="11085" xr:uid="{00000000-0005-0000-0000-0000DB210000}"/>
    <cellStyle name="Normal 2 25 2" xfId="985" xr:uid="{00000000-0005-0000-0000-000071030000}"/>
    <cellStyle name="Normal 2 25 2 2" xfId="11086" xr:uid="{00000000-0005-0000-0000-0000DD210000}"/>
    <cellStyle name="Normal 2 25 20" xfId="986" xr:uid="{00000000-0005-0000-0000-000072030000}"/>
    <cellStyle name="Normal 2 25 20 2" xfId="11087" xr:uid="{00000000-0005-0000-0000-0000DF210000}"/>
    <cellStyle name="Normal 2 25 21" xfId="987" xr:uid="{00000000-0005-0000-0000-000073030000}"/>
    <cellStyle name="Normal 2 25 21 2" xfId="11088" xr:uid="{00000000-0005-0000-0000-0000E1210000}"/>
    <cellStyle name="Normal 2 25 22" xfId="988" xr:uid="{00000000-0005-0000-0000-000074030000}"/>
    <cellStyle name="Normal 2 25 22 2" xfId="11089" xr:uid="{00000000-0005-0000-0000-0000E3210000}"/>
    <cellStyle name="Normal 2 25 23" xfId="989" xr:uid="{00000000-0005-0000-0000-000075030000}"/>
    <cellStyle name="Normal 2 25 23 2" xfId="11090" xr:uid="{00000000-0005-0000-0000-0000E5210000}"/>
    <cellStyle name="Normal 2 25 24" xfId="11091" xr:uid="{00000000-0005-0000-0000-0000E6210000}"/>
    <cellStyle name="Normal 2 25 3" xfId="990" xr:uid="{00000000-0005-0000-0000-000076030000}"/>
    <cellStyle name="Normal 2 25 3 2" xfId="11092" xr:uid="{00000000-0005-0000-0000-0000E8210000}"/>
    <cellStyle name="Normal 2 25 4" xfId="991" xr:uid="{00000000-0005-0000-0000-000077030000}"/>
    <cellStyle name="Normal 2 25 4 2" xfId="11093" xr:uid="{00000000-0005-0000-0000-0000EA210000}"/>
    <cellStyle name="Normal 2 25 5" xfId="992" xr:uid="{00000000-0005-0000-0000-000078030000}"/>
    <cellStyle name="Normal 2 25 5 2" xfId="11094" xr:uid="{00000000-0005-0000-0000-0000EC210000}"/>
    <cellStyle name="Normal 2 25 6" xfId="993" xr:uid="{00000000-0005-0000-0000-000079030000}"/>
    <cellStyle name="Normal 2 25 6 2" xfId="11095" xr:uid="{00000000-0005-0000-0000-0000EE210000}"/>
    <cellStyle name="Normal 2 25 7" xfId="994" xr:uid="{00000000-0005-0000-0000-00007A030000}"/>
    <cellStyle name="Normal 2 25 7 2" xfId="11096" xr:uid="{00000000-0005-0000-0000-0000F0210000}"/>
    <cellStyle name="Normal 2 25 8" xfId="995" xr:uid="{00000000-0005-0000-0000-00007B030000}"/>
    <cellStyle name="Normal 2 25 8 2" xfId="11097" xr:uid="{00000000-0005-0000-0000-0000F2210000}"/>
    <cellStyle name="Normal 2 25 9" xfId="996" xr:uid="{00000000-0005-0000-0000-00007C030000}"/>
    <cellStyle name="Normal 2 25 9 2" xfId="11098" xr:uid="{00000000-0005-0000-0000-0000F4210000}"/>
    <cellStyle name="Normal 2 26" xfId="997" xr:uid="{00000000-0005-0000-0000-00007D030000}"/>
    <cellStyle name="Normal 2 26 10" xfId="998" xr:uid="{00000000-0005-0000-0000-00007E030000}"/>
    <cellStyle name="Normal 2 26 10 2" xfId="11099" xr:uid="{00000000-0005-0000-0000-0000F7210000}"/>
    <cellStyle name="Normal 2 26 11" xfId="999" xr:uid="{00000000-0005-0000-0000-00007F030000}"/>
    <cellStyle name="Normal 2 26 11 2" xfId="11100" xr:uid="{00000000-0005-0000-0000-0000F9210000}"/>
    <cellStyle name="Normal 2 26 12" xfId="1000" xr:uid="{00000000-0005-0000-0000-000080030000}"/>
    <cellStyle name="Normal 2 26 12 2" xfId="11101" xr:uid="{00000000-0005-0000-0000-0000FB210000}"/>
    <cellStyle name="Normal 2 26 13" xfId="1001" xr:uid="{00000000-0005-0000-0000-000081030000}"/>
    <cellStyle name="Normal 2 26 13 2" xfId="11102" xr:uid="{00000000-0005-0000-0000-0000FD210000}"/>
    <cellStyle name="Normal 2 26 14" xfId="1002" xr:uid="{00000000-0005-0000-0000-000082030000}"/>
    <cellStyle name="Normal 2 26 14 2" xfId="11103" xr:uid="{00000000-0005-0000-0000-0000FF210000}"/>
    <cellStyle name="Normal 2 26 15" xfId="1003" xr:uid="{00000000-0005-0000-0000-000083030000}"/>
    <cellStyle name="Normal 2 26 15 2" xfId="11104" xr:uid="{00000000-0005-0000-0000-000001220000}"/>
    <cellStyle name="Normal 2 26 16" xfId="1004" xr:uid="{00000000-0005-0000-0000-000084030000}"/>
    <cellStyle name="Normal 2 26 16 2" xfId="11105" xr:uid="{00000000-0005-0000-0000-000003220000}"/>
    <cellStyle name="Normal 2 26 17" xfId="1005" xr:uid="{00000000-0005-0000-0000-000085030000}"/>
    <cellStyle name="Normal 2 26 17 2" xfId="11106" xr:uid="{00000000-0005-0000-0000-000005220000}"/>
    <cellStyle name="Normal 2 26 18" xfId="1006" xr:uid="{00000000-0005-0000-0000-000086030000}"/>
    <cellStyle name="Normal 2 26 18 2" xfId="11107" xr:uid="{00000000-0005-0000-0000-000007220000}"/>
    <cellStyle name="Normal 2 26 19" xfId="1007" xr:uid="{00000000-0005-0000-0000-000087030000}"/>
    <cellStyle name="Normal 2 26 19 2" xfId="11108" xr:uid="{00000000-0005-0000-0000-000009220000}"/>
    <cellStyle name="Normal 2 26 2" xfId="1008" xr:uid="{00000000-0005-0000-0000-000088030000}"/>
    <cellStyle name="Normal 2 26 2 2" xfId="11109" xr:uid="{00000000-0005-0000-0000-00000B220000}"/>
    <cellStyle name="Normal 2 26 20" xfId="1009" xr:uid="{00000000-0005-0000-0000-000089030000}"/>
    <cellStyle name="Normal 2 26 20 2" xfId="11110" xr:uid="{00000000-0005-0000-0000-00000D220000}"/>
    <cellStyle name="Normal 2 26 21" xfId="1010" xr:uid="{00000000-0005-0000-0000-00008A030000}"/>
    <cellStyle name="Normal 2 26 21 2" xfId="11111" xr:uid="{00000000-0005-0000-0000-00000F220000}"/>
    <cellStyle name="Normal 2 26 22" xfId="1011" xr:uid="{00000000-0005-0000-0000-00008B030000}"/>
    <cellStyle name="Normal 2 26 22 2" xfId="11112" xr:uid="{00000000-0005-0000-0000-000011220000}"/>
    <cellStyle name="Normal 2 26 23" xfId="1012" xr:uid="{00000000-0005-0000-0000-00008C030000}"/>
    <cellStyle name="Normal 2 26 23 2" xfId="11113" xr:uid="{00000000-0005-0000-0000-000013220000}"/>
    <cellStyle name="Normal 2 26 24" xfId="11114" xr:uid="{00000000-0005-0000-0000-000014220000}"/>
    <cellStyle name="Normal 2 26 3" xfId="1013" xr:uid="{00000000-0005-0000-0000-00008D030000}"/>
    <cellStyle name="Normal 2 26 3 2" xfId="11115" xr:uid="{00000000-0005-0000-0000-000016220000}"/>
    <cellStyle name="Normal 2 26 4" xfId="1014" xr:uid="{00000000-0005-0000-0000-00008E030000}"/>
    <cellStyle name="Normal 2 26 4 2" xfId="11116" xr:uid="{00000000-0005-0000-0000-000018220000}"/>
    <cellStyle name="Normal 2 26 5" xfId="1015" xr:uid="{00000000-0005-0000-0000-00008F030000}"/>
    <cellStyle name="Normal 2 26 5 2" xfId="11117" xr:uid="{00000000-0005-0000-0000-00001A220000}"/>
    <cellStyle name="Normal 2 26 6" xfId="1016" xr:uid="{00000000-0005-0000-0000-000090030000}"/>
    <cellStyle name="Normal 2 26 6 2" xfId="11118" xr:uid="{00000000-0005-0000-0000-00001C220000}"/>
    <cellStyle name="Normal 2 26 7" xfId="1017" xr:uid="{00000000-0005-0000-0000-000091030000}"/>
    <cellStyle name="Normal 2 26 7 2" xfId="11119" xr:uid="{00000000-0005-0000-0000-00001E220000}"/>
    <cellStyle name="Normal 2 26 8" xfId="1018" xr:uid="{00000000-0005-0000-0000-000092030000}"/>
    <cellStyle name="Normal 2 26 8 2" xfId="11120" xr:uid="{00000000-0005-0000-0000-000020220000}"/>
    <cellStyle name="Normal 2 26 9" xfId="1019" xr:uid="{00000000-0005-0000-0000-000093030000}"/>
    <cellStyle name="Normal 2 26 9 2" xfId="11121" xr:uid="{00000000-0005-0000-0000-000022220000}"/>
    <cellStyle name="Normal 2 27" xfId="1020" xr:uid="{00000000-0005-0000-0000-000094030000}"/>
    <cellStyle name="Normal 2 27 10" xfId="1021" xr:uid="{00000000-0005-0000-0000-000095030000}"/>
    <cellStyle name="Normal 2 27 10 2" xfId="11122" xr:uid="{00000000-0005-0000-0000-000025220000}"/>
    <cellStyle name="Normal 2 27 11" xfId="1022" xr:uid="{00000000-0005-0000-0000-000096030000}"/>
    <cellStyle name="Normal 2 27 11 2" xfId="11123" xr:uid="{00000000-0005-0000-0000-000027220000}"/>
    <cellStyle name="Normal 2 27 12" xfId="1023" xr:uid="{00000000-0005-0000-0000-000097030000}"/>
    <cellStyle name="Normal 2 27 12 2" xfId="11124" xr:uid="{00000000-0005-0000-0000-000029220000}"/>
    <cellStyle name="Normal 2 27 13" xfId="1024" xr:uid="{00000000-0005-0000-0000-000098030000}"/>
    <cellStyle name="Normal 2 27 13 2" xfId="11125" xr:uid="{00000000-0005-0000-0000-00002B220000}"/>
    <cellStyle name="Normal 2 27 14" xfId="1025" xr:uid="{00000000-0005-0000-0000-000099030000}"/>
    <cellStyle name="Normal 2 27 14 2" xfId="11126" xr:uid="{00000000-0005-0000-0000-00002D220000}"/>
    <cellStyle name="Normal 2 27 15" xfId="1026" xr:uid="{00000000-0005-0000-0000-00009A030000}"/>
    <cellStyle name="Normal 2 27 15 2" xfId="11127" xr:uid="{00000000-0005-0000-0000-00002F220000}"/>
    <cellStyle name="Normal 2 27 16" xfId="1027" xr:uid="{00000000-0005-0000-0000-00009B030000}"/>
    <cellStyle name="Normal 2 27 16 2" xfId="11128" xr:uid="{00000000-0005-0000-0000-000031220000}"/>
    <cellStyle name="Normal 2 27 17" xfId="1028" xr:uid="{00000000-0005-0000-0000-00009C030000}"/>
    <cellStyle name="Normal 2 27 17 2" xfId="11129" xr:uid="{00000000-0005-0000-0000-000033220000}"/>
    <cellStyle name="Normal 2 27 18" xfId="1029" xr:uid="{00000000-0005-0000-0000-00009D030000}"/>
    <cellStyle name="Normal 2 27 18 2" xfId="11130" xr:uid="{00000000-0005-0000-0000-000035220000}"/>
    <cellStyle name="Normal 2 27 19" xfId="1030" xr:uid="{00000000-0005-0000-0000-00009E030000}"/>
    <cellStyle name="Normal 2 27 19 2" xfId="11131" xr:uid="{00000000-0005-0000-0000-000037220000}"/>
    <cellStyle name="Normal 2 27 2" xfId="1031" xr:uid="{00000000-0005-0000-0000-00009F030000}"/>
    <cellStyle name="Normal 2 27 2 2" xfId="11132" xr:uid="{00000000-0005-0000-0000-000039220000}"/>
    <cellStyle name="Normal 2 27 20" xfId="1032" xr:uid="{00000000-0005-0000-0000-0000A0030000}"/>
    <cellStyle name="Normal 2 27 20 2" xfId="11133" xr:uid="{00000000-0005-0000-0000-00003B220000}"/>
    <cellStyle name="Normal 2 27 21" xfId="1033" xr:uid="{00000000-0005-0000-0000-0000A1030000}"/>
    <cellStyle name="Normal 2 27 21 2" xfId="11134" xr:uid="{00000000-0005-0000-0000-00003D220000}"/>
    <cellStyle name="Normal 2 27 22" xfId="1034" xr:uid="{00000000-0005-0000-0000-0000A2030000}"/>
    <cellStyle name="Normal 2 27 22 2" xfId="11135" xr:uid="{00000000-0005-0000-0000-00003F220000}"/>
    <cellStyle name="Normal 2 27 23" xfId="1035" xr:uid="{00000000-0005-0000-0000-0000A3030000}"/>
    <cellStyle name="Normal 2 27 23 2" xfId="11136" xr:uid="{00000000-0005-0000-0000-000041220000}"/>
    <cellStyle name="Normal 2 27 24" xfId="11137" xr:uid="{00000000-0005-0000-0000-000042220000}"/>
    <cellStyle name="Normal 2 27 3" xfId="1036" xr:uid="{00000000-0005-0000-0000-0000A4030000}"/>
    <cellStyle name="Normal 2 27 3 2" xfId="11138" xr:uid="{00000000-0005-0000-0000-000044220000}"/>
    <cellStyle name="Normal 2 27 4" xfId="1037" xr:uid="{00000000-0005-0000-0000-0000A5030000}"/>
    <cellStyle name="Normal 2 27 4 2" xfId="11139" xr:uid="{00000000-0005-0000-0000-000046220000}"/>
    <cellStyle name="Normal 2 27 5" xfId="1038" xr:uid="{00000000-0005-0000-0000-0000A6030000}"/>
    <cellStyle name="Normal 2 27 5 2" xfId="11140" xr:uid="{00000000-0005-0000-0000-000048220000}"/>
    <cellStyle name="Normal 2 27 6" xfId="1039" xr:uid="{00000000-0005-0000-0000-0000A7030000}"/>
    <cellStyle name="Normal 2 27 6 2" xfId="11141" xr:uid="{00000000-0005-0000-0000-00004A220000}"/>
    <cellStyle name="Normal 2 27 7" xfId="1040" xr:uid="{00000000-0005-0000-0000-0000A8030000}"/>
    <cellStyle name="Normal 2 27 7 2" xfId="11142" xr:uid="{00000000-0005-0000-0000-00004C220000}"/>
    <cellStyle name="Normal 2 27 8" xfId="1041" xr:uid="{00000000-0005-0000-0000-0000A9030000}"/>
    <cellStyle name="Normal 2 27 8 2" xfId="11143" xr:uid="{00000000-0005-0000-0000-00004E220000}"/>
    <cellStyle name="Normal 2 27 9" xfId="1042" xr:uid="{00000000-0005-0000-0000-0000AA030000}"/>
    <cellStyle name="Normal 2 27 9 2" xfId="11144" xr:uid="{00000000-0005-0000-0000-000050220000}"/>
    <cellStyle name="Normal 2 28" xfId="1043" xr:uid="{00000000-0005-0000-0000-0000AB030000}"/>
    <cellStyle name="Normal 2 28 10" xfId="1044" xr:uid="{00000000-0005-0000-0000-0000AC030000}"/>
    <cellStyle name="Normal 2 28 10 2" xfId="11145" xr:uid="{00000000-0005-0000-0000-000053220000}"/>
    <cellStyle name="Normal 2 28 11" xfId="1045" xr:uid="{00000000-0005-0000-0000-0000AD030000}"/>
    <cellStyle name="Normal 2 28 11 2" xfId="11146" xr:uid="{00000000-0005-0000-0000-000055220000}"/>
    <cellStyle name="Normal 2 28 12" xfId="1046" xr:uid="{00000000-0005-0000-0000-0000AE030000}"/>
    <cellStyle name="Normal 2 28 12 2" xfId="11147" xr:uid="{00000000-0005-0000-0000-000057220000}"/>
    <cellStyle name="Normal 2 28 13" xfId="1047" xr:uid="{00000000-0005-0000-0000-0000AF030000}"/>
    <cellStyle name="Normal 2 28 13 2" xfId="11148" xr:uid="{00000000-0005-0000-0000-000059220000}"/>
    <cellStyle name="Normal 2 28 14" xfId="1048" xr:uid="{00000000-0005-0000-0000-0000B0030000}"/>
    <cellStyle name="Normal 2 28 14 2" xfId="11149" xr:uid="{00000000-0005-0000-0000-00005B220000}"/>
    <cellStyle name="Normal 2 28 15" xfId="1049" xr:uid="{00000000-0005-0000-0000-0000B1030000}"/>
    <cellStyle name="Normal 2 28 15 2" xfId="11150" xr:uid="{00000000-0005-0000-0000-00005D220000}"/>
    <cellStyle name="Normal 2 28 16" xfId="1050" xr:uid="{00000000-0005-0000-0000-0000B2030000}"/>
    <cellStyle name="Normal 2 28 16 2" xfId="11151" xr:uid="{00000000-0005-0000-0000-00005F220000}"/>
    <cellStyle name="Normal 2 28 17" xfId="1051" xr:uid="{00000000-0005-0000-0000-0000B3030000}"/>
    <cellStyle name="Normal 2 28 17 2" xfId="11152" xr:uid="{00000000-0005-0000-0000-000061220000}"/>
    <cellStyle name="Normal 2 28 18" xfId="1052" xr:uid="{00000000-0005-0000-0000-0000B4030000}"/>
    <cellStyle name="Normal 2 28 18 2" xfId="11153" xr:uid="{00000000-0005-0000-0000-000063220000}"/>
    <cellStyle name="Normal 2 28 19" xfId="1053" xr:uid="{00000000-0005-0000-0000-0000B5030000}"/>
    <cellStyle name="Normal 2 28 19 2" xfId="11154" xr:uid="{00000000-0005-0000-0000-000065220000}"/>
    <cellStyle name="Normal 2 28 2" xfId="1054" xr:uid="{00000000-0005-0000-0000-0000B6030000}"/>
    <cellStyle name="Normal 2 28 2 2" xfId="11155" xr:uid="{00000000-0005-0000-0000-000067220000}"/>
    <cellStyle name="Normal 2 28 20" xfId="1055" xr:uid="{00000000-0005-0000-0000-0000B7030000}"/>
    <cellStyle name="Normal 2 28 20 2" xfId="11156" xr:uid="{00000000-0005-0000-0000-000069220000}"/>
    <cellStyle name="Normal 2 28 21" xfId="1056" xr:uid="{00000000-0005-0000-0000-0000B8030000}"/>
    <cellStyle name="Normal 2 28 21 2" xfId="11157" xr:uid="{00000000-0005-0000-0000-00006B220000}"/>
    <cellStyle name="Normal 2 28 22" xfId="1057" xr:uid="{00000000-0005-0000-0000-0000B9030000}"/>
    <cellStyle name="Normal 2 28 22 2" xfId="11158" xr:uid="{00000000-0005-0000-0000-00006D220000}"/>
    <cellStyle name="Normal 2 28 23" xfId="1058" xr:uid="{00000000-0005-0000-0000-0000BA030000}"/>
    <cellStyle name="Normal 2 28 23 2" xfId="11159" xr:uid="{00000000-0005-0000-0000-00006F220000}"/>
    <cellStyle name="Normal 2 28 24" xfId="11160" xr:uid="{00000000-0005-0000-0000-000070220000}"/>
    <cellStyle name="Normal 2 28 3" xfId="1059" xr:uid="{00000000-0005-0000-0000-0000BB030000}"/>
    <cellStyle name="Normal 2 28 3 2" xfId="11161" xr:uid="{00000000-0005-0000-0000-000072220000}"/>
    <cellStyle name="Normal 2 28 4" xfId="1060" xr:uid="{00000000-0005-0000-0000-0000BC030000}"/>
    <cellStyle name="Normal 2 28 4 2" xfId="11162" xr:uid="{00000000-0005-0000-0000-000074220000}"/>
    <cellStyle name="Normal 2 28 5" xfId="1061" xr:uid="{00000000-0005-0000-0000-0000BD030000}"/>
    <cellStyle name="Normal 2 28 5 2" xfId="11163" xr:uid="{00000000-0005-0000-0000-000076220000}"/>
    <cellStyle name="Normal 2 28 6" xfId="1062" xr:uid="{00000000-0005-0000-0000-0000BE030000}"/>
    <cellStyle name="Normal 2 28 6 2" xfId="11164" xr:uid="{00000000-0005-0000-0000-000078220000}"/>
    <cellStyle name="Normal 2 28 7" xfId="1063" xr:uid="{00000000-0005-0000-0000-0000BF030000}"/>
    <cellStyle name="Normal 2 28 7 2" xfId="11165" xr:uid="{00000000-0005-0000-0000-00007A220000}"/>
    <cellStyle name="Normal 2 28 8" xfId="1064" xr:uid="{00000000-0005-0000-0000-0000C0030000}"/>
    <cellStyle name="Normal 2 28 8 2" xfId="11166" xr:uid="{00000000-0005-0000-0000-00007C220000}"/>
    <cellStyle name="Normal 2 28 9" xfId="1065" xr:uid="{00000000-0005-0000-0000-0000C1030000}"/>
    <cellStyle name="Normal 2 28 9 2" xfId="11167" xr:uid="{00000000-0005-0000-0000-00007E220000}"/>
    <cellStyle name="Normal 2 29" xfId="1066" xr:uid="{00000000-0005-0000-0000-0000C2030000}"/>
    <cellStyle name="Normal 2 29 10" xfId="1067" xr:uid="{00000000-0005-0000-0000-0000C3030000}"/>
    <cellStyle name="Normal 2 29 10 2" xfId="11168" xr:uid="{00000000-0005-0000-0000-000081220000}"/>
    <cellStyle name="Normal 2 29 11" xfId="1068" xr:uid="{00000000-0005-0000-0000-0000C4030000}"/>
    <cellStyle name="Normal 2 29 11 2" xfId="11169" xr:uid="{00000000-0005-0000-0000-000083220000}"/>
    <cellStyle name="Normal 2 29 12" xfId="1069" xr:uid="{00000000-0005-0000-0000-0000C5030000}"/>
    <cellStyle name="Normal 2 29 12 2" xfId="11170" xr:uid="{00000000-0005-0000-0000-000085220000}"/>
    <cellStyle name="Normal 2 29 13" xfId="1070" xr:uid="{00000000-0005-0000-0000-0000C6030000}"/>
    <cellStyle name="Normal 2 29 13 2" xfId="11171" xr:uid="{00000000-0005-0000-0000-000087220000}"/>
    <cellStyle name="Normal 2 29 14" xfId="1071" xr:uid="{00000000-0005-0000-0000-0000C7030000}"/>
    <cellStyle name="Normal 2 29 14 2" xfId="11172" xr:uid="{00000000-0005-0000-0000-000089220000}"/>
    <cellStyle name="Normal 2 29 15" xfId="1072" xr:uid="{00000000-0005-0000-0000-0000C8030000}"/>
    <cellStyle name="Normal 2 29 15 2" xfId="11173" xr:uid="{00000000-0005-0000-0000-00008B220000}"/>
    <cellStyle name="Normal 2 29 16" xfId="1073" xr:uid="{00000000-0005-0000-0000-0000C9030000}"/>
    <cellStyle name="Normal 2 29 16 2" xfId="11174" xr:uid="{00000000-0005-0000-0000-00008D220000}"/>
    <cellStyle name="Normal 2 29 17" xfId="1074" xr:uid="{00000000-0005-0000-0000-0000CA030000}"/>
    <cellStyle name="Normal 2 29 17 2" xfId="11175" xr:uid="{00000000-0005-0000-0000-00008F220000}"/>
    <cellStyle name="Normal 2 29 18" xfId="1075" xr:uid="{00000000-0005-0000-0000-0000CB030000}"/>
    <cellStyle name="Normal 2 29 18 2" xfId="11176" xr:uid="{00000000-0005-0000-0000-000091220000}"/>
    <cellStyle name="Normal 2 29 19" xfId="1076" xr:uid="{00000000-0005-0000-0000-0000CC030000}"/>
    <cellStyle name="Normal 2 29 19 2" xfId="11177" xr:uid="{00000000-0005-0000-0000-000093220000}"/>
    <cellStyle name="Normal 2 29 2" xfId="1077" xr:uid="{00000000-0005-0000-0000-0000CD030000}"/>
    <cellStyle name="Normal 2 29 2 2" xfId="11178" xr:uid="{00000000-0005-0000-0000-000095220000}"/>
    <cellStyle name="Normal 2 29 20" xfId="1078" xr:uid="{00000000-0005-0000-0000-0000CE030000}"/>
    <cellStyle name="Normal 2 29 20 2" xfId="11179" xr:uid="{00000000-0005-0000-0000-000097220000}"/>
    <cellStyle name="Normal 2 29 21" xfId="1079" xr:uid="{00000000-0005-0000-0000-0000CF030000}"/>
    <cellStyle name="Normal 2 29 21 2" xfId="11180" xr:uid="{00000000-0005-0000-0000-000099220000}"/>
    <cellStyle name="Normal 2 29 22" xfId="1080" xr:uid="{00000000-0005-0000-0000-0000D0030000}"/>
    <cellStyle name="Normal 2 29 22 2" xfId="11181" xr:uid="{00000000-0005-0000-0000-00009B220000}"/>
    <cellStyle name="Normal 2 29 23" xfId="1081" xr:uid="{00000000-0005-0000-0000-0000D1030000}"/>
    <cellStyle name="Normal 2 29 23 2" xfId="11182" xr:uid="{00000000-0005-0000-0000-00009D220000}"/>
    <cellStyle name="Normal 2 29 24" xfId="11183" xr:uid="{00000000-0005-0000-0000-00009E220000}"/>
    <cellStyle name="Normal 2 29 3" xfId="1082" xr:uid="{00000000-0005-0000-0000-0000D2030000}"/>
    <cellStyle name="Normal 2 29 3 2" xfId="11184" xr:uid="{00000000-0005-0000-0000-0000A0220000}"/>
    <cellStyle name="Normal 2 29 4" xfId="1083" xr:uid="{00000000-0005-0000-0000-0000D3030000}"/>
    <cellStyle name="Normal 2 29 4 2" xfId="11185" xr:uid="{00000000-0005-0000-0000-0000A2220000}"/>
    <cellStyle name="Normal 2 29 5" xfId="1084" xr:uid="{00000000-0005-0000-0000-0000D4030000}"/>
    <cellStyle name="Normal 2 29 5 2" xfId="11186" xr:uid="{00000000-0005-0000-0000-0000A4220000}"/>
    <cellStyle name="Normal 2 29 6" xfId="1085" xr:uid="{00000000-0005-0000-0000-0000D5030000}"/>
    <cellStyle name="Normal 2 29 6 2" xfId="11187" xr:uid="{00000000-0005-0000-0000-0000A6220000}"/>
    <cellStyle name="Normal 2 29 7" xfId="1086" xr:uid="{00000000-0005-0000-0000-0000D6030000}"/>
    <cellStyle name="Normal 2 29 7 2" xfId="11188" xr:uid="{00000000-0005-0000-0000-0000A8220000}"/>
    <cellStyle name="Normal 2 29 8" xfId="1087" xr:uid="{00000000-0005-0000-0000-0000D7030000}"/>
    <cellStyle name="Normal 2 29 8 2" xfId="11189" xr:uid="{00000000-0005-0000-0000-0000AA220000}"/>
    <cellStyle name="Normal 2 29 9" xfId="1088" xr:uid="{00000000-0005-0000-0000-0000D8030000}"/>
    <cellStyle name="Normal 2 29 9 2" xfId="11190" xr:uid="{00000000-0005-0000-0000-0000AC220000}"/>
    <cellStyle name="Normal 2 3" xfId="59" xr:uid="{00000000-0005-0000-0000-000011000000}"/>
    <cellStyle name="Normal 2 3 2" xfId="161" xr:uid="{00000000-0005-0000-0000-000011000000}"/>
    <cellStyle name="Normal 2 3 2 2" xfId="11191" xr:uid="{00000000-0005-0000-0000-0000AF220000}"/>
    <cellStyle name="Normal 2 3 2 3" xfId="5519" xr:uid="{00000000-0005-0000-0000-0000AE220000}"/>
    <cellStyle name="Normal 2 3 3" xfId="1089" xr:uid="{00000000-0005-0000-0000-0000D9030000}"/>
    <cellStyle name="Normal 2 3 3 2" xfId="11192" xr:uid="{00000000-0005-0000-0000-0000B1220000}"/>
    <cellStyle name="Normal 2 3 3 3" xfId="11193" xr:uid="{00000000-0005-0000-0000-0000B2220000}"/>
    <cellStyle name="Normal 2 3 4" xfId="11194" xr:uid="{00000000-0005-0000-0000-0000B3220000}"/>
    <cellStyle name="Normal 2 3 4 2" xfId="11195" xr:uid="{00000000-0005-0000-0000-0000B4220000}"/>
    <cellStyle name="Normal 2 3 5" xfId="5569" xr:uid="{00000000-0005-0000-0000-0000AD220000}"/>
    <cellStyle name="Normal 2 3 6" xfId="20542" xr:uid="{2938983F-EB37-4F25-8BF9-5A21D68D9524}"/>
    <cellStyle name="Normal 2 3 7" xfId="20578" xr:uid="{BC0BF457-3AD3-4288-959A-C6E73C035C92}"/>
    <cellStyle name="Normal 2 3 8" xfId="20601" xr:uid="{8C75D720-C137-4AD0-8D02-6ACA29F8DE78}"/>
    <cellStyle name="Normal 2 30" xfId="1090" xr:uid="{00000000-0005-0000-0000-0000DA030000}"/>
    <cellStyle name="Normal 2 30 10" xfId="1091" xr:uid="{00000000-0005-0000-0000-0000DB030000}"/>
    <cellStyle name="Normal 2 30 10 2" xfId="11196" xr:uid="{00000000-0005-0000-0000-0000B7220000}"/>
    <cellStyle name="Normal 2 30 11" xfId="1092" xr:uid="{00000000-0005-0000-0000-0000DC030000}"/>
    <cellStyle name="Normal 2 30 11 2" xfId="11197" xr:uid="{00000000-0005-0000-0000-0000B9220000}"/>
    <cellStyle name="Normal 2 30 12" xfId="1093" xr:uid="{00000000-0005-0000-0000-0000DD030000}"/>
    <cellStyle name="Normal 2 30 12 2" xfId="11198" xr:uid="{00000000-0005-0000-0000-0000BB220000}"/>
    <cellStyle name="Normal 2 30 13" xfId="1094" xr:uid="{00000000-0005-0000-0000-0000DE030000}"/>
    <cellStyle name="Normal 2 30 13 2" xfId="11199" xr:uid="{00000000-0005-0000-0000-0000BD220000}"/>
    <cellStyle name="Normal 2 30 14" xfId="1095" xr:uid="{00000000-0005-0000-0000-0000DF030000}"/>
    <cellStyle name="Normal 2 30 14 2" xfId="11200" xr:uid="{00000000-0005-0000-0000-0000BF220000}"/>
    <cellStyle name="Normal 2 30 15" xfId="1096" xr:uid="{00000000-0005-0000-0000-0000E0030000}"/>
    <cellStyle name="Normal 2 30 15 2" xfId="11201" xr:uid="{00000000-0005-0000-0000-0000C1220000}"/>
    <cellStyle name="Normal 2 30 16" xfId="1097" xr:uid="{00000000-0005-0000-0000-0000E1030000}"/>
    <cellStyle name="Normal 2 30 16 2" xfId="11202" xr:uid="{00000000-0005-0000-0000-0000C3220000}"/>
    <cellStyle name="Normal 2 30 17" xfId="1098" xr:uid="{00000000-0005-0000-0000-0000E2030000}"/>
    <cellStyle name="Normal 2 30 17 2" xfId="11203" xr:uid="{00000000-0005-0000-0000-0000C5220000}"/>
    <cellStyle name="Normal 2 30 18" xfId="1099" xr:uid="{00000000-0005-0000-0000-0000E3030000}"/>
    <cellStyle name="Normal 2 30 18 2" xfId="11204" xr:uid="{00000000-0005-0000-0000-0000C7220000}"/>
    <cellStyle name="Normal 2 30 19" xfId="1100" xr:uid="{00000000-0005-0000-0000-0000E4030000}"/>
    <cellStyle name="Normal 2 30 19 2" xfId="11205" xr:uid="{00000000-0005-0000-0000-0000C9220000}"/>
    <cellStyle name="Normal 2 30 2" xfId="1101" xr:uid="{00000000-0005-0000-0000-0000E5030000}"/>
    <cellStyle name="Normal 2 30 2 2" xfId="11206" xr:uid="{00000000-0005-0000-0000-0000CB220000}"/>
    <cellStyle name="Normal 2 30 20" xfId="1102" xr:uid="{00000000-0005-0000-0000-0000E6030000}"/>
    <cellStyle name="Normal 2 30 20 2" xfId="11207" xr:uid="{00000000-0005-0000-0000-0000CD220000}"/>
    <cellStyle name="Normal 2 30 21" xfId="1103" xr:uid="{00000000-0005-0000-0000-0000E7030000}"/>
    <cellStyle name="Normal 2 30 21 2" xfId="11208" xr:uid="{00000000-0005-0000-0000-0000CF220000}"/>
    <cellStyle name="Normal 2 30 22" xfId="1104" xr:uid="{00000000-0005-0000-0000-0000E8030000}"/>
    <cellStyle name="Normal 2 30 22 2" xfId="11209" xr:uid="{00000000-0005-0000-0000-0000D1220000}"/>
    <cellStyle name="Normal 2 30 23" xfId="1105" xr:uid="{00000000-0005-0000-0000-0000E9030000}"/>
    <cellStyle name="Normal 2 30 23 2" xfId="11210" xr:uid="{00000000-0005-0000-0000-0000D3220000}"/>
    <cellStyle name="Normal 2 30 24" xfId="11211" xr:uid="{00000000-0005-0000-0000-0000D4220000}"/>
    <cellStyle name="Normal 2 30 3" xfId="1106" xr:uid="{00000000-0005-0000-0000-0000EA030000}"/>
    <cellStyle name="Normal 2 30 3 2" xfId="11212" xr:uid="{00000000-0005-0000-0000-0000D6220000}"/>
    <cellStyle name="Normal 2 30 4" xfId="1107" xr:uid="{00000000-0005-0000-0000-0000EB030000}"/>
    <cellStyle name="Normal 2 30 4 2" xfId="11213" xr:uid="{00000000-0005-0000-0000-0000D8220000}"/>
    <cellStyle name="Normal 2 30 5" xfId="1108" xr:uid="{00000000-0005-0000-0000-0000EC030000}"/>
    <cellStyle name="Normal 2 30 5 2" xfId="11214" xr:uid="{00000000-0005-0000-0000-0000DA220000}"/>
    <cellStyle name="Normal 2 30 6" xfId="1109" xr:uid="{00000000-0005-0000-0000-0000ED030000}"/>
    <cellStyle name="Normal 2 30 6 2" xfId="11215" xr:uid="{00000000-0005-0000-0000-0000DC220000}"/>
    <cellStyle name="Normal 2 30 7" xfId="1110" xr:uid="{00000000-0005-0000-0000-0000EE030000}"/>
    <cellStyle name="Normal 2 30 7 2" xfId="11216" xr:uid="{00000000-0005-0000-0000-0000DE220000}"/>
    <cellStyle name="Normal 2 30 8" xfId="1111" xr:uid="{00000000-0005-0000-0000-0000EF030000}"/>
    <cellStyle name="Normal 2 30 8 2" xfId="11217" xr:uid="{00000000-0005-0000-0000-0000E0220000}"/>
    <cellStyle name="Normal 2 30 9" xfId="1112" xr:uid="{00000000-0005-0000-0000-0000F0030000}"/>
    <cellStyle name="Normal 2 30 9 2" xfId="11218" xr:uid="{00000000-0005-0000-0000-0000E2220000}"/>
    <cellStyle name="Normal 2 31" xfId="1113" xr:uid="{00000000-0005-0000-0000-0000F1030000}"/>
    <cellStyle name="Normal 2 31 10" xfId="1114" xr:uid="{00000000-0005-0000-0000-0000F2030000}"/>
    <cellStyle name="Normal 2 31 10 2" xfId="11219" xr:uid="{00000000-0005-0000-0000-0000E5220000}"/>
    <cellStyle name="Normal 2 31 11" xfId="1115" xr:uid="{00000000-0005-0000-0000-0000F3030000}"/>
    <cellStyle name="Normal 2 31 11 2" xfId="11220" xr:uid="{00000000-0005-0000-0000-0000E7220000}"/>
    <cellStyle name="Normal 2 31 12" xfId="1116" xr:uid="{00000000-0005-0000-0000-0000F4030000}"/>
    <cellStyle name="Normal 2 31 12 2" xfId="11221" xr:uid="{00000000-0005-0000-0000-0000E9220000}"/>
    <cellStyle name="Normal 2 31 13" xfId="1117" xr:uid="{00000000-0005-0000-0000-0000F5030000}"/>
    <cellStyle name="Normal 2 31 13 2" xfId="11222" xr:uid="{00000000-0005-0000-0000-0000EB220000}"/>
    <cellStyle name="Normal 2 31 14" xfId="1118" xr:uid="{00000000-0005-0000-0000-0000F6030000}"/>
    <cellStyle name="Normal 2 31 14 2" xfId="11223" xr:uid="{00000000-0005-0000-0000-0000ED220000}"/>
    <cellStyle name="Normal 2 31 15" xfId="1119" xr:uid="{00000000-0005-0000-0000-0000F7030000}"/>
    <cellStyle name="Normal 2 31 15 2" xfId="11224" xr:uid="{00000000-0005-0000-0000-0000EF220000}"/>
    <cellStyle name="Normal 2 31 16" xfId="1120" xr:uid="{00000000-0005-0000-0000-0000F8030000}"/>
    <cellStyle name="Normal 2 31 16 2" xfId="11225" xr:uid="{00000000-0005-0000-0000-0000F1220000}"/>
    <cellStyle name="Normal 2 31 17" xfId="1121" xr:uid="{00000000-0005-0000-0000-0000F9030000}"/>
    <cellStyle name="Normal 2 31 17 2" xfId="11226" xr:uid="{00000000-0005-0000-0000-0000F3220000}"/>
    <cellStyle name="Normal 2 31 18" xfId="1122" xr:uid="{00000000-0005-0000-0000-0000FA030000}"/>
    <cellStyle name="Normal 2 31 18 2" xfId="11227" xr:uid="{00000000-0005-0000-0000-0000F5220000}"/>
    <cellStyle name="Normal 2 31 19" xfId="1123" xr:uid="{00000000-0005-0000-0000-0000FB030000}"/>
    <cellStyle name="Normal 2 31 19 2" xfId="11228" xr:uid="{00000000-0005-0000-0000-0000F7220000}"/>
    <cellStyle name="Normal 2 31 2" xfId="1124" xr:uid="{00000000-0005-0000-0000-0000FC030000}"/>
    <cellStyle name="Normal 2 31 2 2" xfId="11229" xr:uid="{00000000-0005-0000-0000-0000F9220000}"/>
    <cellStyle name="Normal 2 31 20" xfId="1125" xr:uid="{00000000-0005-0000-0000-0000FD030000}"/>
    <cellStyle name="Normal 2 31 20 2" xfId="11230" xr:uid="{00000000-0005-0000-0000-0000FB220000}"/>
    <cellStyle name="Normal 2 31 21" xfId="1126" xr:uid="{00000000-0005-0000-0000-0000FE030000}"/>
    <cellStyle name="Normal 2 31 21 2" xfId="11231" xr:uid="{00000000-0005-0000-0000-0000FD220000}"/>
    <cellStyle name="Normal 2 31 22" xfId="1127" xr:uid="{00000000-0005-0000-0000-0000FF030000}"/>
    <cellStyle name="Normal 2 31 22 2" xfId="11232" xr:uid="{00000000-0005-0000-0000-0000FF220000}"/>
    <cellStyle name="Normal 2 31 23" xfId="1128" xr:uid="{00000000-0005-0000-0000-000000040000}"/>
    <cellStyle name="Normal 2 31 23 2" xfId="11233" xr:uid="{00000000-0005-0000-0000-000001230000}"/>
    <cellStyle name="Normal 2 31 24" xfId="11234" xr:uid="{00000000-0005-0000-0000-000002230000}"/>
    <cellStyle name="Normal 2 31 3" xfId="1129" xr:uid="{00000000-0005-0000-0000-000001040000}"/>
    <cellStyle name="Normal 2 31 3 2" xfId="11235" xr:uid="{00000000-0005-0000-0000-000004230000}"/>
    <cellStyle name="Normal 2 31 4" xfId="1130" xr:uid="{00000000-0005-0000-0000-000002040000}"/>
    <cellStyle name="Normal 2 31 4 2" xfId="11236" xr:uid="{00000000-0005-0000-0000-000006230000}"/>
    <cellStyle name="Normal 2 31 5" xfId="1131" xr:uid="{00000000-0005-0000-0000-000003040000}"/>
    <cellStyle name="Normal 2 31 5 2" xfId="11237" xr:uid="{00000000-0005-0000-0000-000008230000}"/>
    <cellStyle name="Normal 2 31 6" xfId="1132" xr:uid="{00000000-0005-0000-0000-000004040000}"/>
    <cellStyle name="Normal 2 31 6 2" xfId="11238" xr:uid="{00000000-0005-0000-0000-00000A230000}"/>
    <cellStyle name="Normal 2 31 7" xfId="1133" xr:uid="{00000000-0005-0000-0000-000005040000}"/>
    <cellStyle name="Normal 2 31 7 2" xfId="11239" xr:uid="{00000000-0005-0000-0000-00000C230000}"/>
    <cellStyle name="Normal 2 31 8" xfId="1134" xr:uid="{00000000-0005-0000-0000-000006040000}"/>
    <cellStyle name="Normal 2 31 8 2" xfId="11240" xr:uid="{00000000-0005-0000-0000-00000E230000}"/>
    <cellStyle name="Normal 2 31 9" xfId="1135" xr:uid="{00000000-0005-0000-0000-000007040000}"/>
    <cellStyle name="Normal 2 31 9 2" xfId="11241" xr:uid="{00000000-0005-0000-0000-000010230000}"/>
    <cellStyle name="Normal 2 32" xfId="1136" xr:uid="{00000000-0005-0000-0000-000008040000}"/>
    <cellStyle name="Normal 2 32 10" xfId="1137" xr:uid="{00000000-0005-0000-0000-000009040000}"/>
    <cellStyle name="Normal 2 32 10 2" xfId="11242" xr:uid="{00000000-0005-0000-0000-000013230000}"/>
    <cellStyle name="Normal 2 32 11" xfId="1138" xr:uid="{00000000-0005-0000-0000-00000A040000}"/>
    <cellStyle name="Normal 2 32 11 2" xfId="11243" xr:uid="{00000000-0005-0000-0000-000015230000}"/>
    <cellStyle name="Normal 2 32 12" xfId="1139" xr:uid="{00000000-0005-0000-0000-00000B040000}"/>
    <cellStyle name="Normal 2 32 12 2" xfId="11244" xr:uid="{00000000-0005-0000-0000-000017230000}"/>
    <cellStyle name="Normal 2 32 13" xfId="1140" xr:uid="{00000000-0005-0000-0000-00000C040000}"/>
    <cellStyle name="Normal 2 32 13 2" xfId="11245" xr:uid="{00000000-0005-0000-0000-000019230000}"/>
    <cellStyle name="Normal 2 32 14" xfId="1141" xr:uid="{00000000-0005-0000-0000-00000D040000}"/>
    <cellStyle name="Normal 2 32 14 2" xfId="11246" xr:uid="{00000000-0005-0000-0000-00001B230000}"/>
    <cellStyle name="Normal 2 32 15" xfId="1142" xr:uid="{00000000-0005-0000-0000-00000E040000}"/>
    <cellStyle name="Normal 2 32 15 2" xfId="11247" xr:uid="{00000000-0005-0000-0000-00001D230000}"/>
    <cellStyle name="Normal 2 32 16" xfId="1143" xr:uid="{00000000-0005-0000-0000-00000F040000}"/>
    <cellStyle name="Normal 2 32 16 2" xfId="11248" xr:uid="{00000000-0005-0000-0000-00001F230000}"/>
    <cellStyle name="Normal 2 32 17" xfId="1144" xr:uid="{00000000-0005-0000-0000-000010040000}"/>
    <cellStyle name="Normal 2 32 17 2" xfId="11249" xr:uid="{00000000-0005-0000-0000-000021230000}"/>
    <cellStyle name="Normal 2 32 18" xfId="1145" xr:uid="{00000000-0005-0000-0000-000011040000}"/>
    <cellStyle name="Normal 2 32 18 2" xfId="11250" xr:uid="{00000000-0005-0000-0000-000023230000}"/>
    <cellStyle name="Normal 2 32 19" xfId="1146" xr:uid="{00000000-0005-0000-0000-000012040000}"/>
    <cellStyle name="Normal 2 32 19 2" xfId="11251" xr:uid="{00000000-0005-0000-0000-000025230000}"/>
    <cellStyle name="Normal 2 32 2" xfId="1147" xr:uid="{00000000-0005-0000-0000-000013040000}"/>
    <cellStyle name="Normal 2 32 2 2" xfId="11252" xr:uid="{00000000-0005-0000-0000-000027230000}"/>
    <cellStyle name="Normal 2 32 20" xfId="1148" xr:uid="{00000000-0005-0000-0000-000014040000}"/>
    <cellStyle name="Normal 2 32 20 2" xfId="11253" xr:uid="{00000000-0005-0000-0000-000029230000}"/>
    <cellStyle name="Normal 2 32 21" xfId="1149" xr:uid="{00000000-0005-0000-0000-000015040000}"/>
    <cellStyle name="Normal 2 32 21 2" xfId="11254" xr:uid="{00000000-0005-0000-0000-00002B230000}"/>
    <cellStyle name="Normal 2 32 22" xfId="1150" xr:uid="{00000000-0005-0000-0000-000016040000}"/>
    <cellStyle name="Normal 2 32 22 2" xfId="11255" xr:uid="{00000000-0005-0000-0000-00002D230000}"/>
    <cellStyle name="Normal 2 32 23" xfId="1151" xr:uid="{00000000-0005-0000-0000-000017040000}"/>
    <cellStyle name="Normal 2 32 23 2" xfId="11256" xr:uid="{00000000-0005-0000-0000-00002F230000}"/>
    <cellStyle name="Normal 2 32 24" xfId="11257" xr:uid="{00000000-0005-0000-0000-000030230000}"/>
    <cellStyle name="Normal 2 32 3" xfId="1152" xr:uid="{00000000-0005-0000-0000-000018040000}"/>
    <cellStyle name="Normal 2 32 3 2" xfId="11258" xr:uid="{00000000-0005-0000-0000-000032230000}"/>
    <cellStyle name="Normal 2 32 4" xfId="1153" xr:uid="{00000000-0005-0000-0000-000019040000}"/>
    <cellStyle name="Normal 2 32 4 2" xfId="11259" xr:uid="{00000000-0005-0000-0000-000034230000}"/>
    <cellStyle name="Normal 2 32 5" xfId="1154" xr:uid="{00000000-0005-0000-0000-00001A040000}"/>
    <cellStyle name="Normal 2 32 5 2" xfId="11260" xr:uid="{00000000-0005-0000-0000-000036230000}"/>
    <cellStyle name="Normal 2 32 6" xfId="1155" xr:uid="{00000000-0005-0000-0000-00001B040000}"/>
    <cellStyle name="Normal 2 32 6 2" xfId="11261" xr:uid="{00000000-0005-0000-0000-000038230000}"/>
    <cellStyle name="Normal 2 32 7" xfId="1156" xr:uid="{00000000-0005-0000-0000-00001C040000}"/>
    <cellStyle name="Normal 2 32 7 2" xfId="11262" xr:uid="{00000000-0005-0000-0000-00003A230000}"/>
    <cellStyle name="Normal 2 32 8" xfId="1157" xr:uid="{00000000-0005-0000-0000-00001D040000}"/>
    <cellStyle name="Normal 2 32 8 2" xfId="11263" xr:uid="{00000000-0005-0000-0000-00003C230000}"/>
    <cellStyle name="Normal 2 32 9" xfId="1158" xr:uid="{00000000-0005-0000-0000-00001E040000}"/>
    <cellStyle name="Normal 2 32 9 2" xfId="11264" xr:uid="{00000000-0005-0000-0000-00003E230000}"/>
    <cellStyle name="Normal 2 33" xfId="1159" xr:uid="{00000000-0005-0000-0000-00001F040000}"/>
    <cellStyle name="Normal 2 33 10" xfId="1160" xr:uid="{00000000-0005-0000-0000-000020040000}"/>
    <cellStyle name="Normal 2 33 10 2" xfId="11265" xr:uid="{00000000-0005-0000-0000-000041230000}"/>
    <cellStyle name="Normal 2 33 11" xfId="1161" xr:uid="{00000000-0005-0000-0000-000021040000}"/>
    <cellStyle name="Normal 2 33 11 2" xfId="11266" xr:uid="{00000000-0005-0000-0000-000043230000}"/>
    <cellStyle name="Normal 2 33 12" xfId="1162" xr:uid="{00000000-0005-0000-0000-000022040000}"/>
    <cellStyle name="Normal 2 33 12 2" xfId="11267" xr:uid="{00000000-0005-0000-0000-000045230000}"/>
    <cellStyle name="Normal 2 33 13" xfId="1163" xr:uid="{00000000-0005-0000-0000-000023040000}"/>
    <cellStyle name="Normal 2 33 13 2" xfId="11268" xr:uid="{00000000-0005-0000-0000-000047230000}"/>
    <cellStyle name="Normal 2 33 14" xfId="1164" xr:uid="{00000000-0005-0000-0000-000024040000}"/>
    <cellStyle name="Normal 2 33 14 2" xfId="11269" xr:uid="{00000000-0005-0000-0000-000049230000}"/>
    <cellStyle name="Normal 2 33 15" xfId="1165" xr:uid="{00000000-0005-0000-0000-000025040000}"/>
    <cellStyle name="Normal 2 33 15 2" xfId="11270" xr:uid="{00000000-0005-0000-0000-00004B230000}"/>
    <cellStyle name="Normal 2 33 16" xfId="1166" xr:uid="{00000000-0005-0000-0000-000026040000}"/>
    <cellStyle name="Normal 2 33 16 2" xfId="11271" xr:uid="{00000000-0005-0000-0000-00004D230000}"/>
    <cellStyle name="Normal 2 33 17" xfId="1167" xr:uid="{00000000-0005-0000-0000-000027040000}"/>
    <cellStyle name="Normal 2 33 17 2" xfId="11272" xr:uid="{00000000-0005-0000-0000-00004F230000}"/>
    <cellStyle name="Normal 2 33 18" xfId="1168" xr:uid="{00000000-0005-0000-0000-000028040000}"/>
    <cellStyle name="Normal 2 33 18 2" xfId="11273" xr:uid="{00000000-0005-0000-0000-000051230000}"/>
    <cellStyle name="Normal 2 33 19" xfId="1169" xr:uid="{00000000-0005-0000-0000-000029040000}"/>
    <cellStyle name="Normal 2 33 19 2" xfId="11274" xr:uid="{00000000-0005-0000-0000-000053230000}"/>
    <cellStyle name="Normal 2 33 2" xfId="1170" xr:uid="{00000000-0005-0000-0000-00002A040000}"/>
    <cellStyle name="Normal 2 33 2 2" xfId="11275" xr:uid="{00000000-0005-0000-0000-000055230000}"/>
    <cellStyle name="Normal 2 33 20" xfId="1171" xr:uid="{00000000-0005-0000-0000-00002B040000}"/>
    <cellStyle name="Normal 2 33 20 2" xfId="11276" xr:uid="{00000000-0005-0000-0000-000057230000}"/>
    <cellStyle name="Normal 2 33 21" xfId="1172" xr:uid="{00000000-0005-0000-0000-00002C040000}"/>
    <cellStyle name="Normal 2 33 21 2" xfId="11277" xr:uid="{00000000-0005-0000-0000-000059230000}"/>
    <cellStyle name="Normal 2 33 22" xfId="1173" xr:uid="{00000000-0005-0000-0000-00002D040000}"/>
    <cellStyle name="Normal 2 33 22 2" xfId="11278" xr:uid="{00000000-0005-0000-0000-00005B230000}"/>
    <cellStyle name="Normal 2 33 23" xfId="1174" xr:uid="{00000000-0005-0000-0000-00002E040000}"/>
    <cellStyle name="Normal 2 33 23 2" xfId="11279" xr:uid="{00000000-0005-0000-0000-00005D230000}"/>
    <cellStyle name="Normal 2 33 24" xfId="11280" xr:uid="{00000000-0005-0000-0000-00005E230000}"/>
    <cellStyle name="Normal 2 33 3" xfId="1175" xr:uid="{00000000-0005-0000-0000-00002F040000}"/>
    <cellStyle name="Normal 2 33 3 2" xfId="11281" xr:uid="{00000000-0005-0000-0000-000060230000}"/>
    <cellStyle name="Normal 2 33 4" xfId="1176" xr:uid="{00000000-0005-0000-0000-000030040000}"/>
    <cellStyle name="Normal 2 33 4 2" xfId="11282" xr:uid="{00000000-0005-0000-0000-000062230000}"/>
    <cellStyle name="Normal 2 33 5" xfId="1177" xr:uid="{00000000-0005-0000-0000-000031040000}"/>
    <cellStyle name="Normal 2 33 5 2" xfId="11283" xr:uid="{00000000-0005-0000-0000-000064230000}"/>
    <cellStyle name="Normal 2 33 6" xfId="1178" xr:uid="{00000000-0005-0000-0000-000032040000}"/>
    <cellStyle name="Normal 2 33 6 2" xfId="11284" xr:uid="{00000000-0005-0000-0000-000066230000}"/>
    <cellStyle name="Normal 2 33 7" xfId="1179" xr:uid="{00000000-0005-0000-0000-000033040000}"/>
    <cellStyle name="Normal 2 33 7 2" xfId="11285" xr:uid="{00000000-0005-0000-0000-000068230000}"/>
    <cellStyle name="Normal 2 33 8" xfId="1180" xr:uid="{00000000-0005-0000-0000-000034040000}"/>
    <cellStyle name="Normal 2 33 8 2" xfId="11286" xr:uid="{00000000-0005-0000-0000-00006A230000}"/>
    <cellStyle name="Normal 2 33 9" xfId="1181" xr:uid="{00000000-0005-0000-0000-000035040000}"/>
    <cellStyle name="Normal 2 33 9 2" xfId="11287" xr:uid="{00000000-0005-0000-0000-00006C230000}"/>
    <cellStyle name="Normal 2 34" xfId="1182" xr:uid="{00000000-0005-0000-0000-000036040000}"/>
    <cellStyle name="Normal 2 34 10" xfId="1183" xr:uid="{00000000-0005-0000-0000-000037040000}"/>
    <cellStyle name="Normal 2 34 10 2" xfId="11288" xr:uid="{00000000-0005-0000-0000-00006F230000}"/>
    <cellStyle name="Normal 2 34 11" xfId="1184" xr:uid="{00000000-0005-0000-0000-000038040000}"/>
    <cellStyle name="Normal 2 34 11 2" xfId="11289" xr:uid="{00000000-0005-0000-0000-000071230000}"/>
    <cellStyle name="Normal 2 34 12" xfId="1185" xr:uid="{00000000-0005-0000-0000-000039040000}"/>
    <cellStyle name="Normal 2 34 12 2" xfId="11290" xr:uid="{00000000-0005-0000-0000-000073230000}"/>
    <cellStyle name="Normal 2 34 13" xfId="1186" xr:uid="{00000000-0005-0000-0000-00003A040000}"/>
    <cellStyle name="Normal 2 34 13 2" xfId="11291" xr:uid="{00000000-0005-0000-0000-000075230000}"/>
    <cellStyle name="Normal 2 34 14" xfId="1187" xr:uid="{00000000-0005-0000-0000-00003B040000}"/>
    <cellStyle name="Normal 2 34 14 2" xfId="11292" xr:uid="{00000000-0005-0000-0000-000077230000}"/>
    <cellStyle name="Normal 2 34 15" xfId="1188" xr:uid="{00000000-0005-0000-0000-00003C040000}"/>
    <cellStyle name="Normal 2 34 15 2" xfId="11293" xr:uid="{00000000-0005-0000-0000-000079230000}"/>
    <cellStyle name="Normal 2 34 16" xfId="1189" xr:uid="{00000000-0005-0000-0000-00003D040000}"/>
    <cellStyle name="Normal 2 34 16 2" xfId="11294" xr:uid="{00000000-0005-0000-0000-00007B230000}"/>
    <cellStyle name="Normal 2 34 17" xfId="1190" xr:uid="{00000000-0005-0000-0000-00003E040000}"/>
    <cellStyle name="Normal 2 34 17 2" xfId="11295" xr:uid="{00000000-0005-0000-0000-00007D230000}"/>
    <cellStyle name="Normal 2 34 18" xfId="1191" xr:uid="{00000000-0005-0000-0000-00003F040000}"/>
    <cellStyle name="Normal 2 34 18 2" xfId="11296" xr:uid="{00000000-0005-0000-0000-00007F230000}"/>
    <cellStyle name="Normal 2 34 19" xfId="1192" xr:uid="{00000000-0005-0000-0000-000040040000}"/>
    <cellStyle name="Normal 2 34 19 2" xfId="11297" xr:uid="{00000000-0005-0000-0000-000081230000}"/>
    <cellStyle name="Normal 2 34 2" xfId="1193" xr:uid="{00000000-0005-0000-0000-000041040000}"/>
    <cellStyle name="Normal 2 34 2 2" xfId="11298" xr:uid="{00000000-0005-0000-0000-000083230000}"/>
    <cellStyle name="Normal 2 34 20" xfId="1194" xr:uid="{00000000-0005-0000-0000-000042040000}"/>
    <cellStyle name="Normal 2 34 20 2" xfId="11299" xr:uid="{00000000-0005-0000-0000-000085230000}"/>
    <cellStyle name="Normal 2 34 21" xfId="1195" xr:uid="{00000000-0005-0000-0000-000043040000}"/>
    <cellStyle name="Normal 2 34 21 2" xfId="11300" xr:uid="{00000000-0005-0000-0000-000087230000}"/>
    <cellStyle name="Normal 2 34 22" xfId="1196" xr:uid="{00000000-0005-0000-0000-000044040000}"/>
    <cellStyle name="Normal 2 34 22 2" xfId="11301" xr:uid="{00000000-0005-0000-0000-000089230000}"/>
    <cellStyle name="Normal 2 34 23" xfId="1197" xr:uid="{00000000-0005-0000-0000-000045040000}"/>
    <cellStyle name="Normal 2 34 23 2" xfId="11302" xr:uid="{00000000-0005-0000-0000-00008B230000}"/>
    <cellStyle name="Normal 2 34 24" xfId="11303" xr:uid="{00000000-0005-0000-0000-00008C230000}"/>
    <cellStyle name="Normal 2 34 3" xfId="1198" xr:uid="{00000000-0005-0000-0000-000046040000}"/>
    <cellStyle name="Normal 2 34 3 2" xfId="11304" xr:uid="{00000000-0005-0000-0000-00008E230000}"/>
    <cellStyle name="Normal 2 34 4" xfId="1199" xr:uid="{00000000-0005-0000-0000-000047040000}"/>
    <cellStyle name="Normal 2 34 4 2" xfId="11305" xr:uid="{00000000-0005-0000-0000-000090230000}"/>
    <cellStyle name="Normal 2 34 5" xfId="1200" xr:uid="{00000000-0005-0000-0000-000048040000}"/>
    <cellStyle name="Normal 2 34 5 2" xfId="11306" xr:uid="{00000000-0005-0000-0000-000092230000}"/>
    <cellStyle name="Normal 2 34 6" xfId="1201" xr:uid="{00000000-0005-0000-0000-000049040000}"/>
    <cellStyle name="Normal 2 34 6 2" xfId="11307" xr:uid="{00000000-0005-0000-0000-000094230000}"/>
    <cellStyle name="Normal 2 34 7" xfId="1202" xr:uid="{00000000-0005-0000-0000-00004A040000}"/>
    <cellStyle name="Normal 2 34 7 2" xfId="11308" xr:uid="{00000000-0005-0000-0000-000096230000}"/>
    <cellStyle name="Normal 2 34 8" xfId="1203" xr:uid="{00000000-0005-0000-0000-00004B040000}"/>
    <cellStyle name="Normal 2 34 8 2" xfId="11309" xr:uid="{00000000-0005-0000-0000-000098230000}"/>
    <cellStyle name="Normal 2 34 9" xfId="1204" xr:uid="{00000000-0005-0000-0000-00004C040000}"/>
    <cellStyle name="Normal 2 34 9 2" xfId="11310" xr:uid="{00000000-0005-0000-0000-00009A230000}"/>
    <cellStyle name="Normal 2 35" xfId="1205" xr:uid="{00000000-0005-0000-0000-00004D040000}"/>
    <cellStyle name="Normal 2 35 10" xfId="1206" xr:uid="{00000000-0005-0000-0000-00004E040000}"/>
    <cellStyle name="Normal 2 35 10 2" xfId="11311" xr:uid="{00000000-0005-0000-0000-00009D230000}"/>
    <cellStyle name="Normal 2 35 11" xfId="1207" xr:uid="{00000000-0005-0000-0000-00004F040000}"/>
    <cellStyle name="Normal 2 35 11 2" xfId="11312" xr:uid="{00000000-0005-0000-0000-00009F230000}"/>
    <cellStyle name="Normal 2 35 12" xfId="1208" xr:uid="{00000000-0005-0000-0000-000050040000}"/>
    <cellStyle name="Normal 2 35 12 2" xfId="11313" xr:uid="{00000000-0005-0000-0000-0000A1230000}"/>
    <cellStyle name="Normal 2 35 13" xfId="1209" xr:uid="{00000000-0005-0000-0000-000051040000}"/>
    <cellStyle name="Normal 2 35 13 2" xfId="11314" xr:uid="{00000000-0005-0000-0000-0000A3230000}"/>
    <cellStyle name="Normal 2 35 14" xfId="1210" xr:uid="{00000000-0005-0000-0000-000052040000}"/>
    <cellStyle name="Normal 2 35 14 2" xfId="11315" xr:uid="{00000000-0005-0000-0000-0000A5230000}"/>
    <cellStyle name="Normal 2 35 15" xfId="1211" xr:uid="{00000000-0005-0000-0000-000053040000}"/>
    <cellStyle name="Normal 2 35 15 2" xfId="11316" xr:uid="{00000000-0005-0000-0000-0000A7230000}"/>
    <cellStyle name="Normal 2 35 16" xfId="1212" xr:uid="{00000000-0005-0000-0000-000054040000}"/>
    <cellStyle name="Normal 2 35 16 2" xfId="11317" xr:uid="{00000000-0005-0000-0000-0000A9230000}"/>
    <cellStyle name="Normal 2 35 17" xfId="1213" xr:uid="{00000000-0005-0000-0000-000055040000}"/>
    <cellStyle name="Normal 2 35 17 2" xfId="11318" xr:uid="{00000000-0005-0000-0000-0000AB230000}"/>
    <cellStyle name="Normal 2 35 18" xfId="1214" xr:uid="{00000000-0005-0000-0000-000056040000}"/>
    <cellStyle name="Normal 2 35 18 2" xfId="11319" xr:uid="{00000000-0005-0000-0000-0000AD230000}"/>
    <cellStyle name="Normal 2 35 19" xfId="1215" xr:uid="{00000000-0005-0000-0000-000057040000}"/>
    <cellStyle name="Normal 2 35 19 2" xfId="11320" xr:uid="{00000000-0005-0000-0000-0000AF230000}"/>
    <cellStyle name="Normal 2 35 2" xfId="1216" xr:uid="{00000000-0005-0000-0000-000058040000}"/>
    <cellStyle name="Normal 2 35 2 2" xfId="11321" xr:uid="{00000000-0005-0000-0000-0000B1230000}"/>
    <cellStyle name="Normal 2 35 20" xfId="1217" xr:uid="{00000000-0005-0000-0000-000059040000}"/>
    <cellStyle name="Normal 2 35 20 2" xfId="11322" xr:uid="{00000000-0005-0000-0000-0000B3230000}"/>
    <cellStyle name="Normal 2 35 21" xfId="1218" xr:uid="{00000000-0005-0000-0000-00005A040000}"/>
    <cellStyle name="Normal 2 35 21 2" xfId="11323" xr:uid="{00000000-0005-0000-0000-0000B5230000}"/>
    <cellStyle name="Normal 2 35 22" xfId="1219" xr:uid="{00000000-0005-0000-0000-00005B040000}"/>
    <cellStyle name="Normal 2 35 22 2" xfId="11324" xr:uid="{00000000-0005-0000-0000-0000B7230000}"/>
    <cellStyle name="Normal 2 35 23" xfId="1220" xr:uid="{00000000-0005-0000-0000-00005C040000}"/>
    <cellStyle name="Normal 2 35 23 2" xfId="11325" xr:uid="{00000000-0005-0000-0000-0000B9230000}"/>
    <cellStyle name="Normal 2 35 24" xfId="11326" xr:uid="{00000000-0005-0000-0000-0000BA230000}"/>
    <cellStyle name="Normal 2 35 3" xfId="1221" xr:uid="{00000000-0005-0000-0000-00005D040000}"/>
    <cellStyle name="Normal 2 35 3 2" xfId="11327" xr:uid="{00000000-0005-0000-0000-0000BC230000}"/>
    <cellStyle name="Normal 2 35 4" xfId="1222" xr:uid="{00000000-0005-0000-0000-00005E040000}"/>
    <cellStyle name="Normal 2 35 4 2" xfId="11328" xr:uid="{00000000-0005-0000-0000-0000BE230000}"/>
    <cellStyle name="Normal 2 35 5" xfId="1223" xr:uid="{00000000-0005-0000-0000-00005F040000}"/>
    <cellStyle name="Normal 2 35 5 2" xfId="11329" xr:uid="{00000000-0005-0000-0000-0000C0230000}"/>
    <cellStyle name="Normal 2 35 6" xfId="1224" xr:uid="{00000000-0005-0000-0000-000060040000}"/>
    <cellStyle name="Normal 2 35 6 2" xfId="11330" xr:uid="{00000000-0005-0000-0000-0000C2230000}"/>
    <cellStyle name="Normal 2 35 7" xfId="1225" xr:uid="{00000000-0005-0000-0000-000061040000}"/>
    <cellStyle name="Normal 2 35 7 2" xfId="11331" xr:uid="{00000000-0005-0000-0000-0000C4230000}"/>
    <cellStyle name="Normal 2 35 8" xfId="1226" xr:uid="{00000000-0005-0000-0000-000062040000}"/>
    <cellStyle name="Normal 2 35 8 2" xfId="11332" xr:uid="{00000000-0005-0000-0000-0000C6230000}"/>
    <cellStyle name="Normal 2 35 9" xfId="1227" xr:uid="{00000000-0005-0000-0000-000063040000}"/>
    <cellStyle name="Normal 2 35 9 2" xfId="11333" xr:uid="{00000000-0005-0000-0000-0000C8230000}"/>
    <cellStyle name="Normal 2 36" xfId="1228" xr:uid="{00000000-0005-0000-0000-000064040000}"/>
    <cellStyle name="Normal 2 36 10" xfId="1229" xr:uid="{00000000-0005-0000-0000-000065040000}"/>
    <cellStyle name="Normal 2 36 10 2" xfId="11334" xr:uid="{00000000-0005-0000-0000-0000CB230000}"/>
    <cellStyle name="Normal 2 36 11" xfId="1230" xr:uid="{00000000-0005-0000-0000-000066040000}"/>
    <cellStyle name="Normal 2 36 11 2" xfId="11335" xr:uid="{00000000-0005-0000-0000-0000CD230000}"/>
    <cellStyle name="Normal 2 36 12" xfId="1231" xr:uid="{00000000-0005-0000-0000-000067040000}"/>
    <cellStyle name="Normal 2 36 12 2" xfId="11336" xr:uid="{00000000-0005-0000-0000-0000CF230000}"/>
    <cellStyle name="Normal 2 36 13" xfId="1232" xr:uid="{00000000-0005-0000-0000-000068040000}"/>
    <cellStyle name="Normal 2 36 13 2" xfId="11337" xr:uid="{00000000-0005-0000-0000-0000D1230000}"/>
    <cellStyle name="Normal 2 36 14" xfId="1233" xr:uid="{00000000-0005-0000-0000-000069040000}"/>
    <cellStyle name="Normal 2 36 14 2" xfId="11338" xr:uid="{00000000-0005-0000-0000-0000D3230000}"/>
    <cellStyle name="Normal 2 36 15" xfId="1234" xr:uid="{00000000-0005-0000-0000-00006A040000}"/>
    <cellStyle name="Normal 2 36 15 2" xfId="11339" xr:uid="{00000000-0005-0000-0000-0000D5230000}"/>
    <cellStyle name="Normal 2 36 16" xfId="1235" xr:uid="{00000000-0005-0000-0000-00006B040000}"/>
    <cellStyle name="Normal 2 36 16 2" xfId="11340" xr:uid="{00000000-0005-0000-0000-0000D7230000}"/>
    <cellStyle name="Normal 2 36 17" xfId="1236" xr:uid="{00000000-0005-0000-0000-00006C040000}"/>
    <cellStyle name="Normal 2 36 17 2" xfId="11341" xr:uid="{00000000-0005-0000-0000-0000D9230000}"/>
    <cellStyle name="Normal 2 36 18" xfId="1237" xr:uid="{00000000-0005-0000-0000-00006D040000}"/>
    <cellStyle name="Normal 2 36 18 2" xfId="11342" xr:uid="{00000000-0005-0000-0000-0000DB230000}"/>
    <cellStyle name="Normal 2 36 19" xfId="1238" xr:uid="{00000000-0005-0000-0000-00006E040000}"/>
    <cellStyle name="Normal 2 36 19 2" xfId="11343" xr:uid="{00000000-0005-0000-0000-0000DD230000}"/>
    <cellStyle name="Normal 2 36 2" xfId="1239" xr:uid="{00000000-0005-0000-0000-00006F040000}"/>
    <cellStyle name="Normal 2 36 2 2" xfId="11344" xr:uid="{00000000-0005-0000-0000-0000DF230000}"/>
    <cellStyle name="Normal 2 36 20" xfId="1240" xr:uid="{00000000-0005-0000-0000-000070040000}"/>
    <cellStyle name="Normal 2 36 20 2" xfId="11345" xr:uid="{00000000-0005-0000-0000-0000E1230000}"/>
    <cellStyle name="Normal 2 36 21" xfId="1241" xr:uid="{00000000-0005-0000-0000-000071040000}"/>
    <cellStyle name="Normal 2 36 21 2" xfId="11346" xr:uid="{00000000-0005-0000-0000-0000E3230000}"/>
    <cellStyle name="Normal 2 36 22" xfId="1242" xr:uid="{00000000-0005-0000-0000-000072040000}"/>
    <cellStyle name="Normal 2 36 22 2" xfId="11347" xr:uid="{00000000-0005-0000-0000-0000E5230000}"/>
    <cellStyle name="Normal 2 36 23" xfId="1243" xr:uid="{00000000-0005-0000-0000-000073040000}"/>
    <cellStyle name="Normal 2 36 23 2" xfId="11348" xr:uid="{00000000-0005-0000-0000-0000E7230000}"/>
    <cellStyle name="Normal 2 36 24" xfId="11349" xr:uid="{00000000-0005-0000-0000-0000E8230000}"/>
    <cellStyle name="Normal 2 36 3" xfId="1244" xr:uid="{00000000-0005-0000-0000-000074040000}"/>
    <cellStyle name="Normal 2 36 3 2" xfId="11350" xr:uid="{00000000-0005-0000-0000-0000EA230000}"/>
    <cellStyle name="Normal 2 36 4" xfId="1245" xr:uid="{00000000-0005-0000-0000-000075040000}"/>
    <cellStyle name="Normal 2 36 4 2" xfId="11351" xr:uid="{00000000-0005-0000-0000-0000EC230000}"/>
    <cellStyle name="Normal 2 36 5" xfId="1246" xr:uid="{00000000-0005-0000-0000-000076040000}"/>
    <cellStyle name="Normal 2 36 5 2" xfId="11352" xr:uid="{00000000-0005-0000-0000-0000EE230000}"/>
    <cellStyle name="Normal 2 36 6" xfId="1247" xr:uid="{00000000-0005-0000-0000-000077040000}"/>
    <cellStyle name="Normal 2 36 6 2" xfId="11353" xr:uid="{00000000-0005-0000-0000-0000F0230000}"/>
    <cellStyle name="Normal 2 36 7" xfId="1248" xr:uid="{00000000-0005-0000-0000-000078040000}"/>
    <cellStyle name="Normal 2 36 7 2" xfId="11354" xr:uid="{00000000-0005-0000-0000-0000F2230000}"/>
    <cellStyle name="Normal 2 36 8" xfId="1249" xr:uid="{00000000-0005-0000-0000-000079040000}"/>
    <cellStyle name="Normal 2 36 8 2" xfId="11355" xr:uid="{00000000-0005-0000-0000-0000F4230000}"/>
    <cellStyle name="Normal 2 36 9" xfId="1250" xr:uid="{00000000-0005-0000-0000-00007A040000}"/>
    <cellStyle name="Normal 2 36 9 2" xfId="11356" xr:uid="{00000000-0005-0000-0000-0000F6230000}"/>
    <cellStyle name="Normal 2 37" xfId="1251" xr:uid="{00000000-0005-0000-0000-00007B040000}"/>
    <cellStyle name="Normal 2 37 10" xfId="1252" xr:uid="{00000000-0005-0000-0000-00007C040000}"/>
    <cellStyle name="Normal 2 37 10 2" xfId="11357" xr:uid="{00000000-0005-0000-0000-0000F9230000}"/>
    <cellStyle name="Normal 2 37 11" xfId="1253" xr:uid="{00000000-0005-0000-0000-00007D040000}"/>
    <cellStyle name="Normal 2 37 11 2" xfId="11358" xr:uid="{00000000-0005-0000-0000-0000FB230000}"/>
    <cellStyle name="Normal 2 37 12" xfId="1254" xr:uid="{00000000-0005-0000-0000-00007E040000}"/>
    <cellStyle name="Normal 2 37 12 2" xfId="11359" xr:uid="{00000000-0005-0000-0000-0000FD230000}"/>
    <cellStyle name="Normal 2 37 13" xfId="1255" xr:uid="{00000000-0005-0000-0000-00007F040000}"/>
    <cellStyle name="Normal 2 37 13 2" xfId="11360" xr:uid="{00000000-0005-0000-0000-0000FF230000}"/>
    <cellStyle name="Normal 2 37 14" xfId="1256" xr:uid="{00000000-0005-0000-0000-000080040000}"/>
    <cellStyle name="Normal 2 37 14 2" xfId="11361" xr:uid="{00000000-0005-0000-0000-000001240000}"/>
    <cellStyle name="Normal 2 37 15" xfId="1257" xr:uid="{00000000-0005-0000-0000-000081040000}"/>
    <cellStyle name="Normal 2 37 15 2" xfId="11362" xr:uid="{00000000-0005-0000-0000-000003240000}"/>
    <cellStyle name="Normal 2 37 16" xfId="1258" xr:uid="{00000000-0005-0000-0000-000082040000}"/>
    <cellStyle name="Normal 2 37 16 2" xfId="11363" xr:uid="{00000000-0005-0000-0000-000005240000}"/>
    <cellStyle name="Normal 2 37 17" xfId="1259" xr:uid="{00000000-0005-0000-0000-000083040000}"/>
    <cellStyle name="Normal 2 37 17 2" xfId="11364" xr:uid="{00000000-0005-0000-0000-000007240000}"/>
    <cellStyle name="Normal 2 37 18" xfId="1260" xr:uid="{00000000-0005-0000-0000-000084040000}"/>
    <cellStyle name="Normal 2 37 18 2" xfId="11365" xr:uid="{00000000-0005-0000-0000-000009240000}"/>
    <cellStyle name="Normal 2 37 19" xfId="1261" xr:uid="{00000000-0005-0000-0000-000085040000}"/>
    <cellStyle name="Normal 2 37 19 2" xfId="11366" xr:uid="{00000000-0005-0000-0000-00000B240000}"/>
    <cellStyle name="Normal 2 37 2" xfId="1262" xr:uid="{00000000-0005-0000-0000-000086040000}"/>
    <cellStyle name="Normal 2 37 2 2" xfId="11367" xr:uid="{00000000-0005-0000-0000-00000D240000}"/>
    <cellStyle name="Normal 2 37 20" xfId="1263" xr:uid="{00000000-0005-0000-0000-000087040000}"/>
    <cellStyle name="Normal 2 37 20 2" xfId="11368" xr:uid="{00000000-0005-0000-0000-00000F240000}"/>
    <cellStyle name="Normal 2 37 21" xfId="1264" xr:uid="{00000000-0005-0000-0000-000088040000}"/>
    <cellStyle name="Normal 2 37 21 2" xfId="11369" xr:uid="{00000000-0005-0000-0000-000011240000}"/>
    <cellStyle name="Normal 2 37 22" xfId="1265" xr:uid="{00000000-0005-0000-0000-000089040000}"/>
    <cellStyle name="Normal 2 37 22 2" xfId="11370" xr:uid="{00000000-0005-0000-0000-000013240000}"/>
    <cellStyle name="Normal 2 37 23" xfId="1266" xr:uid="{00000000-0005-0000-0000-00008A040000}"/>
    <cellStyle name="Normal 2 37 23 2" xfId="11371" xr:uid="{00000000-0005-0000-0000-000015240000}"/>
    <cellStyle name="Normal 2 37 24" xfId="11372" xr:uid="{00000000-0005-0000-0000-000016240000}"/>
    <cellStyle name="Normal 2 37 3" xfId="1267" xr:uid="{00000000-0005-0000-0000-00008B040000}"/>
    <cellStyle name="Normal 2 37 3 2" xfId="11373" xr:uid="{00000000-0005-0000-0000-000018240000}"/>
    <cellStyle name="Normal 2 37 4" xfId="1268" xr:uid="{00000000-0005-0000-0000-00008C040000}"/>
    <cellStyle name="Normal 2 37 4 2" xfId="11374" xr:uid="{00000000-0005-0000-0000-00001A240000}"/>
    <cellStyle name="Normal 2 37 5" xfId="1269" xr:uid="{00000000-0005-0000-0000-00008D040000}"/>
    <cellStyle name="Normal 2 37 5 2" xfId="11375" xr:uid="{00000000-0005-0000-0000-00001C240000}"/>
    <cellStyle name="Normal 2 37 6" xfId="1270" xr:uid="{00000000-0005-0000-0000-00008E040000}"/>
    <cellStyle name="Normal 2 37 6 2" xfId="11376" xr:uid="{00000000-0005-0000-0000-00001E240000}"/>
    <cellStyle name="Normal 2 37 7" xfId="1271" xr:uid="{00000000-0005-0000-0000-00008F040000}"/>
    <cellStyle name="Normal 2 37 7 2" xfId="11377" xr:uid="{00000000-0005-0000-0000-000020240000}"/>
    <cellStyle name="Normal 2 37 8" xfId="1272" xr:uid="{00000000-0005-0000-0000-000090040000}"/>
    <cellStyle name="Normal 2 37 8 2" xfId="11378" xr:uid="{00000000-0005-0000-0000-000022240000}"/>
    <cellStyle name="Normal 2 37 9" xfId="1273" xr:uid="{00000000-0005-0000-0000-000091040000}"/>
    <cellStyle name="Normal 2 37 9 2" xfId="11379" xr:uid="{00000000-0005-0000-0000-000024240000}"/>
    <cellStyle name="Normal 2 38" xfId="1274" xr:uid="{00000000-0005-0000-0000-000092040000}"/>
    <cellStyle name="Normal 2 38 10" xfId="1275" xr:uid="{00000000-0005-0000-0000-000093040000}"/>
    <cellStyle name="Normal 2 38 10 2" xfId="11380" xr:uid="{00000000-0005-0000-0000-000027240000}"/>
    <cellStyle name="Normal 2 38 11" xfId="1276" xr:uid="{00000000-0005-0000-0000-000094040000}"/>
    <cellStyle name="Normal 2 38 11 2" xfId="11381" xr:uid="{00000000-0005-0000-0000-000029240000}"/>
    <cellStyle name="Normal 2 38 12" xfId="1277" xr:uid="{00000000-0005-0000-0000-000095040000}"/>
    <cellStyle name="Normal 2 38 12 2" xfId="11382" xr:uid="{00000000-0005-0000-0000-00002B240000}"/>
    <cellStyle name="Normal 2 38 13" xfId="1278" xr:uid="{00000000-0005-0000-0000-000096040000}"/>
    <cellStyle name="Normal 2 38 13 2" xfId="11383" xr:uid="{00000000-0005-0000-0000-00002D240000}"/>
    <cellStyle name="Normal 2 38 14" xfId="1279" xr:uid="{00000000-0005-0000-0000-000097040000}"/>
    <cellStyle name="Normal 2 38 14 2" xfId="11384" xr:uid="{00000000-0005-0000-0000-00002F240000}"/>
    <cellStyle name="Normal 2 38 15" xfId="1280" xr:uid="{00000000-0005-0000-0000-000098040000}"/>
    <cellStyle name="Normal 2 38 15 2" xfId="11385" xr:uid="{00000000-0005-0000-0000-000031240000}"/>
    <cellStyle name="Normal 2 38 16" xfId="1281" xr:uid="{00000000-0005-0000-0000-000099040000}"/>
    <cellStyle name="Normal 2 38 16 2" xfId="11386" xr:uid="{00000000-0005-0000-0000-000033240000}"/>
    <cellStyle name="Normal 2 38 17" xfId="1282" xr:uid="{00000000-0005-0000-0000-00009A040000}"/>
    <cellStyle name="Normal 2 38 17 2" xfId="11387" xr:uid="{00000000-0005-0000-0000-000035240000}"/>
    <cellStyle name="Normal 2 38 18" xfId="1283" xr:uid="{00000000-0005-0000-0000-00009B040000}"/>
    <cellStyle name="Normal 2 38 18 2" xfId="11388" xr:uid="{00000000-0005-0000-0000-000037240000}"/>
    <cellStyle name="Normal 2 38 19" xfId="1284" xr:uid="{00000000-0005-0000-0000-00009C040000}"/>
    <cellStyle name="Normal 2 38 19 2" xfId="11389" xr:uid="{00000000-0005-0000-0000-000039240000}"/>
    <cellStyle name="Normal 2 38 2" xfId="1285" xr:uid="{00000000-0005-0000-0000-00009D040000}"/>
    <cellStyle name="Normal 2 38 2 2" xfId="11390" xr:uid="{00000000-0005-0000-0000-00003B240000}"/>
    <cellStyle name="Normal 2 38 20" xfId="1286" xr:uid="{00000000-0005-0000-0000-00009E040000}"/>
    <cellStyle name="Normal 2 38 20 2" xfId="11391" xr:uid="{00000000-0005-0000-0000-00003D240000}"/>
    <cellStyle name="Normal 2 38 21" xfId="1287" xr:uid="{00000000-0005-0000-0000-00009F040000}"/>
    <cellStyle name="Normal 2 38 21 2" xfId="11392" xr:uid="{00000000-0005-0000-0000-00003F240000}"/>
    <cellStyle name="Normal 2 38 22" xfId="1288" xr:uid="{00000000-0005-0000-0000-0000A0040000}"/>
    <cellStyle name="Normal 2 38 22 2" xfId="11393" xr:uid="{00000000-0005-0000-0000-000041240000}"/>
    <cellStyle name="Normal 2 38 23" xfId="1289" xr:uid="{00000000-0005-0000-0000-0000A1040000}"/>
    <cellStyle name="Normal 2 38 23 2" xfId="11394" xr:uid="{00000000-0005-0000-0000-000043240000}"/>
    <cellStyle name="Normal 2 38 24" xfId="11395" xr:uid="{00000000-0005-0000-0000-000044240000}"/>
    <cellStyle name="Normal 2 38 3" xfId="1290" xr:uid="{00000000-0005-0000-0000-0000A2040000}"/>
    <cellStyle name="Normal 2 38 3 2" xfId="11396" xr:uid="{00000000-0005-0000-0000-000046240000}"/>
    <cellStyle name="Normal 2 38 4" xfId="1291" xr:uid="{00000000-0005-0000-0000-0000A3040000}"/>
    <cellStyle name="Normal 2 38 4 2" xfId="11397" xr:uid="{00000000-0005-0000-0000-000048240000}"/>
    <cellStyle name="Normal 2 38 5" xfId="1292" xr:uid="{00000000-0005-0000-0000-0000A4040000}"/>
    <cellStyle name="Normal 2 38 5 2" xfId="11398" xr:uid="{00000000-0005-0000-0000-00004A240000}"/>
    <cellStyle name="Normal 2 38 6" xfId="1293" xr:uid="{00000000-0005-0000-0000-0000A5040000}"/>
    <cellStyle name="Normal 2 38 6 2" xfId="11399" xr:uid="{00000000-0005-0000-0000-00004C240000}"/>
    <cellStyle name="Normal 2 38 7" xfId="1294" xr:uid="{00000000-0005-0000-0000-0000A6040000}"/>
    <cellStyle name="Normal 2 38 7 2" xfId="11400" xr:uid="{00000000-0005-0000-0000-00004E240000}"/>
    <cellStyle name="Normal 2 38 8" xfId="1295" xr:uid="{00000000-0005-0000-0000-0000A7040000}"/>
    <cellStyle name="Normal 2 38 8 2" xfId="11401" xr:uid="{00000000-0005-0000-0000-000050240000}"/>
    <cellStyle name="Normal 2 38 9" xfId="1296" xr:uid="{00000000-0005-0000-0000-0000A8040000}"/>
    <cellStyle name="Normal 2 38 9 2" xfId="11402" xr:uid="{00000000-0005-0000-0000-000052240000}"/>
    <cellStyle name="Normal 2 39" xfId="1297" xr:uid="{00000000-0005-0000-0000-0000A9040000}"/>
    <cellStyle name="Normal 2 39 10" xfId="1298" xr:uid="{00000000-0005-0000-0000-0000AA040000}"/>
    <cellStyle name="Normal 2 39 10 2" xfId="11403" xr:uid="{00000000-0005-0000-0000-000055240000}"/>
    <cellStyle name="Normal 2 39 11" xfId="1299" xr:uid="{00000000-0005-0000-0000-0000AB040000}"/>
    <cellStyle name="Normal 2 39 11 2" xfId="11404" xr:uid="{00000000-0005-0000-0000-000057240000}"/>
    <cellStyle name="Normal 2 39 12" xfId="1300" xr:uid="{00000000-0005-0000-0000-0000AC040000}"/>
    <cellStyle name="Normal 2 39 12 2" xfId="11405" xr:uid="{00000000-0005-0000-0000-000059240000}"/>
    <cellStyle name="Normal 2 39 13" xfId="1301" xr:uid="{00000000-0005-0000-0000-0000AD040000}"/>
    <cellStyle name="Normal 2 39 13 2" xfId="11406" xr:uid="{00000000-0005-0000-0000-00005B240000}"/>
    <cellStyle name="Normal 2 39 14" xfId="1302" xr:uid="{00000000-0005-0000-0000-0000AE040000}"/>
    <cellStyle name="Normal 2 39 14 2" xfId="11407" xr:uid="{00000000-0005-0000-0000-00005D240000}"/>
    <cellStyle name="Normal 2 39 15" xfId="1303" xr:uid="{00000000-0005-0000-0000-0000AF040000}"/>
    <cellStyle name="Normal 2 39 15 2" xfId="11408" xr:uid="{00000000-0005-0000-0000-00005F240000}"/>
    <cellStyle name="Normal 2 39 16" xfId="1304" xr:uid="{00000000-0005-0000-0000-0000B0040000}"/>
    <cellStyle name="Normal 2 39 16 2" xfId="11409" xr:uid="{00000000-0005-0000-0000-000061240000}"/>
    <cellStyle name="Normal 2 39 17" xfId="1305" xr:uid="{00000000-0005-0000-0000-0000B1040000}"/>
    <cellStyle name="Normal 2 39 17 2" xfId="11410" xr:uid="{00000000-0005-0000-0000-000063240000}"/>
    <cellStyle name="Normal 2 39 18" xfId="1306" xr:uid="{00000000-0005-0000-0000-0000B2040000}"/>
    <cellStyle name="Normal 2 39 18 2" xfId="11411" xr:uid="{00000000-0005-0000-0000-000065240000}"/>
    <cellStyle name="Normal 2 39 19" xfId="1307" xr:uid="{00000000-0005-0000-0000-0000B3040000}"/>
    <cellStyle name="Normal 2 39 19 2" xfId="11412" xr:uid="{00000000-0005-0000-0000-000067240000}"/>
    <cellStyle name="Normal 2 39 2" xfId="1308" xr:uid="{00000000-0005-0000-0000-0000B4040000}"/>
    <cellStyle name="Normal 2 39 2 2" xfId="11413" xr:uid="{00000000-0005-0000-0000-000069240000}"/>
    <cellStyle name="Normal 2 39 20" xfId="1309" xr:uid="{00000000-0005-0000-0000-0000B5040000}"/>
    <cellStyle name="Normal 2 39 20 2" xfId="11414" xr:uid="{00000000-0005-0000-0000-00006B240000}"/>
    <cellStyle name="Normal 2 39 21" xfId="1310" xr:uid="{00000000-0005-0000-0000-0000B6040000}"/>
    <cellStyle name="Normal 2 39 21 2" xfId="11415" xr:uid="{00000000-0005-0000-0000-00006D240000}"/>
    <cellStyle name="Normal 2 39 22" xfId="1311" xr:uid="{00000000-0005-0000-0000-0000B7040000}"/>
    <cellStyle name="Normal 2 39 22 2" xfId="11416" xr:uid="{00000000-0005-0000-0000-00006F240000}"/>
    <cellStyle name="Normal 2 39 23" xfId="1312" xr:uid="{00000000-0005-0000-0000-0000B8040000}"/>
    <cellStyle name="Normal 2 39 23 2" xfId="11417" xr:uid="{00000000-0005-0000-0000-000071240000}"/>
    <cellStyle name="Normal 2 39 24" xfId="11418" xr:uid="{00000000-0005-0000-0000-000072240000}"/>
    <cellStyle name="Normal 2 39 3" xfId="1313" xr:uid="{00000000-0005-0000-0000-0000B9040000}"/>
    <cellStyle name="Normal 2 39 3 2" xfId="11419" xr:uid="{00000000-0005-0000-0000-000074240000}"/>
    <cellStyle name="Normal 2 39 4" xfId="1314" xr:uid="{00000000-0005-0000-0000-0000BA040000}"/>
    <cellStyle name="Normal 2 39 4 2" xfId="11420" xr:uid="{00000000-0005-0000-0000-000076240000}"/>
    <cellStyle name="Normal 2 39 5" xfId="1315" xr:uid="{00000000-0005-0000-0000-0000BB040000}"/>
    <cellStyle name="Normal 2 39 5 2" xfId="11421" xr:uid="{00000000-0005-0000-0000-000078240000}"/>
    <cellStyle name="Normal 2 39 6" xfId="1316" xr:uid="{00000000-0005-0000-0000-0000BC040000}"/>
    <cellStyle name="Normal 2 39 6 2" xfId="11422" xr:uid="{00000000-0005-0000-0000-00007A240000}"/>
    <cellStyle name="Normal 2 39 7" xfId="1317" xr:uid="{00000000-0005-0000-0000-0000BD040000}"/>
    <cellStyle name="Normal 2 39 7 2" xfId="11423" xr:uid="{00000000-0005-0000-0000-00007C240000}"/>
    <cellStyle name="Normal 2 39 8" xfId="1318" xr:uid="{00000000-0005-0000-0000-0000BE040000}"/>
    <cellStyle name="Normal 2 39 8 2" xfId="11424" xr:uid="{00000000-0005-0000-0000-00007E240000}"/>
    <cellStyle name="Normal 2 39 9" xfId="1319" xr:uid="{00000000-0005-0000-0000-0000BF040000}"/>
    <cellStyle name="Normal 2 39 9 2" xfId="11425" xr:uid="{00000000-0005-0000-0000-000080240000}"/>
    <cellStyle name="Normal 2 4" xfId="62" xr:uid="{00000000-0005-0000-0000-000012000000}"/>
    <cellStyle name="Normal 2 4 2" xfId="63" xr:uid="{00000000-0005-0000-0000-000013000000}"/>
    <cellStyle name="Normal 2 4 2 2" xfId="165" xr:uid="{00000000-0005-0000-0000-000013000000}"/>
    <cellStyle name="Normal 2 4 2 2 2" xfId="11427" xr:uid="{00000000-0005-0000-0000-000083240000}"/>
    <cellStyle name="Normal 2 4 2 3" xfId="1321" xr:uid="{00000000-0005-0000-0000-0000C1040000}"/>
    <cellStyle name="Normal 2 4 2 3 2" xfId="11428" xr:uid="{00000000-0005-0000-0000-000084240000}"/>
    <cellStyle name="Normal 2 4 2 4" xfId="11429" xr:uid="{00000000-0005-0000-0000-000085240000}"/>
    <cellStyle name="Normal 2 4 2 5" xfId="11426" xr:uid="{00000000-0005-0000-0000-000082240000}"/>
    <cellStyle name="Normal 2 4 2 6" xfId="20533" xr:uid="{C16F2C5B-6C4A-4FCE-A340-F17ACF8FA96A}"/>
    <cellStyle name="Normal 2 4 2 6 2" xfId="20547" xr:uid="{83259507-3601-475B-BB8F-EC60EDC1F13A}"/>
    <cellStyle name="Normal 2 4 2 6 2 2" xfId="20579" xr:uid="{0821EB82-6A7C-41AE-8656-613C89FAE5EE}"/>
    <cellStyle name="Normal 2 4 2 6 2 3" xfId="20600" xr:uid="{EA8A5A3D-C9C6-4194-A57B-D57065CE7792}"/>
    <cellStyle name="Normal 2 4 3" xfId="164" xr:uid="{00000000-0005-0000-0000-000012000000}"/>
    <cellStyle name="Normal 2 4 3 2" xfId="11430" xr:uid="{00000000-0005-0000-0000-000086240000}"/>
    <cellStyle name="Normal 2 4 4" xfId="1320" xr:uid="{00000000-0005-0000-0000-0000C0040000}"/>
    <cellStyle name="Normal 2 4 4 2" xfId="11432" xr:uid="{00000000-0005-0000-0000-000088240000}"/>
    <cellStyle name="Normal 2 4 4 3" xfId="11433" xr:uid="{00000000-0005-0000-0000-000089240000}"/>
    <cellStyle name="Normal 2 4 4 4" xfId="11431" xr:uid="{00000000-0005-0000-0000-000087240000}"/>
    <cellStyle name="Normal 2 4_App b.3 Unspent_" xfId="1322" xr:uid="{00000000-0005-0000-0000-0000C2040000}"/>
    <cellStyle name="Normal 2 40" xfId="1323" xr:uid="{00000000-0005-0000-0000-0000C3040000}"/>
    <cellStyle name="Normal 2 40 2" xfId="11434" xr:uid="{00000000-0005-0000-0000-00008B240000}"/>
    <cellStyle name="Normal 2 41" xfId="1324" xr:uid="{00000000-0005-0000-0000-0000C4040000}"/>
    <cellStyle name="Normal 2 41 2" xfId="11435" xr:uid="{00000000-0005-0000-0000-00008D240000}"/>
    <cellStyle name="Normal 2 42" xfId="1325" xr:uid="{00000000-0005-0000-0000-0000C5040000}"/>
    <cellStyle name="Normal 2 42 2" xfId="11436" xr:uid="{00000000-0005-0000-0000-00008F240000}"/>
    <cellStyle name="Normal 2 43" xfId="1326" xr:uid="{00000000-0005-0000-0000-0000C6040000}"/>
    <cellStyle name="Normal 2 43 2" xfId="11437" xr:uid="{00000000-0005-0000-0000-000091240000}"/>
    <cellStyle name="Normal 2 44" xfId="1327" xr:uid="{00000000-0005-0000-0000-0000C7040000}"/>
    <cellStyle name="Normal 2 44 2" xfId="11438" xr:uid="{00000000-0005-0000-0000-000093240000}"/>
    <cellStyle name="Normal 2 45" xfId="1328" xr:uid="{00000000-0005-0000-0000-0000C8040000}"/>
    <cellStyle name="Normal 2 45 2" xfId="11439" xr:uid="{00000000-0005-0000-0000-000095240000}"/>
    <cellStyle name="Normal 2 46" xfId="1329" xr:uid="{00000000-0005-0000-0000-0000C9040000}"/>
    <cellStyle name="Normal 2 46 2" xfId="11440" xr:uid="{00000000-0005-0000-0000-000097240000}"/>
    <cellStyle name="Normal 2 47" xfId="1330" xr:uid="{00000000-0005-0000-0000-0000CA040000}"/>
    <cellStyle name="Normal 2 47 2" xfId="11441" xr:uid="{00000000-0005-0000-0000-000099240000}"/>
    <cellStyle name="Normal 2 48" xfId="1331" xr:uid="{00000000-0005-0000-0000-0000CB040000}"/>
    <cellStyle name="Normal 2 48 2" xfId="11442" xr:uid="{00000000-0005-0000-0000-00009B240000}"/>
    <cellStyle name="Normal 2 49" xfId="1332" xr:uid="{00000000-0005-0000-0000-0000CC040000}"/>
    <cellStyle name="Normal 2 49 2" xfId="11443" xr:uid="{00000000-0005-0000-0000-00009D240000}"/>
    <cellStyle name="Normal 2 5" xfId="106" xr:uid="{00000000-0005-0000-0000-00000E000000}"/>
    <cellStyle name="Normal 2 5 10" xfId="1334" xr:uid="{00000000-0005-0000-0000-0000CE040000}"/>
    <cellStyle name="Normal 2 5 10 2" xfId="11444" xr:uid="{00000000-0005-0000-0000-0000A0240000}"/>
    <cellStyle name="Normal 2 5 11" xfId="1335" xr:uid="{00000000-0005-0000-0000-0000CF040000}"/>
    <cellStyle name="Normal 2 5 11 2" xfId="11445" xr:uid="{00000000-0005-0000-0000-0000A2240000}"/>
    <cellStyle name="Normal 2 5 12" xfId="1336" xr:uid="{00000000-0005-0000-0000-0000D0040000}"/>
    <cellStyle name="Normal 2 5 12 2" xfId="11446" xr:uid="{00000000-0005-0000-0000-0000A4240000}"/>
    <cellStyle name="Normal 2 5 13" xfId="1337" xr:uid="{00000000-0005-0000-0000-0000D1040000}"/>
    <cellStyle name="Normal 2 5 13 2" xfId="11447" xr:uid="{00000000-0005-0000-0000-0000A6240000}"/>
    <cellStyle name="Normal 2 5 14" xfId="1338" xr:uid="{00000000-0005-0000-0000-0000D2040000}"/>
    <cellStyle name="Normal 2 5 14 2" xfId="11448" xr:uid="{00000000-0005-0000-0000-0000A8240000}"/>
    <cellStyle name="Normal 2 5 15" xfId="1339" xr:uid="{00000000-0005-0000-0000-0000D3040000}"/>
    <cellStyle name="Normal 2 5 15 2" xfId="11449" xr:uid="{00000000-0005-0000-0000-0000AA240000}"/>
    <cellStyle name="Normal 2 5 16" xfId="1340" xr:uid="{00000000-0005-0000-0000-0000D4040000}"/>
    <cellStyle name="Normal 2 5 16 2" xfId="11450" xr:uid="{00000000-0005-0000-0000-0000AC240000}"/>
    <cellStyle name="Normal 2 5 17" xfId="1341" xr:uid="{00000000-0005-0000-0000-0000D5040000}"/>
    <cellStyle name="Normal 2 5 17 2" xfId="11451" xr:uid="{00000000-0005-0000-0000-0000AE240000}"/>
    <cellStyle name="Normal 2 5 18" xfId="1342" xr:uid="{00000000-0005-0000-0000-0000D6040000}"/>
    <cellStyle name="Normal 2 5 18 2" xfId="11452" xr:uid="{00000000-0005-0000-0000-0000B0240000}"/>
    <cellStyle name="Normal 2 5 19" xfId="1343" xr:uid="{00000000-0005-0000-0000-0000D7040000}"/>
    <cellStyle name="Normal 2 5 19 2" xfId="11453" xr:uid="{00000000-0005-0000-0000-0000B2240000}"/>
    <cellStyle name="Normal 2 5 2" xfId="1344" xr:uid="{00000000-0005-0000-0000-0000D8040000}"/>
    <cellStyle name="Normal 2 5 2 10" xfId="1345" xr:uid="{00000000-0005-0000-0000-0000D9040000}"/>
    <cellStyle name="Normal 2 5 2 10 2" xfId="11454" xr:uid="{00000000-0005-0000-0000-0000B5240000}"/>
    <cellStyle name="Normal 2 5 2 11" xfId="1346" xr:uid="{00000000-0005-0000-0000-0000DA040000}"/>
    <cellStyle name="Normal 2 5 2 11 2" xfId="11455" xr:uid="{00000000-0005-0000-0000-0000B7240000}"/>
    <cellStyle name="Normal 2 5 2 12" xfId="1347" xr:uid="{00000000-0005-0000-0000-0000DB040000}"/>
    <cellStyle name="Normal 2 5 2 12 2" xfId="11456" xr:uid="{00000000-0005-0000-0000-0000B9240000}"/>
    <cellStyle name="Normal 2 5 2 13" xfId="1348" xr:uid="{00000000-0005-0000-0000-0000DC040000}"/>
    <cellStyle name="Normal 2 5 2 13 2" xfId="11457" xr:uid="{00000000-0005-0000-0000-0000BB240000}"/>
    <cellStyle name="Normal 2 5 2 14" xfId="1349" xr:uid="{00000000-0005-0000-0000-0000DD040000}"/>
    <cellStyle name="Normal 2 5 2 14 2" xfId="11458" xr:uid="{00000000-0005-0000-0000-0000BD240000}"/>
    <cellStyle name="Normal 2 5 2 15" xfId="1350" xr:uid="{00000000-0005-0000-0000-0000DE040000}"/>
    <cellStyle name="Normal 2 5 2 15 2" xfId="11459" xr:uid="{00000000-0005-0000-0000-0000BF240000}"/>
    <cellStyle name="Normal 2 5 2 16" xfId="1351" xr:uid="{00000000-0005-0000-0000-0000DF040000}"/>
    <cellStyle name="Normal 2 5 2 16 2" xfId="11460" xr:uid="{00000000-0005-0000-0000-0000C1240000}"/>
    <cellStyle name="Normal 2 5 2 17" xfId="1352" xr:uid="{00000000-0005-0000-0000-0000E0040000}"/>
    <cellStyle name="Normal 2 5 2 17 2" xfId="11461" xr:uid="{00000000-0005-0000-0000-0000C3240000}"/>
    <cellStyle name="Normal 2 5 2 18" xfId="1353" xr:uid="{00000000-0005-0000-0000-0000E1040000}"/>
    <cellStyle name="Normal 2 5 2 18 2" xfId="11462" xr:uid="{00000000-0005-0000-0000-0000C5240000}"/>
    <cellStyle name="Normal 2 5 2 19" xfId="1354" xr:uid="{00000000-0005-0000-0000-0000E2040000}"/>
    <cellStyle name="Normal 2 5 2 19 2" xfId="11463" xr:uid="{00000000-0005-0000-0000-0000C7240000}"/>
    <cellStyle name="Normal 2 5 2 2" xfId="1355" xr:uid="{00000000-0005-0000-0000-0000E3040000}"/>
    <cellStyle name="Normal 2 5 2 2 10" xfId="1356" xr:uid="{00000000-0005-0000-0000-0000E4040000}"/>
    <cellStyle name="Normal 2 5 2 2 10 2" xfId="11464" xr:uid="{00000000-0005-0000-0000-0000CA240000}"/>
    <cellStyle name="Normal 2 5 2 2 11" xfId="1357" xr:uid="{00000000-0005-0000-0000-0000E5040000}"/>
    <cellStyle name="Normal 2 5 2 2 11 2" xfId="11465" xr:uid="{00000000-0005-0000-0000-0000CC240000}"/>
    <cellStyle name="Normal 2 5 2 2 12" xfId="1358" xr:uid="{00000000-0005-0000-0000-0000E6040000}"/>
    <cellStyle name="Normal 2 5 2 2 12 2" xfId="11466" xr:uid="{00000000-0005-0000-0000-0000CE240000}"/>
    <cellStyle name="Normal 2 5 2 2 13" xfId="1359" xr:uid="{00000000-0005-0000-0000-0000E7040000}"/>
    <cellStyle name="Normal 2 5 2 2 13 2" xfId="11467" xr:uid="{00000000-0005-0000-0000-0000D0240000}"/>
    <cellStyle name="Normal 2 5 2 2 14" xfId="1360" xr:uid="{00000000-0005-0000-0000-0000E8040000}"/>
    <cellStyle name="Normal 2 5 2 2 14 2" xfId="11468" xr:uid="{00000000-0005-0000-0000-0000D2240000}"/>
    <cellStyle name="Normal 2 5 2 2 15" xfId="1361" xr:uid="{00000000-0005-0000-0000-0000E9040000}"/>
    <cellStyle name="Normal 2 5 2 2 15 2" xfId="11469" xr:uid="{00000000-0005-0000-0000-0000D4240000}"/>
    <cellStyle name="Normal 2 5 2 2 16" xfId="1362" xr:uid="{00000000-0005-0000-0000-0000EA040000}"/>
    <cellStyle name="Normal 2 5 2 2 16 2" xfId="11470" xr:uid="{00000000-0005-0000-0000-0000D6240000}"/>
    <cellStyle name="Normal 2 5 2 2 17" xfId="1363" xr:uid="{00000000-0005-0000-0000-0000EB040000}"/>
    <cellStyle name="Normal 2 5 2 2 17 2" xfId="11471" xr:uid="{00000000-0005-0000-0000-0000D8240000}"/>
    <cellStyle name="Normal 2 5 2 2 18" xfId="1364" xr:uid="{00000000-0005-0000-0000-0000EC040000}"/>
    <cellStyle name="Normal 2 5 2 2 18 2" xfId="11472" xr:uid="{00000000-0005-0000-0000-0000DA240000}"/>
    <cellStyle name="Normal 2 5 2 2 19" xfId="1365" xr:uid="{00000000-0005-0000-0000-0000ED040000}"/>
    <cellStyle name="Normal 2 5 2 2 19 2" xfId="11473" xr:uid="{00000000-0005-0000-0000-0000DC240000}"/>
    <cellStyle name="Normal 2 5 2 2 2" xfId="1366" xr:uid="{00000000-0005-0000-0000-0000EE040000}"/>
    <cellStyle name="Normal 2 5 2 2 2 2" xfId="11474" xr:uid="{00000000-0005-0000-0000-0000DE240000}"/>
    <cellStyle name="Normal 2 5 2 2 20" xfId="1367" xr:uid="{00000000-0005-0000-0000-0000EF040000}"/>
    <cellStyle name="Normal 2 5 2 2 20 2" xfId="11475" xr:uid="{00000000-0005-0000-0000-0000E0240000}"/>
    <cellStyle name="Normal 2 5 2 2 21" xfId="1368" xr:uid="{00000000-0005-0000-0000-0000F0040000}"/>
    <cellStyle name="Normal 2 5 2 2 21 2" xfId="11476" xr:uid="{00000000-0005-0000-0000-0000E2240000}"/>
    <cellStyle name="Normal 2 5 2 2 22" xfId="1369" xr:uid="{00000000-0005-0000-0000-0000F1040000}"/>
    <cellStyle name="Normal 2 5 2 2 22 2" xfId="11477" xr:uid="{00000000-0005-0000-0000-0000E4240000}"/>
    <cellStyle name="Normal 2 5 2 2 23" xfId="1370" xr:uid="{00000000-0005-0000-0000-0000F2040000}"/>
    <cellStyle name="Normal 2 5 2 2 23 2" xfId="11478" xr:uid="{00000000-0005-0000-0000-0000E6240000}"/>
    <cellStyle name="Normal 2 5 2 2 24" xfId="1371" xr:uid="{00000000-0005-0000-0000-0000F3040000}"/>
    <cellStyle name="Normal 2 5 2 2 24 2" xfId="11479" xr:uid="{00000000-0005-0000-0000-0000E8240000}"/>
    <cellStyle name="Normal 2 5 2 2 25" xfId="1372" xr:uid="{00000000-0005-0000-0000-0000F4040000}"/>
    <cellStyle name="Normal 2 5 2 2 25 2" xfId="11480" xr:uid="{00000000-0005-0000-0000-0000EA240000}"/>
    <cellStyle name="Normal 2 5 2 2 26" xfId="1373" xr:uid="{00000000-0005-0000-0000-0000F5040000}"/>
    <cellStyle name="Normal 2 5 2 2 26 2" xfId="11481" xr:uid="{00000000-0005-0000-0000-0000EC240000}"/>
    <cellStyle name="Normal 2 5 2 2 27" xfId="1374" xr:uid="{00000000-0005-0000-0000-0000F6040000}"/>
    <cellStyle name="Normal 2 5 2 2 27 2" xfId="11482" xr:uid="{00000000-0005-0000-0000-0000EE240000}"/>
    <cellStyle name="Normal 2 5 2 2 28" xfId="1375" xr:uid="{00000000-0005-0000-0000-0000F7040000}"/>
    <cellStyle name="Normal 2 5 2 2 28 2" xfId="11483" xr:uid="{00000000-0005-0000-0000-0000F0240000}"/>
    <cellStyle name="Normal 2 5 2 2 29" xfId="1376" xr:uid="{00000000-0005-0000-0000-0000F8040000}"/>
    <cellStyle name="Normal 2 5 2 2 29 2" xfId="11484" xr:uid="{00000000-0005-0000-0000-0000F2240000}"/>
    <cellStyle name="Normal 2 5 2 2 3" xfId="1377" xr:uid="{00000000-0005-0000-0000-0000F9040000}"/>
    <cellStyle name="Normal 2 5 2 2 3 2" xfId="11485" xr:uid="{00000000-0005-0000-0000-0000F4240000}"/>
    <cellStyle name="Normal 2 5 2 2 30" xfId="1378" xr:uid="{00000000-0005-0000-0000-0000FA040000}"/>
    <cellStyle name="Normal 2 5 2 2 30 2" xfId="11486" xr:uid="{00000000-0005-0000-0000-0000F6240000}"/>
    <cellStyle name="Normal 2 5 2 2 31" xfId="1379" xr:uid="{00000000-0005-0000-0000-0000FB040000}"/>
    <cellStyle name="Normal 2 5 2 2 31 2" xfId="11487" xr:uid="{00000000-0005-0000-0000-0000F8240000}"/>
    <cellStyle name="Normal 2 5 2 2 32" xfId="1380" xr:uid="{00000000-0005-0000-0000-0000FC040000}"/>
    <cellStyle name="Normal 2 5 2 2 32 2" xfId="11488" xr:uid="{00000000-0005-0000-0000-0000FA240000}"/>
    <cellStyle name="Normal 2 5 2 2 33" xfId="1381" xr:uid="{00000000-0005-0000-0000-0000FD040000}"/>
    <cellStyle name="Normal 2 5 2 2 33 2" xfId="11489" xr:uid="{00000000-0005-0000-0000-0000FC240000}"/>
    <cellStyle name="Normal 2 5 2 2 34" xfId="1382" xr:uid="{00000000-0005-0000-0000-0000FE040000}"/>
    <cellStyle name="Normal 2 5 2 2 34 2" xfId="11490" xr:uid="{00000000-0005-0000-0000-0000FE240000}"/>
    <cellStyle name="Normal 2 5 2 2 35" xfId="1383" xr:uid="{00000000-0005-0000-0000-0000FF040000}"/>
    <cellStyle name="Normal 2 5 2 2 35 2" xfId="11491" xr:uid="{00000000-0005-0000-0000-000000250000}"/>
    <cellStyle name="Normal 2 5 2 2 36" xfId="1384" xr:uid="{00000000-0005-0000-0000-000000050000}"/>
    <cellStyle name="Normal 2 5 2 2 36 2" xfId="11492" xr:uid="{00000000-0005-0000-0000-000002250000}"/>
    <cellStyle name="Normal 2 5 2 2 37" xfId="1385" xr:uid="{00000000-0005-0000-0000-000001050000}"/>
    <cellStyle name="Normal 2 5 2 2 37 2" xfId="11493" xr:uid="{00000000-0005-0000-0000-000004250000}"/>
    <cellStyle name="Normal 2 5 2 2 38" xfId="1386" xr:uid="{00000000-0005-0000-0000-000002050000}"/>
    <cellStyle name="Normal 2 5 2 2 38 2" xfId="11494" xr:uid="{00000000-0005-0000-0000-000006250000}"/>
    <cellStyle name="Normal 2 5 2 2 39" xfId="1387" xr:uid="{00000000-0005-0000-0000-000003050000}"/>
    <cellStyle name="Normal 2 5 2 2 39 2" xfId="11495" xr:uid="{00000000-0005-0000-0000-000008250000}"/>
    <cellStyle name="Normal 2 5 2 2 4" xfId="1388" xr:uid="{00000000-0005-0000-0000-000004050000}"/>
    <cellStyle name="Normal 2 5 2 2 4 2" xfId="11496" xr:uid="{00000000-0005-0000-0000-00000A250000}"/>
    <cellStyle name="Normal 2 5 2 2 40" xfId="1389" xr:uid="{00000000-0005-0000-0000-000005050000}"/>
    <cellStyle name="Normal 2 5 2 2 40 2" xfId="11497" xr:uid="{00000000-0005-0000-0000-00000C250000}"/>
    <cellStyle name="Normal 2 5 2 2 41" xfId="1390" xr:uid="{00000000-0005-0000-0000-000006050000}"/>
    <cellStyle name="Normal 2 5 2 2 41 2" xfId="11498" xr:uid="{00000000-0005-0000-0000-00000E250000}"/>
    <cellStyle name="Normal 2 5 2 2 42" xfId="1391" xr:uid="{00000000-0005-0000-0000-000007050000}"/>
    <cellStyle name="Normal 2 5 2 2 42 2" xfId="11499" xr:uid="{00000000-0005-0000-0000-000010250000}"/>
    <cellStyle name="Normal 2 5 2 2 43" xfId="1392" xr:uid="{00000000-0005-0000-0000-000008050000}"/>
    <cellStyle name="Normal 2 5 2 2 43 2" xfId="11500" xr:uid="{00000000-0005-0000-0000-000012250000}"/>
    <cellStyle name="Normal 2 5 2 2 44" xfId="1393" xr:uid="{00000000-0005-0000-0000-000009050000}"/>
    <cellStyle name="Normal 2 5 2 2 44 2" xfId="11501" xr:uid="{00000000-0005-0000-0000-000014250000}"/>
    <cellStyle name="Normal 2 5 2 2 45" xfId="1394" xr:uid="{00000000-0005-0000-0000-00000A050000}"/>
    <cellStyle name="Normal 2 5 2 2 45 2" xfId="11502" xr:uid="{00000000-0005-0000-0000-000016250000}"/>
    <cellStyle name="Normal 2 5 2 2 46" xfId="1395" xr:uid="{00000000-0005-0000-0000-00000B050000}"/>
    <cellStyle name="Normal 2 5 2 2 46 2" xfId="11503" xr:uid="{00000000-0005-0000-0000-000018250000}"/>
    <cellStyle name="Normal 2 5 2 2 47" xfId="1396" xr:uid="{00000000-0005-0000-0000-00000C050000}"/>
    <cellStyle name="Normal 2 5 2 2 47 2" xfId="11504" xr:uid="{00000000-0005-0000-0000-00001A250000}"/>
    <cellStyle name="Normal 2 5 2 2 48" xfId="1397" xr:uid="{00000000-0005-0000-0000-00000D050000}"/>
    <cellStyle name="Normal 2 5 2 2 48 2" xfId="11505" xr:uid="{00000000-0005-0000-0000-00001C250000}"/>
    <cellStyle name="Normal 2 5 2 2 49" xfId="1398" xr:uid="{00000000-0005-0000-0000-00000E050000}"/>
    <cellStyle name="Normal 2 5 2 2 49 2" xfId="11506" xr:uid="{00000000-0005-0000-0000-00001E250000}"/>
    <cellStyle name="Normal 2 5 2 2 5" xfId="1399" xr:uid="{00000000-0005-0000-0000-00000F050000}"/>
    <cellStyle name="Normal 2 5 2 2 5 2" xfId="11507" xr:uid="{00000000-0005-0000-0000-000020250000}"/>
    <cellStyle name="Normal 2 5 2 2 50" xfId="1400" xr:uid="{00000000-0005-0000-0000-000010050000}"/>
    <cellStyle name="Normal 2 5 2 2 50 2" xfId="11508" xr:uid="{00000000-0005-0000-0000-000022250000}"/>
    <cellStyle name="Normal 2 5 2 2 51" xfId="1401" xr:uid="{00000000-0005-0000-0000-000011050000}"/>
    <cellStyle name="Normal 2 5 2 2 51 2" xfId="11509" xr:uid="{00000000-0005-0000-0000-000024250000}"/>
    <cellStyle name="Normal 2 5 2 2 52" xfId="1402" xr:uid="{00000000-0005-0000-0000-000012050000}"/>
    <cellStyle name="Normal 2 5 2 2 52 2" xfId="11510" xr:uid="{00000000-0005-0000-0000-000026250000}"/>
    <cellStyle name="Normal 2 5 2 2 53" xfId="1403" xr:uid="{00000000-0005-0000-0000-000013050000}"/>
    <cellStyle name="Normal 2 5 2 2 53 2" xfId="11511" xr:uid="{00000000-0005-0000-0000-000028250000}"/>
    <cellStyle name="Normal 2 5 2 2 54" xfId="1404" xr:uid="{00000000-0005-0000-0000-000014050000}"/>
    <cellStyle name="Normal 2 5 2 2 54 2" xfId="11512" xr:uid="{00000000-0005-0000-0000-00002A250000}"/>
    <cellStyle name="Normal 2 5 2 2 55" xfId="1405" xr:uid="{00000000-0005-0000-0000-000015050000}"/>
    <cellStyle name="Normal 2 5 2 2 55 2" xfId="11513" xr:uid="{00000000-0005-0000-0000-00002C250000}"/>
    <cellStyle name="Normal 2 5 2 2 56" xfId="11514" xr:uid="{00000000-0005-0000-0000-00002D250000}"/>
    <cellStyle name="Normal 2 5 2 2 6" xfId="1406" xr:uid="{00000000-0005-0000-0000-000016050000}"/>
    <cellStyle name="Normal 2 5 2 2 6 2" xfId="11515" xr:uid="{00000000-0005-0000-0000-00002F250000}"/>
    <cellStyle name="Normal 2 5 2 2 7" xfId="1407" xr:uid="{00000000-0005-0000-0000-000017050000}"/>
    <cellStyle name="Normal 2 5 2 2 7 2" xfId="11516" xr:uid="{00000000-0005-0000-0000-000031250000}"/>
    <cellStyle name="Normal 2 5 2 2 8" xfId="1408" xr:uid="{00000000-0005-0000-0000-000018050000}"/>
    <cellStyle name="Normal 2 5 2 2 8 2" xfId="11517" xr:uid="{00000000-0005-0000-0000-000033250000}"/>
    <cellStyle name="Normal 2 5 2 2 9" xfId="1409" xr:uid="{00000000-0005-0000-0000-000019050000}"/>
    <cellStyle name="Normal 2 5 2 2 9 2" xfId="11518" xr:uid="{00000000-0005-0000-0000-000035250000}"/>
    <cellStyle name="Normal 2 5 2 20" xfId="1410" xr:uid="{00000000-0005-0000-0000-00001A050000}"/>
    <cellStyle name="Normal 2 5 2 20 2" xfId="11519" xr:uid="{00000000-0005-0000-0000-000037250000}"/>
    <cellStyle name="Normal 2 5 2 21" xfId="1411" xr:uid="{00000000-0005-0000-0000-00001B050000}"/>
    <cellStyle name="Normal 2 5 2 21 2" xfId="11520" xr:uid="{00000000-0005-0000-0000-000039250000}"/>
    <cellStyle name="Normal 2 5 2 22" xfId="1412" xr:uid="{00000000-0005-0000-0000-00001C050000}"/>
    <cellStyle name="Normal 2 5 2 22 2" xfId="11521" xr:uid="{00000000-0005-0000-0000-00003B250000}"/>
    <cellStyle name="Normal 2 5 2 23" xfId="1413" xr:uid="{00000000-0005-0000-0000-00001D050000}"/>
    <cellStyle name="Normal 2 5 2 23 2" xfId="11522" xr:uid="{00000000-0005-0000-0000-00003D250000}"/>
    <cellStyle name="Normal 2 5 2 24" xfId="1414" xr:uid="{00000000-0005-0000-0000-00001E050000}"/>
    <cellStyle name="Normal 2 5 2 24 2" xfId="11523" xr:uid="{00000000-0005-0000-0000-00003F250000}"/>
    <cellStyle name="Normal 2 5 2 25" xfId="1415" xr:uid="{00000000-0005-0000-0000-00001F050000}"/>
    <cellStyle name="Normal 2 5 2 25 2" xfId="11524" xr:uid="{00000000-0005-0000-0000-000041250000}"/>
    <cellStyle name="Normal 2 5 2 26" xfId="1416" xr:uid="{00000000-0005-0000-0000-000020050000}"/>
    <cellStyle name="Normal 2 5 2 26 2" xfId="11525" xr:uid="{00000000-0005-0000-0000-000043250000}"/>
    <cellStyle name="Normal 2 5 2 27" xfId="1417" xr:uid="{00000000-0005-0000-0000-000021050000}"/>
    <cellStyle name="Normal 2 5 2 27 2" xfId="11526" xr:uid="{00000000-0005-0000-0000-000045250000}"/>
    <cellStyle name="Normal 2 5 2 28" xfId="1418" xr:uid="{00000000-0005-0000-0000-000022050000}"/>
    <cellStyle name="Normal 2 5 2 28 2" xfId="11527" xr:uid="{00000000-0005-0000-0000-000047250000}"/>
    <cellStyle name="Normal 2 5 2 29" xfId="1419" xr:uid="{00000000-0005-0000-0000-000023050000}"/>
    <cellStyle name="Normal 2 5 2 29 2" xfId="11528" xr:uid="{00000000-0005-0000-0000-000049250000}"/>
    <cellStyle name="Normal 2 5 2 3" xfId="1420" xr:uid="{00000000-0005-0000-0000-000024050000}"/>
    <cellStyle name="Normal 2 5 2 3 2" xfId="11529" xr:uid="{00000000-0005-0000-0000-00004B250000}"/>
    <cellStyle name="Normal 2 5 2 30" xfId="1421" xr:uid="{00000000-0005-0000-0000-000025050000}"/>
    <cellStyle name="Normal 2 5 2 30 2" xfId="11530" xr:uid="{00000000-0005-0000-0000-00004D250000}"/>
    <cellStyle name="Normal 2 5 2 31" xfId="1422" xr:uid="{00000000-0005-0000-0000-000026050000}"/>
    <cellStyle name="Normal 2 5 2 31 2" xfId="11531" xr:uid="{00000000-0005-0000-0000-00004F250000}"/>
    <cellStyle name="Normal 2 5 2 32" xfId="1423" xr:uid="{00000000-0005-0000-0000-000027050000}"/>
    <cellStyle name="Normal 2 5 2 32 2" xfId="11532" xr:uid="{00000000-0005-0000-0000-000051250000}"/>
    <cellStyle name="Normal 2 5 2 33" xfId="1424" xr:uid="{00000000-0005-0000-0000-000028050000}"/>
    <cellStyle name="Normal 2 5 2 33 2" xfId="11533" xr:uid="{00000000-0005-0000-0000-000053250000}"/>
    <cellStyle name="Normal 2 5 2 34" xfId="11534" xr:uid="{00000000-0005-0000-0000-000054250000}"/>
    <cellStyle name="Normal 2 5 2 4" xfId="1425" xr:uid="{00000000-0005-0000-0000-000029050000}"/>
    <cellStyle name="Normal 2 5 2 4 2" xfId="11535" xr:uid="{00000000-0005-0000-0000-000056250000}"/>
    <cellStyle name="Normal 2 5 2 5" xfId="1426" xr:uid="{00000000-0005-0000-0000-00002A050000}"/>
    <cellStyle name="Normal 2 5 2 5 2" xfId="11536" xr:uid="{00000000-0005-0000-0000-000058250000}"/>
    <cellStyle name="Normal 2 5 2 6" xfId="1427" xr:uid="{00000000-0005-0000-0000-00002B050000}"/>
    <cellStyle name="Normal 2 5 2 6 2" xfId="11537" xr:uid="{00000000-0005-0000-0000-00005A250000}"/>
    <cellStyle name="Normal 2 5 2 7" xfId="1428" xr:uid="{00000000-0005-0000-0000-00002C050000}"/>
    <cellStyle name="Normal 2 5 2 7 2" xfId="11538" xr:uid="{00000000-0005-0000-0000-00005C250000}"/>
    <cellStyle name="Normal 2 5 2 8" xfId="1429" xr:uid="{00000000-0005-0000-0000-00002D050000}"/>
    <cellStyle name="Normal 2 5 2 8 2" xfId="11539" xr:uid="{00000000-0005-0000-0000-00005E250000}"/>
    <cellStyle name="Normal 2 5 2 9" xfId="1430" xr:uid="{00000000-0005-0000-0000-00002E050000}"/>
    <cellStyle name="Normal 2 5 2 9 2" xfId="11540" xr:uid="{00000000-0005-0000-0000-000060250000}"/>
    <cellStyle name="Normal 2 5 20" xfId="1431" xr:uid="{00000000-0005-0000-0000-00002F050000}"/>
    <cellStyle name="Normal 2 5 20 2" xfId="11541" xr:uid="{00000000-0005-0000-0000-000062250000}"/>
    <cellStyle name="Normal 2 5 21" xfId="1432" xr:uid="{00000000-0005-0000-0000-000030050000}"/>
    <cellStyle name="Normal 2 5 21 2" xfId="11542" xr:uid="{00000000-0005-0000-0000-000064250000}"/>
    <cellStyle name="Normal 2 5 22" xfId="1433" xr:uid="{00000000-0005-0000-0000-000031050000}"/>
    <cellStyle name="Normal 2 5 22 2" xfId="11543" xr:uid="{00000000-0005-0000-0000-000066250000}"/>
    <cellStyle name="Normal 2 5 23" xfId="1434" xr:uid="{00000000-0005-0000-0000-000032050000}"/>
    <cellStyle name="Normal 2 5 23 2" xfId="11544" xr:uid="{00000000-0005-0000-0000-000068250000}"/>
    <cellStyle name="Normal 2 5 24" xfId="1435" xr:uid="{00000000-0005-0000-0000-000033050000}"/>
    <cellStyle name="Normal 2 5 24 2" xfId="11545" xr:uid="{00000000-0005-0000-0000-00006A250000}"/>
    <cellStyle name="Normal 2 5 25" xfId="1436" xr:uid="{00000000-0005-0000-0000-000034050000}"/>
    <cellStyle name="Normal 2 5 25 2" xfId="11546" xr:uid="{00000000-0005-0000-0000-00006C250000}"/>
    <cellStyle name="Normal 2 5 26" xfId="1437" xr:uid="{00000000-0005-0000-0000-000035050000}"/>
    <cellStyle name="Normal 2 5 26 2" xfId="11547" xr:uid="{00000000-0005-0000-0000-00006E250000}"/>
    <cellStyle name="Normal 2 5 27" xfId="1438" xr:uid="{00000000-0005-0000-0000-000036050000}"/>
    <cellStyle name="Normal 2 5 27 2" xfId="11548" xr:uid="{00000000-0005-0000-0000-000070250000}"/>
    <cellStyle name="Normal 2 5 28" xfId="1439" xr:uid="{00000000-0005-0000-0000-000037050000}"/>
    <cellStyle name="Normal 2 5 28 2" xfId="11549" xr:uid="{00000000-0005-0000-0000-000072250000}"/>
    <cellStyle name="Normal 2 5 29" xfId="1440" xr:uid="{00000000-0005-0000-0000-000038050000}"/>
    <cellStyle name="Normal 2 5 29 2" xfId="11550" xr:uid="{00000000-0005-0000-0000-000074250000}"/>
    <cellStyle name="Normal 2 5 3" xfId="1441" xr:uid="{00000000-0005-0000-0000-000039050000}"/>
    <cellStyle name="Normal 2 5 3 2" xfId="11551" xr:uid="{00000000-0005-0000-0000-000076250000}"/>
    <cellStyle name="Normal 2 5 30" xfId="1442" xr:uid="{00000000-0005-0000-0000-00003A050000}"/>
    <cellStyle name="Normal 2 5 30 2" xfId="11552" xr:uid="{00000000-0005-0000-0000-000078250000}"/>
    <cellStyle name="Normal 2 5 31" xfId="1443" xr:uid="{00000000-0005-0000-0000-00003B050000}"/>
    <cellStyle name="Normal 2 5 31 2" xfId="11553" xr:uid="{00000000-0005-0000-0000-00007A250000}"/>
    <cellStyle name="Normal 2 5 32" xfId="1444" xr:uid="{00000000-0005-0000-0000-00003C050000}"/>
    <cellStyle name="Normal 2 5 32 2" xfId="11554" xr:uid="{00000000-0005-0000-0000-00007C250000}"/>
    <cellStyle name="Normal 2 5 33" xfId="1445" xr:uid="{00000000-0005-0000-0000-00003D050000}"/>
    <cellStyle name="Normal 2 5 33 2" xfId="11555" xr:uid="{00000000-0005-0000-0000-00007E250000}"/>
    <cellStyle name="Normal 2 5 34" xfId="1446" xr:uid="{00000000-0005-0000-0000-00003E050000}"/>
    <cellStyle name="Normal 2 5 34 2" xfId="11556" xr:uid="{00000000-0005-0000-0000-000080250000}"/>
    <cellStyle name="Normal 2 5 35" xfId="1447" xr:uid="{00000000-0005-0000-0000-00003F050000}"/>
    <cellStyle name="Normal 2 5 35 2" xfId="11557" xr:uid="{00000000-0005-0000-0000-000082250000}"/>
    <cellStyle name="Normal 2 5 36" xfId="1448" xr:uid="{00000000-0005-0000-0000-000040050000}"/>
    <cellStyle name="Normal 2 5 36 2" xfId="11558" xr:uid="{00000000-0005-0000-0000-000084250000}"/>
    <cellStyle name="Normal 2 5 37" xfId="1449" xr:uid="{00000000-0005-0000-0000-000041050000}"/>
    <cellStyle name="Normal 2 5 37 2" xfId="11559" xr:uid="{00000000-0005-0000-0000-000086250000}"/>
    <cellStyle name="Normal 2 5 38" xfId="1450" xr:uid="{00000000-0005-0000-0000-000042050000}"/>
    <cellStyle name="Normal 2 5 38 2" xfId="11560" xr:uid="{00000000-0005-0000-0000-000088250000}"/>
    <cellStyle name="Normal 2 5 39" xfId="1451" xr:uid="{00000000-0005-0000-0000-000043050000}"/>
    <cellStyle name="Normal 2 5 39 2" xfId="11561" xr:uid="{00000000-0005-0000-0000-00008A250000}"/>
    <cellStyle name="Normal 2 5 4" xfId="1452" xr:uid="{00000000-0005-0000-0000-000044050000}"/>
    <cellStyle name="Normal 2 5 4 2" xfId="11562" xr:uid="{00000000-0005-0000-0000-00008C250000}"/>
    <cellStyle name="Normal 2 5 40" xfId="1453" xr:uid="{00000000-0005-0000-0000-000045050000}"/>
    <cellStyle name="Normal 2 5 40 2" xfId="11563" xr:uid="{00000000-0005-0000-0000-00008E250000}"/>
    <cellStyle name="Normal 2 5 41" xfId="1454" xr:uid="{00000000-0005-0000-0000-000046050000}"/>
    <cellStyle name="Normal 2 5 41 2" xfId="11564" xr:uid="{00000000-0005-0000-0000-000090250000}"/>
    <cellStyle name="Normal 2 5 42" xfId="1455" xr:uid="{00000000-0005-0000-0000-000047050000}"/>
    <cellStyle name="Normal 2 5 42 2" xfId="11565" xr:uid="{00000000-0005-0000-0000-000092250000}"/>
    <cellStyle name="Normal 2 5 43" xfId="1456" xr:uid="{00000000-0005-0000-0000-000048050000}"/>
    <cellStyle name="Normal 2 5 43 2" xfId="11566" xr:uid="{00000000-0005-0000-0000-000094250000}"/>
    <cellStyle name="Normal 2 5 44" xfId="1457" xr:uid="{00000000-0005-0000-0000-000049050000}"/>
    <cellStyle name="Normal 2 5 44 2" xfId="11567" xr:uid="{00000000-0005-0000-0000-000096250000}"/>
    <cellStyle name="Normal 2 5 45" xfId="1458" xr:uid="{00000000-0005-0000-0000-00004A050000}"/>
    <cellStyle name="Normal 2 5 45 2" xfId="11568" xr:uid="{00000000-0005-0000-0000-000098250000}"/>
    <cellStyle name="Normal 2 5 46" xfId="1459" xr:uid="{00000000-0005-0000-0000-00004B050000}"/>
    <cellStyle name="Normal 2 5 46 2" xfId="11569" xr:uid="{00000000-0005-0000-0000-00009A250000}"/>
    <cellStyle name="Normal 2 5 47" xfId="1460" xr:uid="{00000000-0005-0000-0000-00004C050000}"/>
    <cellStyle name="Normal 2 5 47 2" xfId="11570" xr:uid="{00000000-0005-0000-0000-00009C250000}"/>
    <cellStyle name="Normal 2 5 48" xfId="1461" xr:uid="{00000000-0005-0000-0000-00004D050000}"/>
    <cellStyle name="Normal 2 5 48 2" xfId="11571" xr:uid="{00000000-0005-0000-0000-00009E250000}"/>
    <cellStyle name="Normal 2 5 49" xfId="1462" xr:uid="{00000000-0005-0000-0000-00004E050000}"/>
    <cellStyle name="Normal 2 5 49 2" xfId="11572" xr:uid="{00000000-0005-0000-0000-0000A0250000}"/>
    <cellStyle name="Normal 2 5 5" xfId="1463" xr:uid="{00000000-0005-0000-0000-00004F050000}"/>
    <cellStyle name="Normal 2 5 5 2" xfId="11573" xr:uid="{00000000-0005-0000-0000-0000A2250000}"/>
    <cellStyle name="Normal 2 5 50" xfId="1464" xr:uid="{00000000-0005-0000-0000-000050050000}"/>
    <cellStyle name="Normal 2 5 50 2" xfId="11574" xr:uid="{00000000-0005-0000-0000-0000A4250000}"/>
    <cellStyle name="Normal 2 5 51" xfId="1465" xr:uid="{00000000-0005-0000-0000-000051050000}"/>
    <cellStyle name="Normal 2 5 51 2" xfId="11575" xr:uid="{00000000-0005-0000-0000-0000A6250000}"/>
    <cellStyle name="Normal 2 5 52" xfId="1466" xr:uid="{00000000-0005-0000-0000-000052050000}"/>
    <cellStyle name="Normal 2 5 52 2" xfId="11576" xr:uid="{00000000-0005-0000-0000-0000A8250000}"/>
    <cellStyle name="Normal 2 5 53" xfId="1467" xr:uid="{00000000-0005-0000-0000-000053050000}"/>
    <cellStyle name="Normal 2 5 53 2" xfId="11577" xr:uid="{00000000-0005-0000-0000-0000AA250000}"/>
    <cellStyle name="Normal 2 5 54" xfId="1468" xr:uid="{00000000-0005-0000-0000-000054050000}"/>
    <cellStyle name="Normal 2 5 54 2" xfId="11578" xr:uid="{00000000-0005-0000-0000-0000AC250000}"/>
    <cellStyle name="Normal 2 5 55" xfId="1469" xr:uid="{00000000-0005-0000-0000-000055050000}"/>
    <cellStyle name="Normal 2 5 55 2" xfId="11579" xr:uid="{00000000-0005-0000-0000-0000AE250000}"/>
    <cellStyle name="Normal 2 5 56" xfId="1470" xr:uid="{00000000-0005-0000-0000-000056050000}"/>
    <cellStyle name="Normal 2 5 56 2" xfId="11580" xr:uid="{00000000-0005-0000-0000-0000B0250000}"/>
    <cellStyle name="Normal 2 5 57" xfId="1471" xr:uid="{00000000-0005-0000-0000-000057050000}"/>
    <cellStyle name="Normal 2 5 57 2" xfId="11581" xr:uid="{00000000-0005-0000-0000-0000B2250000}"/>
    <cellStyle name="Normal 2 5 58" xfId="1472" xr:uid="{00000000-0005-0000-0000-000058050000}"/>
    <cellStyle name="Normal 2 5 58 2" xfId="11582" xr:uid="{00000000-0005-0000-0000-0000B4250000}"/>
    <cellStyle name="Normal 2 5 59" xfId="1473" xr:uid="{00000000-0005-0000-0000-000059050000}"/>
    <cellStyle name="Normal 2 5 59 2" xfId="11583" xr:uid="{00000000-0005-0000-0000-0000B6250000}"/>
    <cellStyle name="Normal 2 5 6" xfId="1474" xr:uid="{00000000-0005-0000-0000-00005A050000}"/>
    <cellStyle name="Normal 2 5 6 2" xfId="11584" xr:uid="{00000000-0005-0000-0000-0000B8250000}"/>
    <cellStyle name="Normal 2 5 60" xfId="1475" xr:uid="{00000000-0005-0000-0000-00005B050000}"/>
    <cellStyle name="Normal 2 5 60 2" xfId="11585" xr:uid="{00000000-0005-0000-0000-0000BA250000}"/>
    <cellStyle name="Normal 2 5 61" xfId="1476" xr:uid="{00000000-0005-0000-0000-00005C050000}"/>
    <cellStyle name="Normal 2 5 61 2" xfId="11586" xr:uid="{00000000-0005-0000-0000-0000BC250000}"/>
    <cellStyle name="Normal 2 5 62" xfId="1477" xr:uid="{00000000-0005-0000-0000-00005D050000}"/>
    <cellStyle name="Normal 2 5 62 2" xfId="11587" xr:uid="{00000000-0005-0000-0000-0000BE250000}"/>
    <cellStyle name="Normal 2 5 63" xfId="1478" xr:uid="{00000000-0005-0000-0000-00005E050000}"/>
    <cellStyle name="Normal 2 5 63 2" xfId="11588" xr:uid="{00000000-0005-0000-0000-0000C0250000}"/>
    <cellStyle name="Normal 2 5 64" xfId="1479" xr:uid="{00000000-0005-0000-0000-00005F050000}"/>
    <cellStyle name="Normal 2 5 64 2" xfId="11589" xr:uid="{00000000-0005-0000-0000-0000C2250000}"/>
    <cellStyle name="Normal 2 5 65" xfId="1480" xr:uid="{00000000-0005-0000-0000-000060050000}"/>
    <cellStyle name="Normal 2 5 65 2" xfId="11590" xr:uid="{00000000-0005-0000-0000-0000C4250000}"/>
    <cellStyle name="Normal 2 5 66" xfId="1481" xr:uid="{00000000-0005-0000-0000-000061050000}"/>
    <cellStyle name="Normal 2 5 66 2" xfId="11591" xr:uid="{00000000-0005-0000-0000-0000C6250000}"/>
    <cellStyle name="Normal 2 5 67" xfId="1482" xr:uid="{00000000-0005-0000-0000-000062050000}"/>
    <cellStyle name="Normal 2 5 67 2" xfId="11592" xr:uid="{00000000-0005-0000-0000-0000C8250000}"/>
    <cellStyle name="Normal 2 5 68" xfId="1483" xr:uid="{00000000-0005-0000-0000-000063050000}"/>
    <cellStyle name="Normal 2 5 68 2" xfId="11593" xr:uid="{00000000-0005-0000-0000-0000CA250000}"/>
    <cellStyle name="Normal 2 5 69" xfId="1484" xr:uid="{00000000-0005-0000-0000-000064050000}"/>
    <cellStyle name="Normal 2 5 69 2" xfId="11594" xr:uid="{00000000-0005-0000-0000-0000CC250000}"/>
    <cellStyle name="Normal 2 5 7" xfId="1485" xr:uid="{00000000-0005-0000-0000-000065050000}"/>
    <cellStyle name="Normal 2 5 7 2" xfId="11595" xr:uid="{00000000-0005-0000-0000-0000CE250000}"/>
    <cellStyle name="Normal 2 5 70" xfId="1486" xr:uid="{00000000-0005-0000-0000-000066050000}"/>
    <cellStyle name="Normal 2 5 70 2" xfId="11596" xr:uid="{00000000-0005-0000-0000-0000D0250000}"/>
    <cellStyle name="Normal 2 5 71" xfId="1487" xr:uid="{00000000-0005-0000-0000-000067050000}"/>
    <cellStyle name="Normal 2 5 71 2" xfId="11597" xr:uid="{00000000-0005-0000-0000-0000D2250000}"/>
    <cellStyle name="Normal 2 5 72" xfId="1488" xr:uid="{00000000-0005-0000-0000-000068050000}"/>
    <cellStyle name="Normal 2 5 72 2" xfId="11598" xr:uid="{00000000-0005-0000-0000-0000D4250000}"/>
    <cellStyle name="Normal 2 5 73" xfId="1489" xr:uid="{00000000-0005-0000-0000-000069050000}"/>
    <cellStyle name="Normal 2 5 73 2" xfId="11599" xr:uid="{00000000-0005-0000-0000-0000D6250000}"/>
    <cellStyle name="Normal 2 5 74" xfId="1490" xr:uid="{00000000-0005-0000-0000-00006A050000}"/>
    <cellStyle name="Normal 2 5 74 2" xfId="11600" xr:uid="{00000000-0005-0000-0000-0000D8250000}"/>
    <cellStyle name="Normal 2 5 75" xfId="1491" xr:uid="{00000000-0005-0000-0000-00006B050000}"/>
    <cellStyle name="Normal 2 5 75 2" xfId="11601" xr:uid="{00000000-0005-0000-0000-0000DA250000}"/>
    <cellStyle name="Normal 2 5 76" xfId="1492" xr:uid="{00000000-0005-0000-0000-00006C050000}"/>
    <cellStyle name="Normal 2 5 76 2" xfId="11602" xr:uid="{00000000-0005-0000-0000-0000DC250000}"/>
    <cellStyle name="Normal 2 5 77" xfId="1493" xr:uid="{00000000-0005-0000-0000-00006D050000}"/>
    <cellStyle name="Normal 2 5 77 2" xfId="11603" xr:uid="{00000000-0005-0000-0000-0000DE250000}"/>
    <cellStyle name="Normal 2 5 78" xfId="1494" xr:uid="{00000000-0005-0000-0000-00006E050000}"/>
    <cellStyle name="Normal 2 5 78 2" xfId="11604" xr:uid="{00000000-0005-0000-0000-0000E0250000}"/>
    <cellStyle name="Normal 2 5 79" xfId="1495" xr:uid="{00000000-0005-0000-0000-00006F050000}"/>
    <cellStyle name="Normal 2 5 79 2" xfId="11605" xr:uid="{00000000-0005-0000-0000-0000E2250000}"/>
    <cellStyle name="Normal 2 5 8" xfId="1496" xr:uid="{00000000-0005-0000-0000-000070050000}"/>
    <cellStyle name="Normal 2 5 8 2" xfId="11606" xr:uid="{00000000-0005-0000-0000-0000E4250000}"/>
    <cellStyle name="Normal 2 5 80" xfId="1497" xr:uid="{00000000-0005-0000-0000-000071050000}"/>
    <cellStyle name="Normal 2 5 80 2" xfId="11607" xr:uid="{00000000-0005-0000-0000-0000E6250000}"/>
    <cellStyle name="Normal 2 5 81" xfId="1498" xr:uid="{00000000-0005-0000-0000-000072050000}"/>
    <cellStyle name="Normal 2 5 81 2" xfId="11608" xr:uid="{00000000-0005-0000-0000-0000E8250000}"/>
    <cellStyle name="Normal 2 5 82" xfId="1499" xr:uid="{00000000-0005-0000-0000-000073050000}"/>
    <cellStyle name="Normal 2 5 82 2" xfId="11609" xr:uid="{00000000-0005-0000-0000-0000EA250000}"/>
    <cellStyle name="Normal 2 5 83" xfId="1500" xr:uid="{00000000-0005-0000-0000-000074050000}"/>
    <cellStyle name="Normal 2 5 83 2" xfId="11610" xr:uid="{00000000-0005-0000-0000-0000EC250000}"/>
    <cellStyle name="Normal 2 5 84" xfId="1501" xr:uid="{00000000-0005-0000-0000-000075050000}"/>
    <cellStyle name="Normal 2 5 84 2" xfId="11611" xr:uid="{00000000-0005-0000-0000-0000EE250000}"/>
    <cellStyle name="Normal 2 5 85" xfId="1502" xr:uid="{00000000-0005-0000-0000-000076050000}"/>
    <cellStyle name="Normal 2 5 85 2" xfId="11612" xr:uid="{00000000-0005-0000-0000-0000F0250000}"/>
    <cellStyle name="Normal 2 5 86" xfId="1503" xr:uid="{00000000-0005-0000-0000-000077050000}"/>
    <cellStyle name="Normal 2 5 86 2" xfId="11613" xr:uid="{00000000-0005-0000-0000-0000F2250000}"/>
    <cellStyle name="Normal 2 5 87" xfId="1504" xr:uid="{00000000-0005-0000-0000-000078050000}"/>
    <cellStyle name="Normal 2 5 87 2" xfId="11614" xr:uid="{00000000-0005-0000-0000-0000F4250000}"/>
    <cellStyle name="Normal 2 5 88" xfId="1333" xr:uid="{00000000-0005-0000-0000-0000CD040000}"/>
    <cellStyle name="Normal 2 5 9" xfId="1505" xr:uid="{00000000-0005-0000-0000-000079050000}"/>
    <cellStyle name="Normal 2 5 9 2" xfId="11615" xr:uid="{00000000-0005-0000-0000-0000F7250000}"/>
    <cellStyle name="Normal 2 5_App b.3 Unspent_" xfId="1506" xr:uid="{00000000-0005-0000-0000-00007A050000}"/>
    <cellStyle name="Normal 2 50" xfId="1507" xr:uid="{00000000-0005-0000-0000-00007B050000}"/>
    <cellStyle name="Normal 2 50 2" xfId="11616" xr:uid="{00000000-0005-0000-0000-0000FA250000}"/>
    <cellStyle name="Normal 2 51" xfId="1508" xr:uid="{00000000-0005-0000-0000-00007C050000}"/>
    <cellStyle name="Normal 2 51 2" xfId="11617" xr:uid="{00000000-0005-0000-0000-0000FC250000}"/>
    <cellStyle name="Normal 2 52" xfId="1509" xr:uid="{00000000-0005-0000-0000-00007D050000}"/>
    <cellStyle name="Normal 2 52 2" xfId="11618" xr:uid="{00000000-0005-0000-0000-0000FE250000}"/>
    <cellStyle name="Normal 2 53" xfId="1510" xr:uid="{00000000-0005-0000-0000-00007E050000}"/>
    <cellStyle name="Normal 2 53 2" xfId="11619" xr:uid="{00000000-0005-0000-0000-000000260000}"/>
    <cellStyle name="Normal 2 54" xfId="1511" xr:uid="{00000000-0005-0000-0000-00007F050000}"/>
    <cellStyle name="Normal 2 54 2" xfId="11620" xr:uid="{00000000-0005-0000-0000-000002260000}"/>
    <cellStyle name="Normal 2 55" xfId="1512" xr:uid="{00000000-0005-0000-0000-000080050000}"/>
    <cellStyle name="Normal 2 55 2" xfId="11621" xr:uid="{00000000-0005-0000-0000-000004260000}"/>
    <cellStyle name="Normal 2 56" xfId="1513" xr:uid="{00000000-0005-0000-0000-000081050000}"/>
    <cellStyle name="Normal 2 56 2" xfId="11622" xr:uid="{00000000-0005-0000-0000-000006260000}"/>
    <cellStyle name="Normal 2 57" xfId="1514" xr:uid="{00000000-0005-0000-0000-000082050000}"/>
    <cellStyle name="Normal 2 57 2" xfId="11623" xr:uid="{00000000-0005-0000-0000-000008260000}"/>
    <cellStyle name="Normal 2 58" xfId="1515" xr:uid="{00000000-0005-0000-0000-000083050000}"/>
    <cellStyle name="Normal 2 58 2" xfId="11624" xr:uid="{00000000-0005-0000-0000-00000A260000}"/>
    <cellStyle name="Normal 2 59" xfId="1516" xr:uid="{00000000-0005-0000-0000-000084050000}"/>
    <cellStyle name="Normal 2 59 2" xfId="11625" xr:uid="{00000000-0005-0000-0000-00000C260000}"/>
    <cellStyle name="Normal 2 6" xfId="1517" xr:uid="{00000000-0005-0000-0000-000085050000}"/>
    <cellStyle name="Normal 2 6 2" xfId="1518" xr:uid="{00000000-0005-0000-0000-000086050000}"/>
    <cellStyle name="Normal 2 6 2 2" xfId="11626" xr:uid="{00000000-0005-0000-0000-00000E260000}"/>
    <cellStyle name="Normal 2 6 3" xfId="11627" xr:uid="{00000000-0005-0000-0000-00000F260000}"/>
    <cellStyle name="Normal 2 6 3 2" xfId="11628" xr:uid="{00000000-0005-0000-0000-000010260000}"/>
    <cellStyle name="Normal 2 6 3 3" xfId="11629" xr:uid="{00000000-0005-0000-0000-000011260000}"/>
    <cellStyle name="Normal 2 6_App b.3 Unspent_" xfId="1519" xr:uid="{00000000-0005-0000-0000-000087050000}"/>
    <cellStyle name="Normal 2 60" xfId="1520" xr:uid="{00000000-0005-0000-0000-000088050000}"/>
    <cellStyle name="Normal 2 60 2" xfId="11630" xr:uid="{00000000-0005-0000-0000-000013260000}"/>
    <cellStyle name="Normal 2 61" xfId="1521" xr:uid="{00000000-0005-0000-0000-000089050000}"/>
    <cellStyle name="Normal 2 61 2" xfId="11631" xr:uid="{00000000-0005-0000-0000-000015260000}"/>
    <cellStyle name="Normal 2 62" xfId="1522" xr:uid="{00000000-0005-0000-0000-00008A050000}"/>
    <cellStyle name="Normal 2 62 2" xfId="11632" xr:uid="{00000000-0005-0000-0000-000017260000}"/>
    <cellStyle name="Normal 2 63" xfId="1523" xr:uid="{00000000-0005-0000-0000-00008B050000}"/>
    <cellStyle name="Normal 2 63 2" xfId="11633" xr:uid="{00000000-0005-0000-0000-000019260000}"/>
    <cellStyle name="Normal 2 64" xfId="1524" xr:uid="{00000000-0005-0000-0000-00008C050000}"/>
    <cellStyle name="Normal 2 64 2" xfId="11634" xr:uid="{00000000-0005-0000-0000-00001B260000}"/>
    <cellStyle name="Normal 2 65" xfId="1525" xr:uid="{00000000-0005-0000-0000-00008D050000}"/>
    <cellStyle name="Normal 2 65 2" xfId="11635" xr:uid="{00000000-0005-0000-0000-00001D260000}"/>
    <cellStyle name="Normal 2 66" xfId="1526" xr:uid="{00000000-0005-0000-0000-00008E050000}"/>
    <cellStyle name="Normal 2 66 2" xfId="11636" xr:uid="{00000000-0005-0000-0000-00001F260000}"/>
    <cellStyle name="Normal 2 67" xfId="1527" xr:uid="{00000000-0005-0000-0000-00008F050000}"/>
    <cellStyle name="Normal 2 67 2" xfId="11637" xr:uid="{00000000-0005-0000-0000-000021260000}"/>
    <cellStyle name="Normal 2 68" xfId="1528" xr:uid="{00000000-0005-0000-0000-000090050000}"/>
    <cellStyle name="Normal 2 68 2" xfId="11638" xr:uid="{00000000-0005-0000-0000-000023260000}"/>
    <cellStyle name="Normal 2 69" xfId="1529" xr:uid="{00000000-0005-0000-0000-000091050000}"/>
    <cellStyle name="Normal 2 69 2" xfId="11639" xr:uid="{00000000-0005-0000-0000-000025260000}"/>
    <cellStyle name="Normal 2 7" xfId="1530" xr:uid="{00000000-0005-0000-0000-000092050000}"/>
    <cellStyle name="Normal 2 7 2" xfId="1531" xr:uid="{00000000-0005-0000-0000-000093050000}"/>
    <cellStyle name="Normal 2 7 2 2" xfId="11640" xr:uid="{00000000-0005-0000-0000-000027260000}"/>
    <cellStyle name="Normal 2 7 3" xfId="11641" xr:uid="{00000000-0005-0000-0000-000028260000}"/>
    <cellStyle name="Normal 2 7 3 2" xfId="11642" xr:uid="{00000000-0005-0000-0000-000029260000}"/>
    <cellStyle name="Normal 2 7 3 3" xfId="11643" xr:uid="{00000000-0005-0000-0000-00002A260000}"/>
    <cellStyle name="Normal 2 7_App b.3 Unspent_" xfId="1532" xr:uid="{00000000-0005-0000-0000-000094050000}"/>
    <cellStyle name="Normal 2 70" xfId="1533" xr:uid="{00000000-0005-0000-0000-000095050000}"/>
    <cellStyle name="Normal 2 70 2" xfId="11644" xr:uid="{00000000-0005-0000-0000-00002C260000}"/>
    <cellStyle name="Normal 2 71" xfId="1534" xr:uid="{00000000-0005-0000-0000-000096050000}"/>
    <cellStyle name="Normal 2 71 2" xfId="11645" xr:uid="{00000000-0005-0000-0000-00002E260000}"/>
    <cellStyle name="Normal 2 72" xfId="1535" xr:uid="{00000000-0005-0000-0000-000097050000}"/>
    <cellStyle name="Normal 2 72 2" xfId="11646" xr:uid="{00000000-0005-0000-0000-000030260000}"/>
    <cellStyle name="Normal 2 73" xfId="1536" xr:uid="{00000000-0005-0000-0000-000098050000}"/>
    <cellStyle name="Normal 2 73 2" xfId="11647" xr:uid="{00000000-0005-0000-0000-000032260000}"/>
    <cellStyle name="Normal 2 74" xfId="1537" xr:uid="{00000000-0005-0000-0000-000099050000}"/>
    <cellStyle name="Normal 2 74 2" xfId="11648" xr:uid="{00000000-0005-0000-0000-000034260000}"/>
    <cellStyle name="Normal 2 75" xfId="1538" xr:uid="{00000000-0005-0000-0000-00009A050000}"/>
    <cellStyle name="Normal 2 75 2" xfId="11649" xr:uid="{00000000-0005-0000-0000-000036260000}"/>
    <cellStyle name="Normal 2 76" xfId="1539" xr:uid="{00000000-0005-0000-0000-00009B050000}"/>
    <cellStyle name="Normal 2 76 2" xfId="11650" xr:uid="{00000000-0005-0000-0000-000038260000}"/>
    <cellStyle name="Normal 2 77" xfId="1540" xr:uid="{00000000-0005-0000-0000-00009C050000}"/>
    <cellStyle name="Normal 2 77 2" xfId="11651" xr:uid="{00000000-0005-0000-0000-00003A260000}"/>
    <cellStyle name="Normal 2 78" xfId="1541" xr:uid="{00000000-0005-0000-0000-00009D050000}"/>
    <cellStyle name="Normal 2 78 2" xfId="11652" xr:uid="{00000000-0005-0000-0000-00003C260000}"/>
    <cellStyle name="Normal 2 79" xfId="1542" xr:uid="{00000000-0005-0000-0000-00009E050000}"/>
    <cellStyle name="Normal 2 79 2" xfId="11653" xr:uid="{00000000-0005-0000-0000-00003E260000}"/>
    <cellStyle name="Normal 2 8" xfId="1543" xr:uid="{00000000-0005-0000-0000-00009F050000}"/>
    <cellStyle name="Normal 2 8 10" xfId="1544" xr:uid="{00000000-0005-0000-0000-0000A0050000}"/>
    <cellStyle name="Normal 2 8 10 2" xfId="11654" xr:uid="{00000000-0005-0000-0000-000041260000}"/>
    <cellStyle name="Normal 2 8 11" xfId="1545" xr:uid="{00000000-0005-0000-0000-0000A1050000}"/>
    <cellStyle name="Normal 2 8 11 2" xfId="11655" xr:uid="{00000000-0005-0000-0000-000043260000}"/>
    <cellStyle name="Normal 2 8 12" xfId="1546" xr:uid="{00000000-0005-0000-0000-0000A2050000}"/>
    <cellStyle name="Normal 2 8 12 2" xfId="11656" xr:uid="{00000000-0005-0000-0000-000045260000}"/>
    <cellStyle name="Normal 2 8 13" xfId="1547" xr:uid="{00000000-0005-0000-0000-0000A3050000}"/>
    <cellStyle name="Normal 2 8 13 2" xfId="11657" xr:uid="{00000000-0005-0000-0000-000047260000}"/>
    <cellStyle name="Normal 2 8 14" xfId="1548" xr:uid="{00000000-0005-0000-0000-0000A4050000}"/>
    <cellStyle name="Normal 2 8 14 2" xfId="11658" xr:uid="{00000000-0005-0000-0000-000049260000}"/>
    <cellStyle name="Normal 2 8 15" xfId="1549" xr:uid="{00000000-0005-0000-0000-0000A5050000}"/>
    <cellStyle name="Normal 2 8 15 2" xfId="11659" xr:uid="{00000000-0005-0000-0000-00004B260000}"/>
    <cellStyle name="Normal 2 8 16" xfId="1550" xr:uid="{00000000-0005-0000-0000-0000A6050000}"/>
    <cellStyle name="Normal 2 8 16 2" xfId="11660" xr:uid="{00000000-0005-0000-0000-00004D260000}"/>
    <cellStyle name="Normal 2 8 17" xfId="1551" xr:uid="{00000000-0005-0000-0000-0000A7050000}"/>
    <cellStyle name="Normal 2 8 17 2" xfId="11661" xr:uid="{00000000-0005-0000-0000-00004F260000}"/>
    <cellStyle name="Normal 2 8 18" xfId="1552" xr:uid="{00000000-0005-0000-0000-0000A8050000}"/>
    <cellStyle name="Normal 2 8 18 2" xfId="11662" xr:uid="{00000000-0005-0000-0000-000051260000}"/>
    <cellStyle name="Normal 2 8 19" xfId="1553" xr:uid="{00000000-0005-0000-0000-0000A9050000}"/>
    <cellStyle name="Normal 2 8 19 2" xfId="11663" xr:uid="{00000000-0005-0000-0000-000053260000}"/>
    <cellStyle name="Normal 2 8 2" xfId="1554" xr:uid="{00000000-0005-0000-0000-0000AA050000}"/>
    <cellStyle name="Normal 2 8 2 2" xfId="11665" xr:uid="{00000000-0005-0000-0000-000055260000}"/>
    <cellStyle name="Normal 2 8 2 2 2" xfId="11666" xr:uid="{00000000-0005-0000-0000-000056260000}"/>
    <cellStyle name="Normal 2 8 2 2 3" xfId="11667" xr:uid="{00000000-0005-0000-0000-000057260000}"/>
    <cellStyle name="Normal 2 8 2 3" xfId="11664" xr:uid="{00000000-0005-0000-0000-000054260000}"/>
    <cellStyle name="Normal 2 8 20" xfId="1555" xr:uid="{00000000-0005-0000-0000-0000AB050000}"/>
    <cellStyle name="Normal 2 8 20 2" xfId="11668" xr:uid="{00000000-0005-0000-0000-000059260000}"/>
    <cellStyle name="Normal 2 8 21" xfId="1556" xr:uid="{00000000-0005-0000-0000-0000AC050000}"/>
    <cellStyle name="Normal 2 8 21 2" xfId="11669" xr:uid="{00000000-0005-0000-0000-00005B260000}"/>
    <cellStyle name="Normal 2 8 22" xfId="1557" xr:uid="{00000000-0005-0000-0000-0000AD050000}"/>
    <cellStyle name="Normal 2 8 22 2" xfId="11670" xr:uid="{00000000-0005-0000-0000-00005D260000}"/>
    <cellStyle name="Normal 2 8 23" xfId="1558" xr:uid="{00000000-0005-0000-0000-0000AE050000}"/>
    <cellStyle name="Normal 2 8 23 2" xfId="11671" xr:uid="{00000000-0005-0000-0000-00005F260000}"/>
    <cellStyle name="Normal 2 8 24" xfId="11672" xr:uid="{00000000-0005-0000-0000-000060260000}"/>
    <cellStyle name="Normal 2 8 24 2" xfId="11673" xr:uid="{00000000-0005-0000-0000-000061260000}"/>
    <cellStyle name="Normal 2 8 24 3" xfId="11674" xr:uid="{00000000-0005-0000-0000-000062260000}"/>
    <cellStyle name="Normal 2 8 3" xfId="1559" xr:uid="{00000000-0005-0000-0000-0000AF050000}"/>
    <cellStyle name="Normal 2 8 3 2" xfId="11675" xr:uid="{00000000-0005-0000-0000-000064260000}"/>
    <cellStyle name="Normal 2 8 4" xfId="1560" xr:uid="{00000000-0005-0000-0000-0000B0050000}"/>
    <cellStyle name="Normal 2 8 4 2" xfId="11676" xr:uid="{00000000-0005-0000-0000-000066260000}"/>
    <cellStyle name="Normal 2 8 5" xfId="1561" xr:uid="{00000000-0005-0000-0000-0000B1050000}"/>
    <cellStyle name="Normal 2 8 5 2" xfId="11677" xr:uid="{00000000-0005-0000-0000-000068260000}"/>
    <cellStyle name="Normal 2 8 6" xfId="1562" xr:uid="{00000000-0005-0000-0000-0000B2050000}"/>
    <cellStyle name="Normal 2 8 6 2" xfId="11678" xr:uid="{00000000-0005-0000-0000-00006A260000}"/>
    <cellStyle name="Normal 2 8 7" xfId="1563" xr:uid="{00000000-0005-0000-0000-0000B3050000}"/>
    <cellStyle name="Normal 2 8 7 2" xfId="11679" xr:uid="{00000000-0005-0000-0000-00006C260000}"/>
    <cellStyle name="Normal 2 8 8" xfId="1564" xr:uid="{00000000-0005-0000-0000-0000B4050000}"/>
    <cellStyle name="Normal 2 8 8 2" xfId="11680" xr:uid="{00000000-0005-0000-0000-00006E260000}"/>
    <cellStyle name="Normal 2 8 9" xfId="1565" xr:uid="{00000000-0005-0000-0000-0000B5050000}"/>
    <cellStyle name="Normal 2 8 9 2" xfId="11681" xr:uid="{00000000-0005-0000-0000-000070260000}"/>
    <cellStyle name="Normal 2 8_App b.3 Unspent_" xfId="1566" xr:uid="{00000000-0005-0000-0000-0000B6050000}"/>
    <cellStyle name="Normal 2 80" xfId="1567" xr:uid="{00000000-0005-0000-0000-0000B7050000}"/>
    <cellStyle name="Normal 2 80 2" xfId="11682" xr:uid="{00000000-0005-0000-0000-000072260000}"/>
    <cellStyle name="Normal 2 81" xfId="1568" xr:uid="{00000000-0005-0000-0000-0000B8050000}"/>
    <cellStyle name="Normal 2 81 2" xfId="11683" xr:uid="{00000000-0005-0000-0000-000074260000}"/>
    <cellStyle name="Normal 2 82" xfId="1569" xr:uid="{00000000-0005-0000-0000-0000B9050000}"/>
    <cellStyle name="Normal 2 82 2" xfId="11684" xr:uid="{00000000-0005-0000-0000-000076260000}"/>
    <cellStyle name="Normal 2 83" xfId="1570" xr:uid="{00000000-0005-0000-0000-0000BA050000}"/>
    <cellStyle name="Normal 2 83 2" xfId="11685" xr:uid="{00000000-0005-0000-0000-000078260000}"/>
    <cellStyle name="Normal 2 84" xfId="1571" xr:uid="{00000000-0005-0000-0000-0000BB050000}"/>
    <cellStyle name="Normal 2 84 2" xfId="11686" xr:uid="{00000000-0005-0000-0000-00007A260000}"/>
    <cellStyle name="Normal 2 85" xfId="1572" xr:uid="{00000000-0005-0000-0000-0000BC050000}"/>
    <cellStyle name="Normal 2 85 2" xfId="11687" xr:uid="{00000000-0005-0000-0000-00007C260000}"/>
    <cellStyle name="Normal 2 86" xfId="1573" xr:uid="{00000000-0005-0000-0000-0000BD050000}"/>
    <cellStyle name="Normal 2 86 2" xfId="11688" xr:uid="{00000000-0005-0000-0000-00007E260000}"/>
    <cellStyle name="Normal 2 87" xfId="1574" xr:uid="{00000000-0005-0000-0000-0000BE050000}"/>
    <cellStyle name="Normal 2 87 2" xfId="11689" xr:uid="{00000000-0005-0000-0000-000080260000}"/>
    <cellStyle name="Normal 2 88" xfId="1575" xr:uid="{00000000-0005-0000-0000-0000BF050000}"/>
    <cellStyle name="Normal 2 88 2" xfId="11690" xr:uid="{00000000-0005-0000-0000-000082260000}"/>
    <cellStyle name="Normal 2 89" xfId="1576" xr:uid="{00000000-0005-0000-0000-0000C0050000}"/>
    <cellStyle name="Normal 2 89 2" xfId="11691" xr:uid="{00000000-0005-0000-0000-000084260000}"/>
    <cellStyle name="Normal 2 9" xfId="1577" xr:uid="{00000000-0005-0000-0000-0000C1050000}"/>
    <cellStyle name="Normal 2 9 10" xfId="1578" xr:uid="{00000000-0005-0000-0000-0000C2050000}"/>
    <cellStyle name="Normal 2 9 10 2" xfId="11692" xr:uid="{00000000-0005-0000-0000-000087260000}"/>
    <cellStyle name="Normal 2 9 11" xfId="1579" xr:uid="{00000000-0005-0000-0000-0000C3050000}"/>
    <cellStyle name="Normal 2 9 11 2" xfId="11693" xr:uid="{00000000-0005-0000-0000-000089260000}"/>
    <cellStyle name="Normal 2 9 12" xfId="1580" xr:uid="{00000000-0005-0000-0000-0000C4050000}"/>
    <cellStyle name="Normal 2 9 12 2" xfId="11694" xr:uid="{00000000-0005-0000-0000-00008B260000}"/>
    <cellStyle name="Normal 2 9 13" xfId="1581" xr:uid="{00000000-0005-0000-0000-0000C5050000}"/>
    <cellStyle name="Normal 2 9 13 2" xfId="11695" xr:uid="{00000000-0005-0000-0000-00008D260000}"/>
    <cellStyle name="Normal 2 9 14" xfId="1582" xr:uid="{00000000-0005-0000-0000-0000C6050000}"/>
    <cellStyle name="Normal 2 9 14 2" xfId="11696" xr:uid="{00000000-0005-0000-0000-00008F260000}"/>
    <cellStyle name="Normal 2 9 15" xfId="1583" xr:uid="{00000000-0005-0000-0000-0000C7050000}"/>
    <cellStyle name="Normal 2 9 15 2" xfId="11697" xr:uid="{00000000-0005-0000-0000-000091260000}"/>
    <cellStyle name="Normal 2 9 16" xfId="1584" xr:uid="{00000000-0005-0000-0000-0000C8050000}"/>
    <cellStyle name="Normal 2 9 16 2" xfId="11698" xr:uid="{00000000-0005-0000-0000-000093260000}"/>
    <cellStyle name="Normal 2 9 17" xfId="1585" xr:uid="{00000000-0005-0000-0000-0000C9050000}"/>
    <cellStyle name="Normal 2 9 17 2" xfId="11699" xr:uid="{00000000-0005-0000-0000-000095260000}"/>
    <cellStyle name="Normal 2 9 18" xfId="1586" xr:uid="{00000000-0005-0000-0000-0000CA050000}"/>
    <cellStyle name="Normal 2 9 18 2" xfId="11700" xr:uid="{00000000-0005-0000-0000-000097260000}"/>
    <cellStyle name="Normal 2 9 19" xfId="1587" xr:uid="{00000000-0005-0000-0000-0000CB050000}"/>
    <cellStyle name="Normal 2 9 19 2" xfId="11701" xr:uid="{00000000-0005-0000-0000-000099260000}"/>
    <cellStyle name="Normal 2 9 2" xfId="1588" xr:uid="{00000000-0005-0000-0000-0000CC050000}"/>
    <cellStyle name="Normal 2 9 2 2" xfId="11702" xr:uid="{00000000-0005-0000-0000-00009B260000}"/>
    <cellStyle name="Normal 2 9 20" xfId="1589" xr:uid="{00000000-0005-0000-0000-0000CD050000}"/>
    <cellStyle name="Normal 2 9 20 2" xfId="11703" xr:uid="{00000000-0005-0000-0000-00009D260000}"/>
    <cellStyle name="Normal 2 9 21" xfId="1590" xr:uid="{00000000-0005-0000-0000-0000CE050000}"/>
    <cellStyle name="Normal 2 9 21 2" xfId="11704" xr:uid="{00000000-0005-0000-0000-00009F260000}"/>
    <cellStyle name="Normal 2 9 22" xfId="1591" xr:uid="{00000000-0005-0000-0000-0000CF050000}"/>
    <cellStyle name="Normal 2 9 22 2" xfId="11705" xr:uid="{00000000-0005-0000-0000-0000A1260000}"/>
    <cellStyle name="Normal 2 9 23" xfId="1592" xr:uid="{00000000-0005-0000-0000-0000D0050000}"/>
    <cellStyle name="Normal 2 9 23 2" xfId="11706" xr:uid="{00000000-0005-0000-0000-0000A3260000}"/>
    <cellStyle name="Normal 2 9 24" xfId="11707" xr:uid="{00000000-0005-0000-0000-0000A4260000}"/>
    <cellStyle name="Normal 2 9 24 2" xfId="11708" xr:uid="{00000000-0005-0000-0000-0000A5260000}"/>
    <cellStyle name="Normal 2 9 3" xfId="1593" xr:uid="{00000000-0005-0000-0000-0000D1050000}"/>
    <cellStyle name="Normal 2 9 3 2" xfId="11709" xr:uid="{00000000-0005-0000-0000-0000A7260000}"/>
    <cellStyle name="Normal 2 9 4" xfId="1594" xr:uid="{00000000-0005-0000-0000-0000D2050000}"/>
    <cellStyle name="Normal 2 9 4 2" xfId="11710" xr:uid="{00000000-0005-0000-0000-0000A9260000}"/>
    <cellStyle name="Normal 2 9 5" xfId="1595" xr:uid="{00000000-0005-0000-0000-0000D3050000}"/>
    <cellStyle name="Normal 2 9 5 2" xfId="11711" xr:uid="{00000000-0005-0000-0000-0000AB260000}"/>
    <cellStyle name="Normal 2 9 6" xfId="1596" xr:uid="{00000000-0005-0000-0000-0000D4050000}"/>
    <cellStyle name="Normal 2 9 6 2" xfId="11712" xr:uid="{00000000-0005-0000-0000-0000AD260000}"/>
    <cellStyle name="Normal 2 9 7" xfId="1597" xr:uid="{00000000-0005-0000-0000-0000D5050000}"/>
    <cellStyle name="Normal 2 9 7 2" xfId="11713" xr:uid="{00000000-0005-0000-0000-0000AF260000}"/>
    <cellStyle name="Normal 2 9 8" xfId="1598" xr:uid="{00000000-0005-0000-0000-0000D6050000}"/>
    <cellStyle name="Normal 2 9 8 2" xfId="11714" xr:uid="{00000000-0005-0000-0000-0000B1260000}"/>
    <cellStyle name="Normal 2 9 9" xfId="1599" xr:uid="{00000000-0005-0000-0000-0000D7050000}"/>
    <cellStyle name="Normal 2 9 9 2" xfId="11715" xr:uid="{00000000-0005-0000-0000-0000B3260000}"/>
    <cellStyle name="Normal 2 9_App b.3 Unspent_" xfId="1600" xr:uid="{00000000-0005-0000-0000-0000D8050000}"/>
    <cellStyle name="Normal 2 90" xfId="1601" xr:uid="{00000000-0005-0000-0000-0000D9050000}"/>
    <cellStyle name="Normal 2 90 2" xfId="11716" xr:uid="{00000000-0005-0000-0000-0000B5260000}"/>
    <cellStyle name="Normal 2 91" xfId="1602" xr:uid="{00000000-0005-0000-0000-0000DA050000}"/>
    <cellStyle name="Normal 2 91 2" xfId="11717" xr:uid="{00000000-0005-0000-0000-0000B7260000}"/>
    <cellStyle name="Normal 2 92" xfId="1603" xr:uid="{00000000-0005-0000-0000-0000DB050000}"/>
    <cellStyle name="Normal 2 92 2" xfId="11718" xr:uid="{00000000-0005-0000-0000-0000B9260000}"/>
    <cellStyle name="Normal 2 93" xfId="1604" xr:uid="{00000000-0005-0000-0000-0000DC050000}"/>
    <cellStyle name="Normal 2 93 2" xfId="11719" xr:uid="{00000000-0005-0000-0000-0000BB260000}"/>
    <cellStyle name="Normal 2 94" xfId="1605" xr:uid="{00000000-0005-0000-0000-0000DD050000}"/>
    <cellStyle name="Normal 2 94 2" xfId="11720" xr:uid="{00000000-0005-0000-0000-0000BD260000}"/>
    <cellStyle name="Normal 2 94 3" xfId="11721" xr:uid="{00000000-0005-0000-0000-0000BE260000}"/>
    <cellStyle name="Normal 2 95" xfId="1606" xr:uid="{00000000-0005-0000-0000-0000DE050000}"/>
    <cellStyle name="Normal 2 95 2" xfId="2880" xr:uid="{00000000-0005-0000-0000-0000DF050000}"/>
    <cellStyle name="Normal 2 95 2 2" xfId="11722" xr:uid="{00000000-0005-0000-0000-0000C1260000}"/>
    <cellStyle name="Normal 2 95 2 2 2" xfId="11723" xr:uid="{00000000-0005-0000-0000-0000C2260000}"/>
    <cellStyle name="Normal 2 95 2 2 3" xfId="11724" xr:uid="{00000000-0005-0000-0000-0000C3260000}"/>
    <cellStyle name="Normal 2 95 2 3" xfId="11725" xr:uid="{00000000-0005-0000-0000-0000C4260000}"/>
    <cellStyle name="Normal 2 95 2 4" xfId="11726" xr:uid="{00000000-0005-0000-0000-0000C5260000}"/>
    <cellStyle name="Normal 2 95 3" xfId="2936" xr:uid="{00000000-0005-0000-0000-0000E0050000}"/>
    <cellStyle name="Normal 2 95 3 2" xfId="11727" xr:uid="{00000000-0005-0000-0000-0000C7260000}"/>
    <cellStyle name="Normal 2 95 3 3" xfId="11728" xr:uid="{00000000-0005-0000-0000-0000C8260000}"/>
    <cellStyle name="Normal 2 95 4" xfId="11729" xr:uid="{00000000-0005-0000-0000-0000C9260000}"/>
    <cellStyle name="Normal 2 95 5" xfId="11730" xr:uid="{00000000-0005-0000-0000-0000CA260000}"/>
    <cellStyle name="Normal 2 96" xfId="1607" xr:uid="{00000000-0005-0000-0000-0000E1050000}"/>
    <cellStyle name="Normal 2 96 2" xfId="2881" xr:uid="{00000000-0005-0000-0000-0000E2050000}"/>
    <cellStyle name="Normal 2 96 2 2" xfId="11731" xr:uid="{00000000-0005-0000-0000-0000CD260000}"/>
    <cellStyle name="Normal 2 96 2 2 2" xfId="11732" xr:uid="{00000000-0005-0000-0000-0000CE260000}"/>
    <cellStyle name="Normal 2 96 2 2 3" xfId="11733" xr:uid="{00000000-0005-0000-0000-0000CF260000}"/>
    <cellStyle name="Normal 2 96 2 3" xfId="11734" xr:uid="{00000000-0005-0000-0000-0000D0260000}"/>
    <cellStyle name="Normal 2 96 2 4" xfId="11735" xr:uid="{00000000-0005-0000-0000-0000D1260000}"/>
    <cellStyle name="Normal 2 96 3" xfId="2937" xr:uid="{00000000-0005-0000-0000-0000E3050000}"/>
    <cellStyle name="Normal 2 96 3 2" xfId="11736" xr:uid="{00000000-0005-0000-0000-0000D3260000}"/>
    <cellStyle name="Normal 2 96 3 3" xfId="11737" xr:uid="{00000000-0005-0000-0000-0000D4260000}"/>
    <cellStyle name="Normal 2 96 4" xfId="11738" xr:uid="{00000000-0005-0000-0000-0000D5260000}"/>
    <cellStyle name="Normal 2 96 5" xfId="11739" xr:uid="{00000000-0005-0000-0000-0000D6260000}"/>
    <cellStyle name="Normal 2 97" xfId="2873" xr:uid="{00000000-0005-0000-0000-0000E4050000}"/>
    <cellStyle name="Normal 2 98" xfId="2933" xr:uid="{00000000-0005-0000-0000-0000E5050000}"/>
    <cellStyle name="Normal 2 99" xfId="2576" xr:uid="{00000000-0005-0000-0000-000006020000}"/>
    <cellStyle name="Normal 2_12889 GP Contracts v3" xfId="1608" xr:uid="{00000000-0005-0000-0000-0000E6050000}"/>
    <cellStyle name="Normal 20" xfId="1609" xr:uid="{00000000-0005-0000-0000-0000E7050000}"/>
    <cellStyle name="Normal 20 2" xfId="1610" xr:uid="{00000000-0005-0000-0000-0000E8050000}"/>
    <cellStyle name="Normal 20 2 2" xfId="2882" xr:uid="{00000000-0005-0000-0000-0000E9050000}"/>
    <cellStyle name="Normal 20 2 2 2" xfId="11740" xr:uid="{00000000-0005-0000-0000-0000DE260000}"/>
    <cellStyle name="Normal 20 2 2 2 2" xfId="11741" xr:uid="{00000000-0005-0000-0000-0000DF260000}"/>
    <cellStyle name="Normal 20 2 2 2 3" xfId="11742" xr:uid="{00000000-0005-0000-0000-0000E0260000}"/>
    <cellStyle name="Normal 20 2 2 3" xfId="11743" xr:uid="{00000000-0005-0000-0000-0000E1260000}"/>
    <cellStyle name="Normal 20 2 2 4" xfId="11744" xr:uid="{00000000-0005-0000-0000-0000E2260000}"/>
    <cellStyle name="Normal 20 2 3" xfId="2938" xr:uid="{00000000-0005-0000-0000-0000EA050000}"/>
    <cellStyle name="Normal 20 2 3 2" xfId="11745" xr:uid="{00000000-0005-0000-0000-0000E4260000}"/>
    <cellStyle name="Normal 20 2 3 3" xfId="11746" xr:uid="{00000000-0005-0000-0000-0000E5260000}"/>
    <cellStyle name="Normal 20 2 4" xfId="11747" xr:uid="{00000000-0005-0000-0000-0000E6260000}"/>
    <cellStyle name="Normal 20 2 5" xfId="11748" xr:uid="{00000000-0005-0000-0000-0000E7260000}"/>
    <cellStyle name="Normal 20 2 6" xfId="11749" xr:uid="{00000000-0005-0000-0000-0000E8260000}"/>
    <cellStyle name="Normal 20 2 7" xfId="5377" xr:uid="{00000000-0005-0000-0000-0000DC260000}"/>
    <cellStyle name="Normal 20 3" xfId="19" xr:uid="{00000000-0005-0000-0000-000014000000}"/>
    <cellStyle name="Normal 20 3 2" xfId="121" xr:uid="{00000000-0005-0000-0000-000014000000}"/>
    <cellStyle name="Normal 20 3 2 2" xfId="11750" xr:uid="{00000000-0005-0000-0000-0000EA260000}"/>
    <cellStyle name="Normal 20 3 3" xfId="1611" xr:uid="{00000000-0005-0000-0000-0000EB050000}"/>
    <cellStyle name="Normal 20 3 3 2" xfId="11751" xr:uid="{00000000-0005-0000-0000-0000EB260000}"/>
    <cellStyle name="Normal 20 4" xfId="11752" xr:uid="{00000000-0005-0000-0000-0000EC260000}"/>
    <cellStyle name="Normal 20 5" xfId="11753" xr:uid="{00000000-0005-0000-0000-0000ED260000}"/>
    <cellStyle name="Normal 20 5 2" xfId="11754" xr:uid="{00000000-0005-0000-0000-0000EE260000}"/>
    <cellStyle name="Normal 20 6" xfId="11755" xr:uid="{00000000-0005-0000-0000-0000EF260000}"/>
    <cellStyle name="Normal 20 7" xfId="5378" xr:uid="{00000000-0005-0000-0000-0000DB260000}"/>
    <cellStyle name="Normal 20_App b.3 Unspent_" xfId="1612" xr:uid="{00000000-0005-0000-0000-0000EC050000}"/>
    <cellStyle name="Normal 200" xfId="11756" xr:uid="{00000000-0005-0000-0000-0000F0260000}"/>
    <cellStyle name="Normal 201" xfId="20120" xr:uid="{00000000-0005-0000-0000-0000F1260000}"/>
    <cellStyle name="Normal 202" xfId="5509" xr:uid="{00000000-0005-0000-0000-000063270000}"/>
    <cellStyle name="Normal 203" xfId="5499" xr:uid="{00000000-0005-0000-0000-0000D74E0000}"/>
    <cellStyle name="Normal 204" xfId="20529" xr:uid="{00000000-0005-0000-0000-000057500000}"/>
    <cellStyle name="Normal 205" xfId="15917" xr:uid="{00000000-0005-0000-0000-000058500000}"/>
    <cellStyle name="Normal 206" xfId="15914" xr:uid="{00000000-0005-0000-0000-000059500000}"/>
    <cellStyle name="Normal 207" xfId="15922" xr:uid="{00000000-0005-0000-0000-00005A500000}"/>
    <cellStyle name="Normal 208" xfId="20528" xr:uid="{00000000-0005-0000-0000-00005B500000}"/>
    <cellStyle name="Normal 209" xfId="20527" xr:uid="{00000000-0005-0000-0000-00005D500000}"/>
    <cellStyle name="Normal 21" xfId="1613" xr:uid="{00000000-0005-0000-0000-0000ED050000}"/>
    <cellStyle name="Normal 21 2" xfId="1614" xr:uid="{00000000-0005-0000-0000-0000EE050000}"/>
    <cellStyle name="Normal 21 2 2" xfId="2883" xr:uid="{00000000-0005-0000-0000-0000EF050000}"/>
    <cellStyle name="Normal 21 2 2 2" xfId="11757" xr:uid="{00000000-0005-0000-0000-0000F5260000}"/>
    <cellStyle name="Normal 21 2 2 3" xfId="11758" xr:uid="{00000000-0005-0000-0000-0000F6260000}"/>
    <cellStyle name="Normal 21 2 3" xfId="2939" xr:uid="{00000000-0005-0000-0000-0000F0050000}"/>
    <cellStyle name="Normal 21 2 4" xfId="11759" xr:uid="{00000000-0005-0000-0000-0000F8260000}"/>
    <cellStyle name="Normal 21 2 5" xfId="11760" xr:uid="{00000000-0005-0000-0000-0000F9260000}"/>
    <cellStyle name="Normal 21 2 6" xfId="5375" xr:uid="{00000000-0005-0000-0000-0000F3260000}"/>
    <cellStyle name="Normal 21 3" xfId="20" xr:uid="{00000000-0005-0000-0000-000015000000}"/>
    <cellStyle name="Normal 21 3 2" xfId="122" xr:uid="{00000000-0005-0000-0000-000015000000}"/>
    <cellStyle name="Normal 21 3 3" xfId="11761" xr:uid="{00000000-0005-0000-0000-0000FC260000}"/>
    <cellStyle name="Normal 21 3 3 2" xfId="11762" xr:uid="{00000000-0005-0000-0000-0000FD260000}"/>
    <cellStyle name="Normal 21 4" xfId="11763" xr:uid="{00000000-0005-0000-0000-0000FE260000}"/>
    <cellStyle name="Normal 21 5" xfId="11764" xr:uid="{00000000-0005-0000-0000-0000FF260000}"/>
    <cellStyle name="Normal 21 6" xfId="11765" xr:uid="{00000000-0005-0000-0000-000000270000}"/>
    <cellStyle name="Normal 21 7" xfId="5376" xr:uid="{00000000-0005-0000-0000-0000F2260000}"/>
    <cellStyle name="Normal 21_App b.3 Unspent_" xfId="1615" xr:uid="{00000000-0005-0000-0000-0000F1050000}"/>
    <cellStyle name="Normal 210" xfId="20536" xr:uid="{F92909E9-3471-4B18-A40C-A4EF8A70AFF0}"/>
    <cellStyle name="Normal 210 2" xfId="20551" xr:uid="{2E73667C-20FC-439F-9A2C-0E3C7F5D0DA6}"/>
    <cellStyle name="Normal 210 2 2" xfId="20563" xr:uid="{F0504E7F-80FC-4E6C-AE5E-C2BF8F3B816E}"/>
    <cellStyle name="Normal 210 3" xfId="20572" xr:uid="{E95D1431-A504-4218-96C0-1B6A01809779}"/>
    <cellStyle name="Normal 211" xfId="20575" xr:uid="{59411DBF-B5EB-47FF-AB29-1C0A0F40DF13}"/>
    <cellStyle name="Normal 211 2" xfId="20580" xr:uid="{40882EA8-F651-49EB-8206-188E03D1B586}"/>
    <cellStyle name="Normal 211 3" xfId="20596" xr:uid="{519CE456-F0FB-47F7-BDC1-CAC5862D90BA}"/>
    <cellStyle name="Normal 212" xfId="20583" xr:uid="{A7B289BC-DCC2-49F2-B37F-BA01F34601B3}"/>
    <cellStyle name="Normal 212 2" xfId="20599" xr:uid="{81D88FFB-B5CF-47C7-9098-67B369F54130}"/>
    <cellStyle name="Normal 213" xfId="20585" xr:uid="{364D0765-F283-4098-983E-C18481B4E40B}"/>
    <cellStyle name="Normal 214" xfId="20587" xr:uid="{24BF2693-5B8F-4BCB-B6E4-4EE9DFB7FE9C}"/>
    <cellStyle name="Normal 215" xfId="20589" xr:uid="{F83DF4AD-3650-4A51-B38B-466E6F99334F}"/>
    <cellStyle name="Normal 216" xfId="20591" xr:uid="{A27B7EDD-36BB-4EC7-8307-C0F79D6A1553}"/>
    <cellStyle name="Normal 217" xfId="20593" xr:uid="{842C52F8-D1C3-4B47-B48A-83536CBCBF35}"/>
    <cellStyle name="Normal 218" xfId="20595" xr:uid="{3BEE9CAB-4AE7-4868-A9A8-5D7D5EA55595}"/>
    <cellStyle name="Normal 22" xfId="1616" xr:uid="{00000000-0005-0000-0000-0000F2050000}"/>
    <cellStyle name="Normal 22 2" xfId="1617" xr:uid="{00000000-0005-0000-0000-0000F3050000}"/>
    <cellStyle name="Normal 22 2 2" xfId="2884" xr:uid="{00000000-0005-0000-0000-0000F4050000}"/>
    <cellStyle name="Normal 22 2 2 2" xfId="11766" xr:uid="{00000000-0005-0000-0000-000004270000}"/>
    <cellStyle name="Normal 22 2 2 3" xfId="11767" xr:uid="{00000000-0005-0000-0000-000005270000}"/>
    <cellStyle name="Normal 22 2 3" xfId="2940" xr:uid="{00000000-0005-0000-0000-0000F5050000}"/>
    <cellStyle name="Normal 22 2 4" xfId="11768" xr:uid="{00000000-0005-0000-0000-000007270000}"/>
    <cellStyle name="Normal 22 2 5" xfId="11769" xr:uid="{00000000-0005-0000-0000-000008270000}"/>
    <cellStyle name="Normal 22 2 6" xfId="5373" xr:uid="{00000000-0005-0000-0000-000002270000}"/>
    <cellStyle name="Normal 22 3" xfId="21" xr:uid="{00000000-0005-0000-0000-000016000000}"/>
    <cellStyle name="Normal 22 3 2" xfId="123" xr:uid="{00000000-0005-0000-0000-000016000000}"/>
    <cellStyle name="Normal 22 3 3" xfId="11770" xr:uid="{00000000-0005-0000-0000-00000B270000}"/>
    <cellStyle name="Normal 22 3 3 2" xfId="11771" xr:uid="{00000000-0005-0000-0000-00000C270000}"/>
    <cellStyle name="Normal 22 4" xfId="11772" xr:uid="{00000000-0005-0000-0000-00000D270000}"/>
    <cellStyle name="Normal 22 5" xfId="11773" xr:uid="{00000000-0005-0000-0000-00000E270000}"/>
    <cellStyle name="Normal 22 6" xfId="11774" xr:uid="{00000000-0005-0000-0000-00000F270000}"/>
    <cellStyle name="Normal 22 7" xfId="5374" xr:uid="{00000000-0005-0000-0000-000001270000}"/>
    <cellStyle name="Normal 22_App b.3 Unspent_" xfId="1618" xr:uid="{00000000-0005-0000-0000-0000F6050000}"/>
    <cellStyle name="Normal 23" xfId="1619" xr:uid="{00000000-0005-0000-0000-0000F7050000}"/>
    <cellStyle name="Normal 23 2" xfId="5371" xr:uid="{00000000-0005-0000-0000-000011270000}"/>
    <cellStyle name="Normal 23 2 2" xfId="11775" xr:uid="{00000000-0005-0000-0000-000012270000}"/>
    <cellStyle name="Normal 23 2 2 2" xfId="11776" xr:uid="{00000000-0005-0000-0000-000013270000}"/>
    <cellStyle name="Normal 23 2 2 2 2" xfId="11777" xr:uid="{00000000-0005-0000-0000-000014270000}"/>
    <cellStyle name="Normal 23 2 2 2 3" xfId="11778" xr:uid="{00000000-0005-0000-0000-000015270000}"/>
    <cellStyle name="Normal 23 2 2 3" xfId="11779" xr:uid="{00000000-0005-0000-0000-000016270000}"/>
    <cellStyle name="Normal 23 2 2 4" xfId="11780" xr:uid="{00000000-0005-0000-0000-000017270000}"/>
    <cellStyle name="Normal 23 2 3" xfId="11781" xr:uid="{00000000-0005-0000-0000-000018270000}"/>
    <cellStyle name="Normal 23 2 3 2" xfId="11782" xr:uid="{00000000-0005-0000-0000-000019270000}"/>
    <cellStyle name="Normal 23 2 3 3" xfId="11783" xr:uid="{00000000-0005-0000-0000-00001A270000}"/>
    <cellStyle name="Normal 23 2 4" xfId="11784" xr:uid="{00000000-0005-0000-0000-00001B270000}"/>
    <cellStyle name="Normal 23 2 5" xfId="11785" xr:uid="{00000000-0005-0000-0000-00001C270000}"/>
    <cellStyle name="Normal 23 2 6" xfId="11786" xr:uid="{00000000-0005-0000-0000-00001D270000}"/>
    <cellStyle name="Normal 23 3" xfId="22" xr:uid="{00000000-0005-0000-0000-000017000000}"/>
    <cellStyle name="Normal 23 3 2" xfId="124" xr:uid="{00000000-0005-0000-0000-000017000000}"/>
    <cellStyle name="Normal 23 3 3" xfId="11787" xr:uid="{00000000-0005-0000-0000-00001E270000}"/>
    <cellStyle name="Normal 23 4" xfId="5372" xr:uid="{00000000-0005-0000-0000-000010270000}"/>
    <cellStyle name="Normal 24" xfId="1620" xr:uid="{00000000-0005-0000-0000-0000F8050000}"/>
    <cellStyle name="Normal 24 2" xfId="2885" xr:uid="{00000000-0005-0000-0000-0000F9050000}"/>
    <cellStyle name="Normal 24 2 2" xfId="11788" xr:uid="{00000000-0005-0000-0000-000021270000}"/>
    <cellStyle name="Normal 24 2 2 2" xfId="11789" xr:uid="{00000000-0005-0000-0000-000022270000}"/>
    <cellStyle name="Normal 24 2 2 3" xfId="11790" xr:uid="{00000000-0005-0000-0000-000023270000}"/>
    <cellStyle name="Normal 24 2 3" xfId="11791" xr:uid="{00000000-0005-0000-0000-000024270000}"/>
    <cellStyle name="Normal 24 2 4" xfId="11792" xr:uid="{00000000-0005-0000-0000-000025270000}"/>
    <cellStyle name="Normal 24 3" xfId="23" xr:uid="{00000000-0005-0000-0000-000018000000}"/>
    <cellStyle name="Normal 24 3 2" xfId="125" xr:uid="{00000000-0005-0000-0000-000018000000}"/>
    <cellStyle name="Normal 24 3 3" xfId="11793" xr:uid="{00000000-0005-0000-0000-000028270000}"/>
    <cellStyle name="Normal 24 4" xfId="11794" xr:uid="{00000000-0005-0000-0000-000029270000}"/>
    <cellStyle name="Normal 24 5" xfId="11795" xr:uid="{00000000-0005-0000-0000-00002A270000}"/>
    <cellStyle name="Normal 24 6" xfId="11796" xr:uid="{00000000-0005-0000-0000-00002B270000}"/>
    <cellStyle name="Normal 24 7" xfId="5370" xr:uid="{00000000-0005-0000-0000-00001F270000}"/>
    <cellStyle name="Normal 25" xfId="1621" xr:uid="{00000000-0005-0000-0000-0000FB050000}"/>
    <cellStyle name="Normal 25 2" xfId="2886" xr:uid="{00000000-0005-0000-0000-0000FC050000}"/>
    <cellStyle name="Normal 25 2 2" xfId="11797" xr:uid="{00000000-0005-0000-0000-00002E270000}"/>
    <cellStyle name="Normal 25 2 2 2" xfId="11798" xr:uid="{00000000-0005-0000-0000-00002F270000}"/>
    <cellStyle name="Normal 25 2 2 3" xfId="11799" xr:uid="{00000000-0005-0000-0000-000030270000}"/>
    <cellStyle name="Normal 25 2 3" xfId="11800" xr:uid="{00000000-0005-0000-0000-000031270000}"/>
    <cellStyle name="Normal 25 2 4" xfId="11801" xr:uid="{00000000-0005-0000-0000-000032270000}"/>
    <cellStyle name="Normal 25 3" xfId="24" xr:uid="{00000000-0005-0000-0000-000019000000}"/>
    <cellStyle name="Normal 25 3 2" xfId="126" xr:uid="{00000000-0005-0000-0000-000019000000}"/>
    <cellStyle name="Normal 25 3 3" xfId="11802" xr:uid="{00000000-0005-0000-0000-000035270000}"/>
    <cellStyle name="Normal 25 4" xfId="11803" xr:uid="{00000000-0005-0000-0000-000036270000}"/>
    <cellStyle name="Normal 25 5" xfId="11804" xr:uid="{00000000-0005-0000-0000-000037270000}"/>
    <cellStyle name="Normal 25 6" xfId="11805" xr:uid="{00000000-0005-0000-0000-000038270000}"/>
    <cellStyle name="Normal 25 7" xfId="5369" xr:uid="{00000000-0005-0000-0000-00002C270000}"/>
    <cellStyle name="Normal 26" xfId="1622" xr:uid="{00000000-0005-0000-0000-0000FE050000}"/>
    <cellStyle name="Normal 26 2" xfId="2887" xr:uid="{00000000-0005-0000-0000-0000FF050000}"/>
    <cellStyle name="Normal 26 2 2" xfId="11806" xr:uid="{00000000-0005-0000-0000-00003B270000}"/>
    <cellStyle name="Normal 26 2 2 2" xfId="11807" xr:uid="{00000000-0005-0000-0000-00003C270000}"/>
    <cellStyle name="Normal 26 2 2 3" xfId="11808" xr:uid="{00000000-0005-0000-0000-00003D270000}"/>
    <cellStyle name="Normal 26 2 3" xfId="11809" xr:uid="{00000000-0005-0000-0000-00003E270000}"/>
    <cellStyle name="Normal 26 2 4" xfId="11810" xr:uid="{00000000-0005-0000-0000-00003F270000}"/>
    <cellStyle name="Normal 26 3" xfId="25" xr:uid="{00000000-0005-0000-0000-00001A000000}"/>
    <cellStyle name="Normal 26 3 2" xfId="127" xr:uid="{00000000-0005-0000-0000-00001A000000}"/>
    <cellStyle name="Normal 26 3 3" xfId="11811" xr:uid="{00000000-0005-0000-0000-000042270000}"/>
    <cellStyle name="Normal 26 4" xfId="11812" xr:uid="{00000000-0005-0000-0000-000043270000}"/>
    <cellStyle name="Normal 26 5" xfId="11813" xr:uid="{00000000-0005-0000-0000-000044270000}"/>
    <cellStyle name="Normal 26 6" xfId="11814" xr:uid="{00000000-0005-0000-0000-000045270000}"/>
    <cellStyle name="Normal 26 7" xfId="5368" xr:uid="{00000000-0005-0000-0000-000039270000}"/>
    <cellStyle name="Normal 266" xfId="57" xr:uid="{00000000-0005-0000-0000-00001B000000}"/>
    <cellStyle name="Normal 266 2" xfId="159" xr:uid="{00000000-0005-0000-0000-00001B000000}"/>
    <cellStyle name="Normal 27" xfId="1623" xr:uid="{00000000-0005-0000-0000-000001060000}"/>
    <cellStyle name="Normal 27 2" xfId="11815" xr:uid="{00000000-0005-0000-0000-000047270000}"/>
    <cellStyle name="Normal 27 3" xfId="26" xr:uid="{00000000-0005-0000-0000-00001C000000}"/>
    <cellStyle name="Normal 27 3 2" xfId="128" xr:uid="{00000000-0005-0000-0000-00001C000000}"/>
    <cellStyle name="Normal 27 3 3" xfId="11816" xr:uid="{00000000-0005-0000-0000-000048270000}"/>
    <cellStyle name="Normal 27 4" xfId="5367" xr:uid="{00000000-0005-0000-0000-000046270000}"/>
    <cellStyle name="Normal 28" xfId="1624" xr:uid="{00000000-0005-0000-0000-000002060000}"/>
    <cellStyle name="Normal 28 2" xfId="2888" xr:uid="{00000000-0005-0000-0000-000003060000}"/>
    <cellStyle name="Normal 28 2 2" xfId="11817" xr:uid="{00000000-0005-0000-0000-00004B270000}"/>
    <cellStyle name="Normal 28 2 2 2" xfId="11818" xr:uid="{00000000-0005-0000-0000-00004C270000}"/>
    <cellStyle name="Normal 28 2 2 3" xfId="11819" xr:uid="{00000000-0005-0000-0000-00004D270000}"/>
    <cellStyle name="Normal 28 2 3" xfId="11820" xr:uid="{00000000-0005-0000-0000-00004E270000}"/>
    <cellStyle name="Normal 28 2 4" xfId="11821" xr:uid="{00000000-0005-0000-0000-00004F270000}"/>
    <cellStyle name="Normal 28 3" xfId="27" xr:uid="{00000000-0005-0000-0000-00001D000000}"/>
    <cellStyle name="Normal 28 3 2" xfId="129" xr:uid="{00000000-0005-0000-0000-00001D000000}"/>
    <cellStyle name="Normal 28 3 3" xfId="11822" xr:uid="{00000000-0005-0000-0000-000052270000}"/>
    <cellStyle name="Normal 28 4" xfId="11823" xr:uid="{00000000-0005-0000-0000-000053270000}"/>
    <cellStyle name="Normal 28 5" xfId="11824" xr:uid="{00000000-0005-0000-0000-000054270000}"/>
    <cellStyle name="Normal 28 6" xfId="11825" xr:uid="{00000000-0005-0000-0000-000055270000}"/>
    <cellStyle name="Normal 28 7" xfId="5366" xr:uid="{00000000-0005-0000-0000-000049270000}"/>
    <cellStyle name="Normal 29" xfId="2928" xr:uid="{00000000-0005-0000-0000-000005060000}"/>
    <cellStyle name="Normal 29 2" xfId="11826" xr:uid="{00000000-0005-0000-0000-000057270000}"/>
    <cellStyle name="Normal 29 3" xfId="28" xr:uid="{00000000-0005-0000-0000-00001E000000}"/>
    <cellStyle name="Normal 29 3 2" xfId="130" xr:uid="{00000000-0005-0000-0000-00001E000000}"/>
    <cellStyle name="Normal 29 3 3" xfId="11827" xr:uid="{00000000-0005-0000-0000-000058270000}"/>
    <cellStyle name="Normal 29 4" xfId="11828" xr:uid="{00000000-0005-0000-0000-000059270000}"/>
    <cellStyle name="Normal 29 5" xfId="5512" xr:uid="{00000000-0005-0000-0000-000056270000}"/>
    <cellStyle name="Normal 3" xfId="5" xr:uid="{00000000-0005-0000-0000-00001F000000}"/>
    <cellStyle name="Normal 3 10" xfId="1626" xr:uid="{00000000-0005-0000-0000-000007060000}"/>
    <cellStyle name="Normal 3 10 10" xfId="1627" xr:uid="{00000000-0005-0000-0000-000008060000}"/>
    <cellStyle name="Normal 3 10 10 2" xfId="11829" xr:uid="{00000000-0005-0000-0000-00005D270000}"/>
    <cellStyle name="Normal 3 10 11" xfId="1628" xr:uid="{00000000-0005-0000-0000-000009060000}"/>
    <cellStyle name="Normal 3 10 11 2" xfId="11830" xr:uid="{00000000-0005-0000-0000-00005F270000}"/>
    <cellStyle name="Normal 3 10 12" xfId="1629" xr:uid="{00000000-0005-0000-0000-00000A060000}"/>
    <cellStyle name="Normal 3 10 12 2" xfId="11831" xr:uid="{00000000-0005-0000-0000-000061270000}"/>
    <cellStyle name="Normal 3 10 13" xfId="1630" xr:uid="{00000000-0005-0000-0000-00000B060000}"/>
    <cellStyle name="Normal 3 10 13 2" xfId="11832" xr:uid="{00000000-0005-0000-0000-000063270000}"/>
    <cellStyle name="Normal 3 10 14" xfId="1631" xr:uid="{00000000-0005-0000-0000-00000C060000}"/>
    <cellStyle name="Normal 3 10 14 2" xfId="11833" xr:uid="{00000000-0005-0000-0000-000065270000}"/>
    <cellStyle name="Normal 3 10 15" xfId="1632" xr:uid="{00000000-0005-0000-0000-00000D060000}"/>
    <cellStyle name="Normal 3 10 15 2" xfId="11834" xr:uid="{00000000-0005-0000-0000-000067270000}"/>
    <cellStyle name="Normal 3 10 16" xfId="1633" xr:uid="{00000000-0005-0000-0000-00000E060000}"/>
    <cellStyle name="Normal 3 10 16 2" xfId="11835" xr:uid="{00000000-0005-0000-0000-000069270000}"/>
    <cellStyle name="Normal 3 10 17" xfId="1634" xr:uid="{00000000-0005-0000-0000-00000F060000}"/>
    <cellStyle name="Normal 3 10 17 2" xfId="11836" xr:uid="{00000000-0005-0000-0000-00006B270000}"/>
    <cellStyle name="Normal 3 10 18" xfId="1635" xr:uid="{00000000-0005-0000-0000-000010060000}"/>
    <cellStyle name="Normal 3 10 18 2" xfId="11837" xr:uid="{00000000-0005-0000-0000-00006D270000}"/>
    <cellStyle name="Normal 3 10 19" xfId="1636" xr:uid="{00000000-0005-0000-0000-000011060000}"/>
    <cellStyle name="Normal 3 10 19 2" xfId="11838" xr:uid="{00000000-0005-0000-0000-00006F270000}"/>
    <cellStyle name="Normal 3 10 2" xfId="1637" xr:uid="{00000000-0005-0000-0000-000012060000}"/>
    <cellStyle name="Normal 3 10 2 2" xfId="11839" xr:uid="{00000000-0005-0000-0000-000071270000}"/>
    <cellStyle name="Normal 3 10 20" xfId="1638" xr:uid="{00000000-0005-0000-0000-000013060000}"/>
    <cellStyle name="Normal 3 10 20 2" xfId="11840" xr:uid="{00000000-0005-0000-0000-000073270000}"/>
    <cellStyle name="Normal 3 10 21" xfId="1639" xr:uid="{00000000-0005-0000-0000-000014060000}"/>
    <cellStyle name="Normal 3 10 21 2" xfId="11841" xr:uid="{00000000-0005-0000-0000-000075270000}"/>
    <cellStyle name="Normal 3 10 22" xfId="1640" xr:uid="{00000000-0005-0000-0000-000015060000}"/>
    <cellStyle name="Normal 3 10 22 2" xfId="11842" xr:uid="{00000000-0005-0000-0000-000077270000}"/>
    <cellStyle name="Normal 3 10 23" xfId="1641" xr:uid="{00000000-0005-0000-0000-000016060000}"/>
    <cellStyle name="Normal 3 10 23 2" xfId="11843" xr:uid="{00000000-0005-0000-0000-000079270000}"/>
    <cellStyle name="Normal 3 10 24" xfId="11844" xr:uid="{00000000-0005-0000-0000-00007A270000}"/>
    <cellStyle name="Normal 3 10 3" xfId="1642" xr:uid="{00000000-0005-0000-0000-000017060000}"/>
    <cellStyle name="Normal 3 10 3 2" xfId="11845" xr:uid="{00000000-0005-0000-0000-00007C270000}"/>
    <cellStyle name="Normal 3 10 4" xfId="1643" xr:uid="{00000000-0005-0000-0000-000018060000}"/>
    <cellStyle name="Normal 3 10 4 2" xfId="11846" xr:uid="{00000000-0005-0000-0000-00007E270000}"/>
    <cellStyle name="Normal 3 10 5" xfId="1644" xr:uid="{00000000-0005-0000-0000-000019060000}"/>
    <cellStyle name="Normal 3 10 5 2" xfId="11847" xr:uid="{00000000-0005-0000-0000-000080270000}"/>
    <cellStyle name="Normal 3 10 6" xfId="1645" xr:uid="{00000000-0005-0000-0000-00001A060000}"/>
    <cellStyle name="Normal 3 10 6 2" xfId="11848" xr:uid="{00000000-0005-0000-0000-000082270000}"/>
    <cellStyle name="Normal 3 10 7" xfId="1646" xr:uid="{00000000-0005-0000-0000-00001B060000}"/>
    <cellStyle name="Normal 3 10 7 2" xfId="11849" xr:uid="{00000000-0005-0000-0000-000084270000}"/>
    <cellStyle name="Normal 3 10 8" xfId="1647" xr:uid="{00000000-0005-0000-0000-00001C060000}"/>
    <cellStyle name="Normal 3 10 8 2" xfId="11850" xr:uid="{00000000-0005-0000-0000-000086270000}"/>
    <cellStyle name="Normal 3 10 9" xfId="1648" xr:uid="{00000000-0005-0000-0000-00001D060000}"/>
    <cellStyle name="Normal 3 10 9 2" xfId="11851" xr:uid="{00000000-0005-0000-0000-000088270000}"/>
    <cellStyle name="Normal 3 100" xfId="11852" xr:uid="{00000000-0005-0000-0000-000089270000}"/>
    <cellStyle name="Normal 3 101" xfId="11853" xr:uid="{00000000-0005-0000-0000-00008A270000}"/>
    <cellStyle name="Normal 3 102" xfId="5365" xr:uid="{00000000-0005-0000-0000-00005A270000}"/>
    <cellStyle name="Normal 3 103" xfId="20549" xr:uid="{07FF931D-5DDA-4A2B-9196-D2B040771508}"/>
    <cellStyle name="Normal 3 11" xfId="1649" xr:uid="{00000000-0005-0000-0000-00001E060000}"/>
    <cellStyle name="Normal 3 11 10" xfId="1650" xr:uid="{00000000-0005-0000-0000-00001F060000}"/>
    <cellStyle name="Normal 3 11 10 2" xfId="11854" xr:uid="{00000000-0005-0000-0000-00008D270000}"/>
    <cellStyle name="Normal 3 11 11" xfId="1651" xr:uid="{00000000-0005-0000-0000-000020060000}"/>
    <cellStyle name="Normal 3 11 11 2" xfId="11855" xr:uid="{00000000-0005-0000-0000-00008F270000}"/>
    <cellStyle name="Normal 3 11 12" xfId="1652" xr:uid="{00000000-0005-0000-0000-000021060000}"/>
    <cellStyle name="Normal 3 11 12 2" xfId="11856" xr:uid="{00000000-0005-0000-0000-000091270000}"/>
    <cellStyle name="Normal 3 11 13" xfId="1653" xr:uid="{00000000-0005-0000-0000-000022060000}"/>
    <cellStyle name="Normal 3 11 13 2" xfId="11857" xr:uid="{00000000-0005-0000-0000-000093270000}"/>
    <cellStyle name="Normal 3 11 14" xfId="1654" xr:uid="{00000000-0005-0000-0000-000023060000}"/>
    <cellStyle name="Normal 3 11 14 2" xfId="11858" xr:uid="{00000000-0005-0000-0000-000095270000}"/>
    <cellStyle name="Normal 3 11 15" xfId="1655" xr:uid="{00000000-0005-0000-0000-000024060000}"/>
    <cellStyle name="Normal 3 11 15 2" xfId="11859" xr:uid="{00000000-0005-0000-0000-000097270000}"/>
    <cellStyle name="Normal 3 11 16" xfId="1656" xr:uid="{00000000-0005-0000-0000-000025060000}"/>
    <cellStyle name="Normal 3 11 16 2" xfId="11860" xr:uid="{00000000-0005-0000-0000-000099270000}"/>
    <cellStyle name="Normal 3 11 17" xfId="1657" xr:uid="{00000000-0005-0000-0000-000026060000}"/>
    <cellStyle name="Normal 3 11 17 2" xfId="11861" xr:uid="{00000000-0005-0000-0000-00009B270000}"/>
    <cellStyle name="Normal 3 11 18" xfId="1658" xr:uid="{00000000-0005-0000-0000-000027060000}"/>
    <cellStyle name="Normal 3 11 18 2" xfId="11862" xr:uid="{00000000-0005-0000-0000-00009D270000}"/>
    <cellStyle name="Normal 3 11 19" xfId="1659" xr:uid="{00000000-0005-0000-0000-000028060000}"/>
    <cellStyle name="Normal 3 11 19 2" xfId="11863" xr:uid="{00000000-0005-0000-0000-00009F270000}"/>
    <cellStyle name="Normal 3 11 2" xfId="1660" xr:uid="{00000000-0005-0000-0000-000029060000}"/>
    <cellStyle name="Normal 3 11 2 2" xfId="11864" xr:uid="{00000000-0005-0000-0000-0000A1270000}"/>
    <cellStyle name="Normal 3 11 20" xfId="1661" xr:uid="{00000000-0005-0000-0000-00002A060000}"/>
    <cellStyle name="Normal 3 11 20 2" xfId="11865" xr:uid="{00000000-0005-0000-0000-0000A3270000}"/>
    <cellStyle name="Normal 3 11 21" xfId="1662" xr:uid="{00000000-0005-0000-0000-00002B060000}"/>
    <cellStyle name="Normal 3 11 21 2" xfId="11866" xr:uid="{00000000-0005-0000-0000-0000A5270000}"/>
    <cellStyle name="Normal 3 11 22" xfId="1663" xr:uid="{00000000-0005-0000-0000-00002C060000}"/>
    <cellStyle name="Normal 3 11 22 2" xfId="11867" xr:uid="{00000000-0005-0000-0000-0000A7270000}"/>
    <cellStyle name="Normal 3 11 23" xfId="1664" xr:uid="{00000000-0005-0000-0000-00002D060000}"/>
    <cellStyle name="Normal 3 11 23 2" xfId="11868" xr:uid="{00000000-0005-0000-0000-0000A9270000}"/>
    <cellStyle name="Normal 3 11 24" xfId="11869" xr:uid="{00000000-0005-0000-0000-0000AA270000}"/>
    <cellStyle name="Normal 3 11 3" xfId="1665" xr:uid="{00000000-0005-0000-0000-00002E060000}"/>
    <cellStyle name="Normal 3 11 3 2" xfId="11870" xr:uid="{00000000-0005-0000-0000-0000AC270000}"/>
    <cellStyle name="Normal 3 11 4" xfId="1666" xr:uid="{00000000-0005-0000-0000-00002F060000}"/>
    <cellStyle name="Normal 3 11 4 2" xfId="11871" xr:uid="{00000000-0005-0000-0000-0000AE270000}"/>
    <cellStyle name="Normal 3 11 5" xfId="1667" xr:uid="{00000000-0005-0000-0000-000030060000}"/>
    <cellStyle name="Normal 3 11 5 2" xfId="11872" xr:uid="{00000000-0005-0000-0000-0000B0270000}"/>
    <cellStyle name="Normal 3 11 6" xfId="1668" xr:uid="{00000000-0005-0000-0000-000031060000}"/>
    <cellStyle name="Normal 3 11 6 2" xfId="11873" xr:uid="{00000000-0005-0000-0000-0000B2270000}"/>
    <cellStyle name="Normal 3 11 7" xfId="1669" xr:uid="{00000000-0005-0000-0000-000032060000}"/>
    <cellStyle name="Normal 3 11 7 2" xfId="11874" xr:uid="{00000000-0005-0000-0000-0000B4270000}"/>
    <cellStyle name="Normal 3 11 8" xfId="1670" xr:uid="{00000000-0005-0000-0000-000033060000}"/>
    <cellStyle name="Normal 3 11 8 2" xfId="11875" xr:uid="{00000000-0005-0000-0000-0000B6270000}"/>
    <cellStyle name="Normal 3 11 9" xfId="1671" xr:uid="{00000000-0005-0000-0000-000034060000}"/>
    <cellStyle name="Normal 3 11 9 2" xfId="11876" xr:uid="{00000000-0005-0000-0000-0000B8270000}"/>
    <cellStyle name="Normal 3 12" xfId="1672" xr:uid="{00000000-0005-0000-0000-000035060000}"/>
    <cellStyle name="Normal 3 12 10" xfId="1673" xr:uid="{00000000-0005-0000-0000-000036060000}"/>
    <cellStyle name="Normal 3 12 10 2" xfId="11877" xr:uid="{00000000-0005-0000-0000-0000BB270000}"/>
    <cellStyle name="Normal 3 12 11" xfId="1674" xr:uid="{00000000-0005-0000-0000-000037060000}"/>
    <cellStyle name="Normal 3 12 11 2" xfId="11878" xr:uid="{00000000-0005-0000-0000-0000BD270000}"/>
    <cellStyle name="Normal 3 12 12" xfId="1675" xr:uid="{00000000-0005-0000-0000-000038060000}"/>
    <cellStyle name="Normal 3 12 12 2" xfId="11879" xr:uid="{00000000-0005-0000-0000-0000BF270000}"/>
    <cellStyle name="Normal 3 12 13" xfId="1676" xr:uid="{00000000-0005-0000-0000-000039060000}"/>
    <cellStyle name="Normal 3 12 13 2" xfId="11880" xr:uid="{00000000-0005-0000-0000-0000C1270000}"/>
    <cellStyle name="Normal 3 12 14" xfId="1677" xr:uid="{00000000-0005-0000-0000-00003A060000}"/>
    <cellStyle name="Normal 3 12 14 2" xfId="11881" xr:uid="{00000000-0005-0000-0000-0000C3270000}"/>
    <cellStyle name="Normal 3 12 15" xfId="1678" xr:uid="{00000000-0005-0000-0000-00003B060000}"/>
    <cellStyle name="Normal 3 12 15 2" xfId="11882" xr:uid="{00000000-0005-0000-0000-0000C5270000}"/>
    <cellStyle name="Normal 3 12 16" xfId="1679" xr:uid="{00000000-0005-0000-0000-00003C060000}"/>
    <cellStyle name="Normal 3 12 16 2" xfId="11883" xr:uid="{00000000-0005-0000-0000-0000C7270000}"/>
    <cellStyle name="Normal 3 12 17" xfId="1680" xr:uid="{00000000-0005-0000-0000-00003D060000}"/>
    <cellStyle name="Normal 3 12 17 2" xfId="11884" xr:uid="{00000000-0005-0000-0000-0000C9270000}"/>
    <cellStyle name="Normal 3 12 18" xfId="1681" xr:uid="{00000000-0005-0000-0000-00003E060000}"/>
    <cellStyle name="Normal 3 12 18 2" xfId="11885" xr:uid="{00000000-0005-0000-0000-0000CB270000}"/>
    <cellStyle name="Normal 3 12 19" xfId="1682" xr:uid="{00000000-0005-0000-0000-00003F060000}"/>
    <cellStyle name="Normal 3 12 19 2" xfId="11886" xr:uid="{00000000-0005-0000-0000-0000CD270000}"/>
    <cellStyle name="Normal 3 12 2" xfId="1683" xr:uid="{00000000-0005-0000-0000-000040060000}"/>
    <cellStyle name="Normal 3 12 2 2" xfId="11887" xr:uid="{00000000-0005-0000-0000-0000CF270000}"/>
    <cellStyle name="Normal 3 12 20" xfId="1684" xr:uid="{00000000-0005-0000-0000-000041060000}"/>
    <cellStyle name="Normal 3 12 20 2" xfId="11888" xr:uid="{00000000-0005-0000-0000-0000D1270000}"/>
    <cellStyle name="Normal 3 12 21" xfId="1685" xr:uid="{00000000-0005-0000-0000-000042060000}"/>
    <cellStyle name="Normal 3 12 21 2" xfId="11889" xr:uid="{00000000-0005-0000-0000-0000D3270000}"/>
    <cellStyle name="Normal 3 12 22" xfId="1686" xr:uid="{00000000-0005-0000-0000-000043060000}"/>
    <cellStyle name="Normal 3 12 22 2" xfId="11890" xr:uid="{00000000-0005-0000-0000-0000D5270000}"/>
    <cellStyle name="Normal 3 12 23" xfId="1687" xr:uid="{00000000-0005-0000-0000-000044060000}"/>
    <cellStyle name="Normal 3 12 23 2" xfId="11891" xr:uid="{00000000-0005-0000-0000-0000D7270000}"/>
    <cellStyle name="Normal 3 12 24" xfId="11892" xr:uid="{00000000-0005-0000-0000-0000D8270000}"/>
    <cellStyle name="Normal 3 12 3" xfId="1688" xr:uid="{00000000-0005-0000-0000-000045060000}"/>
    <cellStyle name="Normal 3 12 3 2" xfId="11893" xr:uid="{00000000-0005-0000-0000-0000DA270000}"/>
    <cellStyle name="Normal 3 12 4" xfId="1689" xr:uid="{00000000-0005-0000-0000-000046060000}"/>
    <cellStyle name="Normal 3 12 4 2" xfId="11894" xr:uid="{00000000-0005-0000-0000-0000DC270000}"/>
    <cellStyle name="Normal 3 12 5" xfId="1690" xr:uid="{00000000-0005-0000-0000-000047060000}"/>
    <cellStyle name="Normal 3 12 5 2" xfId="11895" xr:uid="{00000000-0005-0000-0000-0000DE270000}"/>
    <cellStyle name="Normal 3 12 6" xfId="1691" xr:uid="{00000000-0005-0000-0000-000048060000}"/>
    <cellStyle name="Normal 3 12 6 2" xfId="11896" xr:uid="{00000000-0005-0000-0000-0000E0270000}"/>
    <cellStyle name="Normal 3 12 7" xfId="1692" xr:uid="{00000000-0005-0000-0000-000049060000}"/>
    <cellStyle name="Normal 3 12 7 2" xfId="11897" xr:uid="{00000000-0005-0000-0000-0000E2270000}"/>
    <cellStyle name="Normal 3 12 8" xfId="1693" xr:uid="{00000000-0005-0000-0000-00004A060000}"/>
    <cellStyle name="Normal 3 12 8 2" xfId="11898" xr:uid="{00000000-0005-0000-0000-0000E4270000}"/>
    <cellStyle name="Normal 3 12 9" xfId="1694" xr:uid="{00000000-0005-0000-0000-00004B060000}"/>
    <cellStyle name="Normal 3 12 9 2" xfId="11899" xr:uid="{00000000-0005-0000-0000-0000E6270000}"/>
    <cellStyle name="Normal 3 13" xfId="1695" xr:uid="{00000000-0005-0000-0000-00004C060000}"/>
    <cellStyle name="Normal 3 13 10" xfId="1696" xr:uid="{00000000-0005-0000-0000-00004D060000}"/>
    <cellStyle name="Normal 3 13 10 2" xfId="11900" xr:uid="{00000000-0005-0000-0000-0000E9270000}"/>
    <cellStyle name="Normal 3 13 11" xfId="1697" xr:uid="{00000000-0005-0000-0000-00004E060000}"/>
    <cellStyle name="Normal 3 13 11 2" xfId="11901" xr:uid="{00000000-0005-0000-0000-0000EB270000}"/>
    <cellStyle name="Normal 3 13 12" xfId="1698" xr:uid="{00000000-0005-0000-0000-00004F060000}"/>
    <cellStyle name="Normal 3 13 12 2" xfId="11902" xr:uid="{00000000-0005-0000-0000-0000ED270000}"/>
    <cellStyle name="Normal 3 13 13" xfId="1699" xr:uid="{00000000-0005-0000-0000-000050060000}"/>
    <cellStyle name="Normal 3 13 13 2" xfId="11903" xr:uid="{00000000-0005-0000-0000-0000EF270000}"/>
    <cellStyle name="Normal 3 13 14" xfId="1700" xr:uid="{00000000-0005-0000-0000-000051060000}"/>
    <cellStyle name="Normal 3 13 14 2" xfId="11904" xr:uid="{00000000-0005-0000-0000-0000F1270000}"/>
    <cellStyle name="Normal 3 13 15" xfId="1701" xr:uid="{00000000-0005-0000-0000-000052060000}"/>
    <cellStyle name="Normal 3 13 15 2" xfId="11905" xr:uid="{00000000-0005-0000-0000-0000F3270000}"/>
    <cellStyle name="Normal 3 13 16" xfId="1702" xr:uid="{00000000-0005-0000-0000-000053060000}"/>
    <cellStyle name="Normal 3 13 16 2" xfId="11906" xr:uid="{00000000-0005-0000-0000-0000F5270000}"/>
    <cellStyle name="Normal 3 13 17" xfId="1703" xr:uid="{00000000-0005-0000-0000-000054060000}"/>
    <cellStyle name="Normal 3 13 17 2" xfId="11907" xr:uid="{00000000-0005-0000-0000-0000F7270000}"/>
    <cellStyle name="Normal 3 13 18" xfId="1704" xr:uid="{00000000-0005-0000-0000-000055060000}"/>
    <cellStyle name="Normal 3 13 18 2" xfId="11908" xr:uid="{00000000-0005-0000-0000-0000F9270000}"/>
    <cellStyle name="Normal 3 13 19" xfId="1705" xr:uid="{00000000-0005-0000-0000-000056060000}"/>
    <cellStyle name="Normal 3 13 19 2" xfId="11909" xr:uid="{00000000-0005-0000-0000-0000FB270000}"/>
    <cellStyle name="Normal 3 13 2" xfId="1706" xr:uid="{00000000-0005-0000-0000-000057060000}"/>
    <cellStyle name="Normal 3 13 2 2" xfId="11910" xr:uid="{00000000-0005-0000-0000-0000FD270000}"/>
    <cellStyle name="Normal 3 13 20" xfId="1707" xr:uid="{00000000-0005-0000-0000-000058060000}"/>
    <cellStyle name="Normal 3 13 20 2" xfId="11911" xr:uid="{00000000-0005-0000-0000-0000FF270000}"/>
    <cellStyle name="Normal 3 13 21" xfId="1708" xr:uid="{00000000-0005-0000-0000-000059060000}"/>
    <cellStyle name="Normal 3 13 21 2" xfId="11912" xr:uid="{00000000-0005-0000-0000-000001280000}"/>
    <cellStyle name="Normal 3 13 22" xfId="1709" xr:uid="{00000000-0005-0000-0000-00005A060000}"/>
    <cellStyle name="Normal 3 13 22 2" xfId="11913" xr:uid="{00000000-0005-0000-0000-000003280000}"/>
    <cellStyle name="Normal 3 13 23" xfId="1710" xr:uid="{00000000-0005-0000-0000-00005B060000}"/>
    <cellStyle name="Normal 3 13 23 2" xfId="11914" xr:uid="{00000000-0005-0000-0000-000005280000}"/>
    <cellStyle name="Normal 3 13 24" xfId="11915" xr:uid="{00000000-0005-0000-0000-000006280000}"/>
    <cellStyle name="Normal 3 13 3" xfId="1711" xr:uid="{00000000-0005-0000-0000-00005C060000}"/>
    <cellStyle name="Normal 3 13 3 2" xfId="11916" xr:uid="{00000000-0005-0000-0000-000008280000}"/>
    <cellStyle name="Normal 3 13 4" xfId="1712" xr:uid="{00000000-0005-0000-0000-00005D060000}"/>
    <cellStyle name="Normal 3 13 4 2" xfId="11917" xr:uid="{00000000-0005-0000-0000-00000A280000}"/>
    <cellStyle name="Normal 3 13 5" xfId="1713" xr:uid="{00000000-0005-0000-0000-00005E060000}"/>
    <cellStyle name="Normal 3 13 5 2" xfId="11918" xr:uid="{00000000-0005-0000-0000-00000C280000}"/>
    <cellStyle name="Normal 3 13 6" xfId="1714" xr:uid="{00000000-0005-0000-0000-00005F060000}"/>
    <cellStyle name="Normal 3 13 6 2" xfId="11919" xr:uid="{00000000-0005-0000-0000-00000E280000}"/>
    <cellStyle name="Normal 3 13 7" xfId="1715" xr:uid="{00000000-0005-0000-0000-000060060000}"/>
    <cellStyle name="Normal 3 13 7 2" xfId="11920" xr:uid="{00000000-0005-0000-0000-000010280000}"/>
    <cellStyle name="Normal 3 13 8" xfId="1716" xr:uid="{00000000-0005-0000-0000-000061060000}"/>
    <cellStyle name="Normal 3 13 8 2" xfId="11921" xr:uid="{00000000-0005-0000-0000-000012280000}"/>
    <cellStyle name="Normal 3 13 9" xfId="1717" xr:uid="{00000000-0005-0000-0000-000062060000}"/>
    <cellStyle name="Normal 3 13 9 2" xfId="11922" xr:uid="{00000000-0005-0000-0000-000014280000}"/>
    <cellStyle name="Normal 3 14" xfId="1718" xr:uid="{00000000-0005-0000-0000-000063060000}"/>
    <cellStyle name="Normal 3 14 10" xfId="1719" xr:uid="{00000000-0005-0000-0000-000064060000}"/>
    <cellStyle name="Normal 3 14 10 2" xfId="11923" xr:uid="{00000000-0005-0000-0000-000017280000}"/>
    <cellStyle name="Normal 3 14 11" xfId="1720" xr:uid="{00000000-0005-0000-0000-000065060000}"/>
    <cellStyle name="Normal 3 14 11 2" xfId="11924" xr:uid="{00000000-0005-0000-0000-000019280000}"/>
    <cellStyle name="Normal 3 14 12" xfId="1721" xr:uid="{00000000-0005-0000-0000-000066060000}"/>
    <cellStyle name="Normal 3 14 12 2" xfId="11925" xr:uid="{00000000-0005-0000-0000-00001B280000}"/>
    <cellStyle name="Normal 3 14 13" xfId="1722" xr:uid="{00000000-0005-0000-0000-000067060000}"/>
    <cellStyle name="Normal 3 14 13 2" xfId="11926" xr:uid="{00000000-0005-0000-0000-00001D280000}"/>
    <cellStyle name="Normal 3 14 14" xfId="1723" xr:uid="{00000000-0005-0000-0000-000068060000}"/>
    <cellStyle name="Normal 3 14 14 2" xfId="11927" xr:uid="{00000000-0005-0000-0000-00001F280000}"/>
    <cellStyle name="Normal 3 14 15" xfId="1724" xr:uid="{00000000-0005-0000-0000-000069060000}"/>
    <cellStyle name="Normal 3 14 15 2" xfId="11928" xr:uid="{00000000-0005-0000-0000-000021280000}"/>
    <cellStyle name="Normal 3 14 16" xfId="1725" xr:uid="{00000000-0005-0000-0000-00006A060000}"/>
    <cellStyle name="Normal 3 14 16 2" xfId="11929" xr:uid="{00000000-0005-0000-0000-000023280000}"/>
    <cellStyle name="Normal 3 14 17" xfId="1726" xr:uid="{00000000-0005-0000-0000-00006B060000}"/>
    <cellStyle name="Normal 3 14 17 2" xfId="11930" xr:uid="{00000000-0005-0000-0000-000025280000}"/>
    <cellStyle name="Normal 3 14 18" xfId="1727" xr:uid="{00000000-0005-0000-0000-00006C060000}"/>
    <cellStyle name="Normal 3 14 18 2" xfId="11931" xr:uid="{00000000-0005-0000-0000-000027280000}"/>
    <cellStyle name="Normal 3 14 19" xfId="1728" xr:uid="{00000000-0005-0000-0000-00006D060000}"/>
    <cellStyle name="Normal 3 14 19 2" xfId="11932" xr:uid="{00000000-0005-0000-0000-000029280000}"/>
    <cellStyle name="Normal 3 14 2" xfId="1729" xr:uid="{00000000-0005-0000-0000-00006E060000}"/>
    <cellStyle name="Normal 3 14 2 2" xfId="11933" xr:uid="{00000000-0005-0000-0000-00002B280000}"/>
    <cellStyle name="Normal 3 14 20" xfId="1730" xr:uid="{00000000-0005-0000-0000-00006F060000}"/>
    <cellStyle name="Normal 3 14 20 2" xfId="11934" xr:uid="{00000000-0005-0000-0000-00002D280000}"/>
    <cellStyle name="Normal 3 14 21" xfId="1731" xr:uid="{00000000-0005-0000-0000-000070060000}"/>
    <cellStyle name="Normal 3 14 21 2" xfId="11935" xr:uid="{00000000-0005-0000-0000-00002F280000}"/>
    <cellStyle name="Normal 3 14 22" xfId="1732" xr:uid="{00000000-0005-0000-0000-000071060000}"/>
    <cellStyle name="Normal 3 14 22 2" xfId="11936" xr:uid="{00000000-0005-0000-0000-000031280000}"/>
    <cellStyle name="Normal 3 14 23" xfId="1733" xr:uid="{00000000-0005-0000-0000-000072060000}"/>
    <cellStyle name="Normal 3 14 23 2" xfId="11937" xr:uid="{00000000-0005-0000-0000-000033280000}"/>
    <cellStyle name="Normal 3 14 24" xfId="11938" xr:uid="{00000000-0005-0000-0000-000034280000}"/>
    <cellStyle name="Normal 3 14 3" xfId="1734" xr:uid="{00000000-0005-0000-0000-000073060000}"/>
    <cellStyle name="Normal 3 14 3 2" xfId="11939" xr:uid="{00000000-0005-0000-0000-000036280000}"/>
    <cellStyle name="Normal 3 14 4" xfId="1735" xr:uid="{00000000-0005-0000-0000-000074060000}"/>
    <cellStyle name="Normal 3 14 4 2" xfId="11940" xr:uid="{00000000-0005-0000-0000-000038280000}"/>
    <cellStyle name="Normal 3 14 5" xfId="1736" xr:uid="{00000000-0005-0000-0000-000075060000}"/>
    <cellStyle name="Normal 3 14 5 2" xfId="11941" xr:uid="{00000000-0005-0000-0000-00003A280000}"/>
    <cellStyle name="Normal 3 14 6" xfId="1737" xr:uid="{00000000-0005-0000-0000-000076060000}"/>
    <cellStyle name="Normal 3 14 6 2" xfId="11942" xr:uid="{00000000-0005-0000-0000-00003C280000}"/>
    <cellStyle name="Normal 3 14 7" xfId="1738" xr:uid="{00000000-0005-0000-0000-000077060000}"/>
    <cellStyle name="Normal 3 14 7 2" xfId="11943" xr:uid="{00000000-0005-0000-0000-00003E280000}"/>
    <cellStyle name="Normal 3 14 8" xfId="1739" xr:uid="{00000000-0005-0000-0000-000078060000}"/>
    <cellStyle name="Normal 3 14 8 2" xfId="11944" xr:uid="{00000000-0005-0000-0000-000040280000}"/>
    <cellStyle name="Normal 3 14 9" xfId="1740" xr:uid="{00000000-0005-0000-0000-000079060000}"/>
    <cellStyle name="Normal 3 14 9 2" xfId="11945" xr:uid="{00000000-0005-0000-0000-000042280000}"/>
    <cellStyle name="Normal 3 15" xfId="1741" xr:uid="{00000000-0005-0000-0000-00007A060000}"/>
    <cellStyle name="Normal 3 15 10" xfId="1742" xr:uid="{00000000-0005-0000-0000-00007B060000}"/>
    <cellStyle name="Normal 3 15 10 2" xfId="11946" xr:uid="{00000000-0005-0000-0000-000045280000}"/>
    <cellStyle name="Normal 3 15 11" xfId="1743" xr:uid="{00000000-0005-0000-0000-00007C060000}"/>
    <cellStyle name="Normal 3 15 11 2" xfId="11947" xr:uid="{00000000-0005-0000-0000-000047280000}"/>
    <cellStyle name="Normal 3 15 12" xfId="1744" xr:uid="{00000000-0005-0000-0000-00007D060000}"/>
    <cellStyle name="Normal 3 15 12 2" xfId="11948" xr:uid="{00000000-0005-0000-0000-000049280000}"/>
    <cellStyle name="Normal 3 15 13" xfId="1745" xr:uid="{00000000-0005-0000-0000-00007E060000}"/>
    <cellStyle name="Normal 3 15 13 2" xfId="11949" xr:uid="{00000000-0005-0000-0000-00004B280000}"/>
    <cellStyle name="Normal 3 15 14" xfId="1746" xr:uid="{00000000-0005-0000-0000-00007F060000}"/>
    <cellStyle name="Normal 3 15 14 2" xfId="11950" xr:uid="{00000000-0005-0000-0000-00004D280000}"/>
    <cellStyle name="Normal 3 15 15" xfId="1747" xr:uid="{00000000-0005-0000-0000-000080060000}"/>
    <cellStyle name="Normal 3 15 15 2" xfId="11951" xr:uid="{00000000-0005-0000-0000-00004F280000}"/>
    <cellStyle name="Normal 3 15 16" xfId="1748" xr:uid="{00000000-0005-0000-0000-000081060000}"/>
    <cellStyle name="Normal 3 15 16 2" xfId="11952" xr:uid="{00000000-0005-0000-0000-000051280000}"/>
    <cellStyle name="Normal 3 15 17" xfId="1749" xr:uid="{00000000-0005-0000-0000-000082060000}"/>
    <cellStyle name="Normal 3 15 17 2" xfId="11953" xr:uid="{00000000-0005-0000-0000-000053280000}"/>
    <cellStyle name="Normal 3 15 18" xfId="1750" xr:uid="{00000000-0005-0000-0000-000083060000}"/>
    <cellStyle name="Normal 3 15 18 2" xfId="11954" xr:uid="{00000000-0005-0000-0000-000055280000}"/>
    <cellStyle name="Normal 3 15 19" xfId="1751" xr:uid="{00000000-0005-0000-0000-000084060000}"/>
    <cellStyle name="Normal 3 15 19 2" xfId="11955" xr:uid="{00000000-0005-0000-0000-000057280000}"/>
    <cellStyle name="Normal 3 15 2" xfId="1752" xr:uid="{00000000-0005-0000-0000-000085060000}"/>
    <cellStyle name="Normal 3 15 2 2" xfId="11956" xr:uid="{00000000-0005-0000-0000-000059280000}"/>
    <cellStyle name="Normal 3 15 20" xfId="1753" xr:uid="{00000000-0005-0000-0000-000086060000}"/>
    <cellStyle name="Normal 3 15 20 2" xfId="11957" xr:uid="{00000000-0005-0000-0000-00005B280000}"/>
    <cellStyle name="Normal 3 15 21" xfId="1754" xr:uid="{00000000-0005-0000-0000-000087060000}"/>
    <cellStyle name="Normal 3 15 21 2" xfId="11958" xr:uid="{00000000-0005-0000-0000-00005D280000}"/>
    <cellStyle name="Normal 3 15 22" xfId="1755" xr:uid="{00000000-0005-0000-0000-000088060000}"/>
    <cellStyle name="Normal 3 15 22 2" xfId="11959" xr:uid="{00000000-0005-0000-0000-00005F280000}"/>
    <cellStyle name="Normal 3 15 23" xfId="1756" xr:uid="{00000000-0005-0000-0000-000089060000}"/>
    <cellStyle name="Normal 3 15 23 2" xfId="11960" xr:uid="{00000000-0005-0000-0000-000061280000}"/>
    <cellStyle name="Normal 3 15 24" xfId="11961" xr:uid="{00000000-0005-0000-0000-000062280000}"/>
    <cellStyle name="Normal 3 15 3" xfId="1757" xr:uid="{00000000-0005-0000-0000-00008A060000}"/>
    <cellStyle name="Normal 3 15 3 2" xfId="11962" xr:uid="{00000000-0005-0000-0000-000064280000}"/>
    <cellStyle name="Normal 3 15 4" xfId="1758" xr:uid="{00000000-0005-0000-0000-00008B060000}"/>
    <cellStyle name="Normal 3 15 4 2" xfId="11963" xr:uid="{00000000-0005-0000-0000-000066280000}"/>
    <cellStyle name="Normal 3 15 5" xfId="1759" xr:uid="{00000000-0005-0000-0000-00008C060000}"/>
    <cellStyle name="Normal 3 15 5 2" xfId="11964" xr:uid="{00000000-0005-0000-0000-000068280000}"/>
    <cellStyle name="Normal 3 15 6" xfId="1760" xr:uid="{00000000-0005-0000-0000-00008D060000}"/>
    <cellStyle name="Normal 3 15 6 2" xfId="11965" xr:uid="{00000000-0005-0000-0000-00006A280000}"/>
    <cellStyle name="Normal 3 15 7" xfId="1761" xr:uid="{00000000-0005-0000-0000-00008E060000}"/>
    <cellStyle name="Normal 3 15 7 2" xfId="11966" xr:uid="{00000000-0005-0000-0000-00006C280000}"/>
    <cellStyle name="Normal 3 15 8" xfId="1762" xr:uid="{00000000-0005-0000-0000-00008F060000}"/>
    <cellStyle name="Normal 3 15 8 2" xfId="11967" xr:uid="{00000000-0005-0000-0000-00006E280000}"/>
    <cellStyle name="Normal 3 15 9" xfId="1763" xr:uid="{00000000-0005-0000-0000-000090060000}"/>
    <cellStyle name="Normal 3 15 9 2" xfId="11968" xr:uid="{00000000-0005-0000-0000-000070280000}"/>
    <cellStyle name="Normal 3 16" xfId="1764" xr:uid="{00000000-0005-0000-0000-000091060000}"/>
    <cellStyle name="Normal 3 16 10" xfId="1765" xr:uid="{00000000-0005-0000-0000-000092060000}"/>
    <cellStyle name="Normal 3 16 10 2" xfId="11969" xr:uid="{00000000-0005-0000-0000-000073280000}"/>
    <cellStyle name="Normal 3 16 11" xfId="1766" xr:uid="{00000000-0005-0000-0000-000093060000}"/>
    <cellStyle name="Normal 3 16 11 2" xfId="11970" xr:uid="{00000000-0005-0000-0000-000075280000}"/>
    <cellStyle name="Normal 3 16 12" xfId="1767" xr:uid="{00000000-0005-0000-0000-000094060000}"/>
    <cellStyle name="Normal 3 16 12 2" xfId="11971" xr:uid="{00000000-0005-0000-0000-000077280000}"/>
    <cellStyle name="Normal 3 16 13" xfId="1768" xr:uid="{00000000-0005-0000-0000-000095060000}"/>
    <cellStyle name="Normal 3 16 13 2" xfId="11972" xr:uid="{00000000-0005-0000-0000-000079280000}"/>
    <cellStyle name="Normal 3 16 14" xfId="1769" xr:uid="{00000000-0005-0000-0000-000096060000}"/>
    <cellStyle name="Normal 3 16 14 2" xfId="11973" xr:uid="{00000000-0005-0000-0000-00007B280000}"/>
    <cellStyle name="Normal 3 16 15" xfId="1770" xr:uid="{00000000-0005-0000-0000-000097060000}"/>
    <cellStyle name="Normal 3 16 15 2" xfId="11974" xr:uid="{00000000-0005-0000-0000-00007D280000}"/>
    <cellStyle name="Normal 3 16 16" xfId="1771" xr:uid="{00000000-0005-0000-0000-000098060000}"/>
    <cellStyle name="Normal 3 16 16 2" xfId="11975" xr:uid="{00000000-0005-0000-0000-00007F280000}"/>
    <cellStyle name="Normal 3 16 17" xfId="1772" xr:uid="{00000000-0005-0000-0000-000099060000}"/>
    <cellStyle name="Normal 3 16 17 2" xfId="11976" xr:uid="{00000000-0005-0000-0000-000081280000}"/>
    <cellStyle name="Normal 3 16 18" xfId="1773" xr:uid="{00000000-0005-0000-0000-00009A060000}"/>
    <cellStyle name="Normal 3 16 18 2" xfId="11977" xr:uid="{00000000-0005-0000-0000-000083280000}"/>
    <cellStyle name="Normal 3 16 19" xfId="1774" xr:uid="{00000000-0005-0000-0000-00009B060000}"/>
    <cellStyle name="Normal 3 16 19 2" xfId="11978" xr:uid="{00000000-0005-0000-0000-000085280000}"/>
    <cellStyle name="Normal 3 16 2" xfId="1775" xr:uid="{00000000-0005-0000-0000-00009C060000}"/>
    <cellStyle name="Normal 3 16 2 2" xfId="11979" xr:uid="{00000000-0005-0000-0000-000087280000}"/>
    <cellStyle name="Normal 3 16 20" xfId="1776" xr:uid="{00000000-0005-0000-0000-00009D060000}"/>
    <cellStyle name="Normal 3 16 20 2" xfId="11980" xr:uid="{00000000-0005-0000-0000-000089280000}"/>
    <cellStyle name="Normal 3 16 21" xfId="1777" xr:uid="{00000000-0005-0000-0000-00009E060000}"/>
    <cellStyle name="Normal 3 16 21 2" xfId="11981" xr:uid="{00000000-0005-0000-0000-00008B280000}"/>
    <cellStyle name="Normal 3 16 22" xfId="1778" xr:uid="{00000000-0005-0000-0000-00009F060000}"/>
    <cellStyle name="Normal 3 16 22 2" xfId="11982" xr:uid="{00000000-0005-0000-0000-00008D280000}"/>
    <cellStyle name="Normal 3 16 23" xfId="1779" xr:uid="{00000000-0005-0000-0000-0000A0060000}"/>
    <cellStyle name="Normal 3 16 23 2" xfId="11983" xr:uid="{00000000-0005-0000-0000-00008F280000}"/>
    <cellStyle name="Normal 3 16 24" xfId="11984" xr:uid="{00000000-0005-0000-0000-000090280000}"/>
    <cellStyle name="Normal 3 16 3" xfId="1780" xr:uid="{00000000-0005-0000-0000-0000A1060000}"/>
    <cellStyle name="Normal 3 16 3 2" xfId="11985" xr:uid="{00000000-0005-0000-0000-000092280000}"/>
    <cellStyle name="Normal 3 16 4" xfId="1781" xr:uid="{00000000-0005-0000-0000-0000A2060000}"/>
    <cellStyle name="Normal 3 16 4 2" xfId="11986" xr:uid="{00000000-0005-0000-0000-000094280000}"/>
    <cellStyle name="Normal 3 16 5" xfId="1782" xr:uid="{00000000-0005-0000-0000-0000A3060000}"/>
    <cellStyle name="Normal 3 16 5 2" xfId="11987" xr:uid="{00000000-0005-0000-0000-000096280000}"/>
    <cellStyle name="Normal 3 16 6" xfId="1783" xr:uid="{00000000-0005-0000-0000-0000A4060000}"/>
    <cellStyle name="Normal 3 16 6 2" xfId="11988" xr:uid="{00000000-0005-0000-0000-000098280000}"/>
    <cellStyle name="Normal 3 16 7" xfId="1784" xr:uid="{00000000-0005-0000-0000-0000A5060000}"/>
    <cellStyle name="Normal 3 16 7 2" xfId="11989" xr:uid="{00000000-0005-0000-0000-00009A280000}"/>
    <cellStyle name="Normal 3 16 8" xfId="1785" xr:uid="{00000000-0005-0000-0000-0000A6060000}"/>
    <cellStyle name="Normal 3 16 8 2" xfId="11990" xr:uid="{00000000-0005-0000-0000-00009C280000}"/>
    <cellStyle name="Normal 3 16 9" xfId="1786" xr:uid="{00000000-0005-0000-0000-0000A7060000}"/>
    <cellStyle name="Normal 3 16 9 2" xfId="11991" xr:uid="{00000000-0005-0000-0000-00009E280000}"/>
    <cellStyle name="Normal 3 17" xfId="1787" xr:uid="{00000000-0005-0000-0000-0000A8060000}"/>
    <cellStyle name="Normal 3 17 10" xfId="1788" xr:uid="{00000000-0005-0000-0000-0000A9060000}"/>
    <cellStyle name="Normal 3 17 10 2" xfId="11992" xr:uid="{00000000-0005-0000-0000-0000A1280000}"/>
    <cellStyle name="Normal 3 17 11" xfId="1789" xr:uid="{00000000-0005-0000-0000-0000AA060000}"/>
    <cellStyle name="Normal 3 17 11 2" xfId="11993" xr:uid="{00000000-0005-0000-0000-0000A3280000}"/>
    <cellStyle name="Normal 3 17 12" xfId="1790" xr:uid="{00000000-0005-0000-0000-0000AB060000}"/>
    <cellStyle name="Normal 3 17 12 2" xfId="11994" xr:uid="{00000000-0005-0000-0000-0000A5280000}"/>
    <cellStyle name="Normal 3 17 13" xfId="1791" xr:uid="{00000000-0005-0000-0000-0000AC060000}"/>
    <cellStyle name="Normal 3 17 13 2" xfId="11995" xr:uid="{00000000-0005-0000-0000-0000A7280000}"/>
    <cellStyle name="Normal 3 17 14" xfId="1792" xr:uid="{00000000-0005-0000-0000-0000AD060000}"/>
    <cellStyle name="Normal 3 17 14 2" xfId="11996" xr:uid="{00000000-0005-0000-0000-0000A9280000}"/>
    <cellStyle name="Normal 3 17 15" xfId="1793" xr:uid="{00000000-0005-0000-0000-0000AE060000}"/>
    <cellStyle name="Normal 3 17 15 2" xfId="11997" xr:uid="{00000000-0005-0000-0000-0000AB280000}"/>
    <cellStyle name="Normal 3 17 16" xfId="1794" xr:uid="{00000000-0005-0000-0000-0000AF060000}"/>
    <cellStyle name="Normal 3 17 16 2" xfId="11998" xr:uid="{00000000-0005-0000-0000-0000AD280000}"/>
    <cellStyle name="Normal 3 17 17" xfId="1795" xr:uid="{00000000-0005-0000-0000-0000B0060000}"/>
    <cellStyle name="Normal 3 17 17 2" xfId="11999" xr:uid="{00000000-0005-0000-0000-0000AF280000}"/>
    <cellStyle name="Normal 3 17 18" xfId="1796" xr:uid="{00000000-0005-0000-0000-0000B1060000}"/>
    <cellStyle name="Normal 3 17 18 2" xfId="12000" xr:uid="{00000000-0005-0000-0000-0000B1280000}"/>
    <cellStyle name="Normal 3 17 19" xfId="1797" xr:uid="{00000000-0005-0000-0000-0000B2060000}"/>
    <cellStyle name="Normal 3 17 19 2" xfId="12001" xr:uid="{00000000-0005-0000-0000-0000B3280000}"/>
    <cellStyle name="Normal 3 17 2" xfId="1798" xr:uid="{00000000-0005-0000-0000-0000B3060000}"/>
    <cellStyle name="Normal 3 17 2 2" xfId="12002" xr:uid="{00000000-0005-0000-0000-0000B5280000}"/>
    <cellStyle name="Normal 3 17 20" xfId="1799" xr:uid="{00000000-0005-0000-0000-0000B4060000}"/>
    <cellStyle name="Normal 3 17 20 2" xfId="12003" xr:uid="{00000000-0005-0000-0000-0000B7280000}"/>
    <cellStyle name="Normal 3 17 21" xfId="1800" xr:uid="{00000000-0005-0000-0000-0000B5060000}"/>
    <cellStyle name="Normal 3 17 21 2" xfId="12004" xr:uid="{00000000-0005-0000-0000-0000B9280000}"/>
    <cellStyle name="Normal 3 17 22" xfId="1801" xr:uid="{00000000-0005-0000-0000-0000B6060000}"/>
    <cellStyle name="Normal 3 17 22 2" xfId="12005" xr:uid="{00000000-0005-0000-0000-0000BB280000}"/>
    <cellStyle name="Normal 3 17 23" xfId="1802" xr:uid="{00000000-0005-0000-0000-0000B7060000}"/>
    <cellStyle name="Normal 3 17 23 2" xfId="12006" xr:uid="{00000000-0005-0000-0000-0000BD280000}"/>
    <cellStyle name="Normal 3 17 24" xfId="12007" xr:uid="{00000000-0005-0000-0000-0000BE280000}"/>
    <cellStyle name="Normal 3 17 3" xfId="1803" xr:uid="{00000000-0005-0000-0000-0000B8060000}"/>
    <cellStyle name="Normal 3 17 3 2" xfId="12008" xr:uid="{00000000-0005-0000-0000-0000C0280000}"/>
    <cellStyle name="Normal 3 17 4" xfId="1804" xr:uid="{00000000-0005-0000-0000-0000B9060000}"/>
    <cellStyle name="Normal 3 17 4 2" xfId="12009" xr:uid="{00000000-0005-0000-0000-0000C2280000}"/>
    <cellStyle name="Normal 3 17 5" xfId="1805" xr:uid="{00000000-0005-0000-0000-0000BA060000}"/>
    <cellStyle name="Normal 3 17 5 2" xfId="12010" xr:uid="{00000000-0005-0000-0000-0000C4280000}"/>
    <cellStyle name="Normal 3 17 6" xfId="1806" xr:uid="{00000000-0005-0000-0000-0000BB060000}"/>
    <cellStyle name="Normal 3 17 6 2" xfId="12011" xr:uid="{00000000-0005-0000-0000-0000C6280000}"/>
    <cellStyle name="Normal 3 17 7" xfId="1807" xr:uid="{00000000-0005-0000-0000-0000BC060000}"/>
    <cellStyle name="Normal 3 17 7 2" xfId="12012" xr:uid="{00000000-0005-0000-0000-0000C8280000}"/>
    <cellStyle name="Normal 3 17 8" xfId="1808" xr:uid="{00000000-0005-0000-0000-0000BD060000}"/>
    <cellStyle name="Normal 3 17 8 2" xfId="12013" xr:uid="{00000000-0005-0000-0000-0000CA280000}"/>
    <cellStyle name="Normal 3 17 9" xfId="1809" xr:uid="{00000000-0005-0000-0000-0000BE060000}"/>
    <cellStyle name="Normal 3 17 9 2" xfId="12014" xr:uid="{00000000-0005-0000-0000-0000CC280000}"/>
    <cellStyle name="Normal 3 18" xfId="1810" xr:uid="{00000000-0005-0000-0000-0000BF060000}"/>
    <cellStyle name="Normal 3 18 10" xfId="1811" xr:uid="{00000000-0005-0000-0000-0000C0060000}"/>
    <cellStyle name="Normal 3 18 10 2" xfId="12015" xr:uid="{00000000-0005-0000-0000-0000CF280000}"/>
    <cellStyle name="Normal 3 18 11" xfId="1812" xr:uid="{00000000-0005-0000-0000-0000C1060000}"/>
    <cellStyle name="Normal 3 18 11 2" xfId="12016" xr:uid="{00000000-0005-0000-0000-0000D1280000}"/>
    <cellStyle name="Normal 3 18 12" xfId="1813" xr:uid="{00000000-0005-0000-0000-0000C2060000}"/>
    <cellStyle name="Normal 3 18 12 2" xfId="12017" xr:uid="{00000000-0005-0000-0000-0000D3280000}"/>
    <cellStyle name="Normal 3 18 13" xfId="1814" xr:uid="{00000000-0005-0000-0000-0000C3060000}"/>
    <cellStyle name="Normal 3 18 13 2" xfId="12018" xr:uid="{00000000-0005-0000-0000-0000D5280000}"/>
    <cellStyle name="Normal 3 18 14" xfId="1815" xr:uid="{00000000-0005-0000-0000-0000C4060000}"/>
    <cellStyle name="Normal 3 18 14 2" xfId="12019" xr:uid="{00000000-0005-0000-0000-0000D7280000}"/>
    <cellStyle name="Normal 3 18 15" xfId="1816" xr:uid="{00000000-0005-0000-0000-0000C5060000}"/>
    <cellStyle name="Normal 3 18 15 2" xfId="12020" xr:uid="{00000000-0005-0000-0000-0000D9280000}"/>
    <cellStyle name="Normal 3 18 16" xfId="1817" xr:uid="{00000000-0005-0000-0000-0000C6060000}"/>
    <cellStyle name="Normal 3 18 16 2" xfId="12021" xr:uid="{00000000-0005-0000-0000-0000DB280000}"/>
    <cellStyle name="Normal 3 18 17" xfId="1818" xr:uid="{00000000-0005-0000-0000-0000C7060000}"/>
    <cellStyle name="Normal 3 18 17 2" xfId="12022" xr:uid="{00000000-0005-0000-0000-0000DD280000}"/>
    <cellStyle name="Normal 3 18 18" xfId="1819" xr:uid="{00000000-0005-0000-0000-0000C8060000}"/>
    <cellStyle name="Normal 3 18 18 2" xfId="12023" xr:uid="{00000000-0005-0000-0000-0000DF280000}"/>
    <cellStyle name="Normal 3 18 19" xfId="1820" xr:uid="{00000000-0005-0000-0000-0000C9060000}"/>
    <cellStyle name="Normal 3 18 19 2" xfId="12024" xr:uid="{00000000-0005-0000-0000-0000E1280000}"/>
    <cellStyle name="Normal 3 18 2" xfId="1821" xr:uid="{00000000-0005-0000-0000-0000CA060000}"/>
    <cellStyle name="Normal 3 18 2 2" xfId="12025" xr:uid="{00000000-0005-0000-0000-0000E3280000}"/>
    <cellStyle name="Normal 3 18 20" xfId="1822" xr:uid="{00000000-0005-0000-0000-0000CB060000}"/>
    <cellStyle name="Normal 3 18 20 2" xfId="12026" xr:uid="{00000000-0005-0000-0000-0000E5280000}"/>
    <cellStyle name="Normal 3 18 21" xfId="1823" xr:uid="{00000000-0005-0000-0000-0000CC060000}"/>
    <cellStyle name="Normal 3 18 21 2" xfId="12027" xr:uid="{00000000-0005-0000-0000-0000E7280000}"/>
    <cellStyle name="Normal 3 18 22" xfId="1824" xr:uid="{00000000-0005-0000-0000-0000CD060000}"/>
    <cellStyle name="Normal 3 18 22 2" xfId="12028" xr:uid="{00000000-0005-0000-0000-0000E9280000}"/>
    <cellStyle name="Normal 3 18 23" xfId="1825" xr:uid="{00000000-0005-0000-0000-0000CE060000}"/>
    <cellStyle name="Normal 3 18 23 2" xfId="12029" xr:uid="{00000000-0005-0000-0000-0000EB280000}"/>
    <cellStyle name="Normal 3 18 24" xfId="12030" xr:uid="{00000000-0005-0000-0000-0000EC280000}"/>
    <cellStyle name="Normal 3 18 3" xfId="1826" xr:uid="{00000000-0005-0000-0000-0000CF060000}"/>
    <cellStyle name="Normal 3 18 3 2" xfId="12031" xr:uid="{00000000-0005-0000-0000-0000EE280000}"/>
    <cellStyle name="Normal 3 18 4" xfId="1827" xr:uid="{00000000-0005-0000-0000-0000D0060000}"/>
    <cellStyle name="Normal 3 18 4 2" xfId="12032" xr:uid="{00000000-0005-0000-0000-0000F0280000}"/>
    <cellStyle name="Normal 3 18 5" xfId="1828" xr:uid="{00000000-0005-0000-0000-0000D1060000}"/>
    <cellStyle name="Normal 3 18 5 2" xfId="12033" xr:uid="{00000000-0005-0000-0000-0000F2280000}"/>
    <cellStyle name="Normal 3 18 6" xfId="1829" xr:uid="{00000000-0005-0000-0000-0000D2060000}"/>
    <cellStyle name="Normal 3 18 6 2" xfId="12034" xr:uid="{00000000-0005-0000-0000-0000F4280000}"/>
    <cellStyle name="Normal 3 18 7" xfId="1830" xr:uid="{00000000-0005-0000-0000-0000D3060000}"/>
    <cellStyle name="Normal 3 18 7 2" xfId="12035" xr:uid="{00000000-0005-0000-0000-0000F6280000}"/>
    <cellStyle name="Normal 3 18 8" xfId="1831" xr:uid="{00000000-0005-0000-0000-0000D4060000}"/>
    <cellStyle name="Normal 3 18 8 2" xfId="12036" xr:uid="{00000000-0005-0000-0000-0000F8280000}"/>
    <cellStyle name="Normal 3 18 9" xfId="1832" xr:uid="{00000000-0005-0000-0000-0000D5060000}"/>
    <cellStyle name="Normal 3 18 9 2" xfId="12037" xr:uid="{00000000-0005-0000-0000-0000FA280000}"/>
    <cellStyle name="Normal 3 19" xfId="1833" xr:uid="{00000000-0005-0000-0000-0000D6060000}"/>
    <cellStyle name="Normal 3 19 10" xfId="1834" xr:uid="{00000000-0005-0000-0000-0000D7060000}"/>
    <cellStyle name="Normal 3 19 10 2" xfId="12038" xr:uid="{00000000-0005-0000-0000-0000FD280000}"/>
    <cellStyle name="Normal 3 19 11" xfId="1835" xr:uid="{00000000-0005-0000-0000-0000D8060000}"/>
    <cellStyle name="Normal 3 19 11 2" xfId="12039" xr:uid="{00000000-0005-0000-0000-0000FF280000}"/>
    <cellStyle name="Normal 3 19 12" xfId="1836" xr:uid="{00000000-0005-0000-0000-0000D9060000}"/>
    <cellStyle name="Normal 3 19 12 2" xfId="12040" xr:uid="{00000000-0005-0000-0000-000001290000}"/>
    <cellStyle name="Normal 3 19 13" xfId="1837" xr:uid="{00000000-0005-0000-0000-0000DA060000}"/>
    <cellStyle name="Normal 3 19 13 2" xfId="12041" xr:uid="{00000000-0005-0000-0000-000003290000}"/>
    <cellStyle name="Normal 3 19 14" xfId="1838" xr:uid="{00000000-0005-0000-0000-0000DB060000}"/>
    <cellStyle name="Normal 3 19 14 2" xfId="12042" xr:uid="{00000000-0005-0000-0000-000005290000}"/>
    <cellStyle name="Normal 3 19 15" xfId="1839" xr:uid="{00000000-0005-0000-0000-0000DC060000}"/>
    <cellStyle name="Normal 3 19 15 2" xfId="12043" xr:uid="{00000000-0005-0000-0000-000007290000}"/>
    <cellStyle name="Normal 3 19 16" xfId="1840" xr:uid="{00000000-0005-0000-0000-0000DD060000}"/>
    <cellStyle name="Normal 3 19 16 2" xfId="12044" xr:uid="{00000000-0005-0000-0000-000009290000}"/>
    <cellStyle name="Normal 3 19 17" xfId="1841" xr:uid="{00000000-0005-0000-0000-0000DE060000}"/>
    <cellStyle name="Normal 3 19 17 2" xfId="12045" xr:uid="{00000000-0005-0000-0000-00000B290000}"/>
    <cellStyle name="Normal 3 19 18" xfId="1842" xr:uid="{00000000-0005-0000-0000-0000DF060000}"/>
    <cellStyle name="Normal 3 19 18 2" xfId="12046" xr:uid="{00000000-0005-0000-0000-00000D290000}"/>
    <cellStyle name="Normal 3 19 19" xfId="1843" xr:uid="{00000000-0005-0000-0000-0000E0060000}"/>
    <cellStyle name="Normal 3 19 19 2" xfId="12047" xr:uid="{00000000-0005-0000-0000-00000F290000}"/>
    <cellStyle name="Normal 3 19 2" xfId="1844" xr:uid="{00000000-0005-0000-0000-0000E1060000}"/>
    <cellStyle name="Normal 3 19 2 2" xfId="12048" xr:uid="{00000000-0005-0000-0000-000011290000}"/>
    <cellStyle name="Normal 3 19 20" xfId="1845" xr:uid="{00000000-0005-0000-0000-0000E2060000}"/>
    <cellStyle name="Normal 3 19 20 2" xfId="12049" xr:uid="{00000000-0005-0000-0000-000013290000}"/>
    <cellStyle name="Normal 3 19 21" xfId="1846" xr:uid="{00000000-0005-0000-0000-0000E3060000}"/>
    <cellStyle name="Normal 3 19 21 2" xfId="12050" xr:uid="{00000000-0005-0000-0000-000015290000}"/>
    <cellStyle name="Normal 3 19 22" xfId="1847" xr:uid="{00000000-0005-0000-0000-0000E4060000}"/>
    <cellStyle name="Normal 3 19 22 2" xfId="12051" xr:uid="{00000000-0005-0000-0000-000017290000}"/>
    <cellStyle name="Normal 3 19 23" xfId="1848" xr:uid="{00000000-0005-0000-0000-0000E5060000}"/>
    <cellStyle name="Normal 3 19 23 2" xfId="12052" xr:uid="{00000000-0005-0000-0000-000019290000}"/>
    <cellStyle name="Normal 3 19 24" xfId="12053" xr:uid="{00000000-0005-0000-0000-00001A290000}"/>
    <cellStyle name="Normal 3 19 3" xfId="1849" xr:uid="{00000000-0005-0000-0000-0000E6060000}"/>
    <cellStyle name="Normal 3 19 3 2" xfId="12054" xr:uid="{00000000-0005-0000-0000-00001C290000}"/>
    <cellStyle name="Normal 3 19 4" xfId="1850" xr:uid="{00000000-0005-0000-0000-0000E7060000}"/>
    <cellStyle name="Normal 3 19 4 2" xfId="12055" xr:uid="{00000000-0005-0000-0000-00001E290000}"/>
    <cellStyle name="Normal 3 19 5" xfId="1851" xr:uid="{00000000-0005-0000-0000-0000E8060000}"/>
    <cellStyle name="Normal 3 19 5 2" xfId="12056" xr:uid="{00000000-0005-0000-0000-000020290000}"/>
    <cellStyle name="Normal 3 19 6" xfId="1852" xr:uid="{00000000-0005-0000-0000-0000E9060000}"/>
    <cellStyle name="Normal 3 19 6 2" xfId="12057" xr:uid="{00000000-0005-0000-0000-000022290000}"/>
    <cellStyle name="Normal 3 19 7" xfId="1853" xr:uid="{00000000-0005-0000-0000-0000EA060000}"/>
    <cellStyle name="Normal 3 19 7 2" xfId="12058" xr:uid="{00000000-0005-0000-0000-000024290000}"/>
    <cellStyle name="Normal 3 19 8" xfId="1854" xr:uid="{00000000-0005-0000-0000-0000EB060000}"/>
    <cellStyle name="Normal 3 19 8 2" xfId="12059" xr:uid="{00000000-0005-0000-0000-000026290000}"/>
    <cellStyle name="Normal 3 19 9" xfId="1855" xr:uid="{00000000-0005-0000-0000-0000EC060000}"/>
    <cellStyle name="Normal 3 19 9 2" xfId="12060" xr:uid="{00000000-0005-0000-0000-000028290000}"/>
    <cellStyle name="Normal 3 2" xfId="1856" xr:uid="{00000000-0005-0000-0000-0000ED060000}"/>
    <cellStyle name="Normal 3 2 10" xfId="1857" xr:uid="{00000000-0005-0000-0000-0000EE060000}"/>
    <cellStyle name="Normal 3 2 10 2" xfId="12061" xr:uid="{00000000-0005-0000-0000-00002B290000}"/>
    <cellStyle name="Normal 3 2 11" xfId="1858" xr:uid="{00000000-0005-0000-0000-0000EF060000}"/>
    <cellStyle name="Normal 3 2 11 2" xfId="12062" xr:uid="{00000000-0005-0000-0000-00002D290000}"/>
    <cellStyle name="Normal 3 2 12" xfId="1859" xr:uid="{00000000-0005-0000-0000-0000F0060000}"/>
    <cellStyle name="Normal 3 2 12 2" xfId="12063" xr:uid="{00000000-0005-0000-0000-00002F290000}"/>
    <cellStyle name="Normal 3 2 13" xfId="1860" xr:uid="{00000000-0005-0000-0000-0000F1060000}"/>
    <cellStyle name="Normal 3 2 13 2" xfId="12064" xr:uid="{00000000-0005-0000-0000-000031290000}"/>
    <cellStyle name="Normal 3 2 14" xfId="1861" xr:uid="{00000000-0005-0000-0000-0000F2060000}"/>
    <cellStyle name="Normal 3 2 14 2" xfId="12065" xr:uid="{00000000-0005-0000-0000-000033290000}"/>
    <cellStyle name="Normal 3 2 15" xfId="1862" xr:uid="{00000000-0005-0000-0000-0000F3060000}"/>
    <cellStyle name="Normal 3 2 15 2" xfId="12066" xr:uid="{00000000-0005-0000-0000-000035290000}"/>
    <cellStyle name="Normal 3 2 16" xfId="1863" xr:uid="{00000000-0005-0000-0000-0000F4060000}"/>
    <cellStyle name="Normal 3 2 16 2" xfId="12067" xr:uid="{00000000-0005-0000-0000-000037290000}"/>
    <cellStyle name="Normal 3 2 17" xfId="1864" xr:uid="{00000000-0005-0000-0000-0000F5060000}"/>
    <cellStyle name="Normal 3 2 17 2" xfId="12068" xr:uid="{00000000-0005-0000-0000-000039290000}"/>
    <cellStyle name="Normal 3 2 18" xfId="1865" xr:uid="{00000000-0005-0000-0000-0000F6060000}"/>
    <cellStyle name="Normal 3 2 18 2" xfId="12069" xr:uid="{00000000-0005-0000-0000-00003B290000}"/>
    <cellStyle name="Normal 3 2 19" xfId="1866" xr:uid="{00000000-0005-0000-0000-0000F7060000}"/>
    <cellStyle name="Normal 3 2 19 2" xfId="12070" xr:uid="{00000000-0005-0000-0000-00003D290000}"/>
    <cellStyle name="Normal 3 2 2" xfId="1867" xr:uid="{00000000-0005-0000-0000-0000F8060000}"/>
    <cellStyle name="Normal 3 2 2 10" xfId="1868" xr:uid="{00000000-0005-0000-0000-0000F9060000}"/>
    <cellStyle name="Normal 3 2 2 10 2" xfId="12071" xr:uid="{00000000-0005-0000-0000-000040290000}"/>
    <cellStyle name="Normal 3 2 2 11" xfId="1869" xr:uid="{00000000-0005-0000-0000-0000FA060000}"/>
    <cellStyle name="Normal 3 2 2 11 2" xfId="12072" xr:uid="{00000000-0005-0000-0000-000042290000}"/>
    <cellStyle name="Normal 3 2 2 12" xfId="1870" xr:uid="{00000000-0005-0000-0000-0000FB060000}"/>
    <cellStyle name="Normal 3 2 2 12 2" xfId="12073" xr:uid="{00000000-0005-0000-0000-000044290000}"/>
    <cellStyle name="Normal 3 2 2 13" xfId="1871" xr:uid="{00000000-0005-0000-0000-0000FC060000}"/>
    <cellStyle name="Normal 3 2 2 13 2" xfId="12074" xr:uid="{00000000-0005-0000-0000-000046290000}"/>
    <cellStyle name="Normal 3 2 2 14" xfId="1872" xr:uid="{00000000-0005-0000-0000-0000FD060000}"/>
    <cellStyle name="Normal 3 2 2 14 2" xfId="12075" xr:uid="{00000000-0005-0000-0000-000048290000}"/>
    <cellStyle name="Normal 3 2 2 15" xfId="1873" xr:uid="{00000000-0005-0000-0000-0000FE060000}"/>
    <cellStyle name="Normal 3 2 2 15 2" xfId="12076" xr:uid="{00000000-0005-0000-0000-00004A290000}"/>
    <cellStyle name="Normal 3 2 2 16" xfId="1874" xr:uid="{00000000-0005-0000-0000-0000FF060000}"/>
    <cellStyle name="Normal 3 2 2 16 2" xfId="12077" xr:uid="{00000000-0005-0000-0000-00004C290000}"/>
    <cellStyle name="Normal 3 2 2 17" xfId="1875" xr:uid="{00000000-0005-0000-0000-000000070000}"/>
    <cellStyle name="Normal 3 2 2 17 2" xfId="12078" xr:uid="{00000000-0005-0000-0000-00004E290000}"/>
    <cellStyle name="Normal 3 2 2 18" xfId="1876" xr:uid="{00000000-0005-0000-0000-000001070000}"/>
    <cellStyle name="Normal 3 2 2 18 2" xfId="12079" xr:uid="{00000000-0005-0000-0000-000050290000}"/>
    <cellStyle name="Normal 3 2 2 19" xfId="1877" xr:uid="{00000000-0005-0000-0000-000002070000}"/>
    <cellStyle name="Normal 3 2 2 19 2" xfId="12080" xr:uid="{00000000-0005-0000-0000-000052290000}"/>
    <cellStyle name="Normal 3 2 2 2" xfId="1878" xr:uid="{00000000-0005-0000-0000-000003070000}"/>
    <cellStyle name="Normal 3 2 2 2 2" xfId="12081" xr:uid="{00000000-0005-0000-0000-000054290000}"/>
    <cellStyle name="Normal 3 2 2 20" xfId="1879" xr:uid="{00000000-0005-0000-0000-000004070000}"/>
    <cellStyle name="Normal 3 2 2 20 2" xfId="12082" xr:uid="{00000000-0005-0000-0000-000056290000}"/>
    <cellStyle name="Normal 3 2 2 21" xfId="1880" xr:uid="{00000000-0005-0000-0000-000005070000}"/>
    <cellStyle name="Normal 3 2 2 21 2" xfId="12083" xr:uid="{00000000-0005-0000-0000-000058290000}"/>
    <cellStyle name="Normal 3 2 2 22" xfId="1881" xr:uid="{00000000-0005-0000-0000-000006070000}"/>
    <cellStyle name="Normal 3 2 2 22 2" xfId="12084" xr:uid="{00000000-0005-0000-0000-00005A290000}"/>
    <cellStyle name="Normal 3 2 2 23" xfId="1882" xr:uid="{00000000-0005-0000-0000-000007070000}"/>
    <cellStyle name="Normal 3 2 2 23 2" xfId="12085" xr:uid="{00000000-0005-0000-0000-00005C290000}"/>
    <cellStyle name="Normal 3 2 2 24" xfId="1883" xr:uid="{00000000-0005-0000-0000-000008070000}"/>
    <cellStyle name="Normal 3 2 2 24 2" xfId="12086" xr:uid="{00000000-0005-0000-0000-00005E290000}"/>
    <cellStyle name="Normal 3 2 2 24 3" xfId="12087" xr:uid="{00000000-0005-0000-0000-00005F290000}"/>
    <cellStyle name="Normal 3 2 2 25" xfId="1884" xr:uid="{00000000-0005-0000-0000-000009070000}"/>
    <cellStyle name="Normal 3 2 2 25 2" xfId="12088" xr:uid="{00000000-0005-0000-0000-000061290000}"/>
    <cellStyle name="Normal 3 2 2 25 3" xfId="12089" xr:uid="{00000000-0005-0000-0000-000062290000}"/>
    <cellStyle name="Normal 3 2 2 26" xfId="1885" xr:uid="{00000000-0005-0000-0000-00000A070000}"/>
    <cellStyle name="Normal 3 2 2 26 2" xfId="12090" xr:uid="{00000000-0005-0000-0000-000064290000}"/>
    <cellStyle name="Normal 3 2 2 26 3" xfId="12091" xr:uid="{00000000-0005-0000-0000-000065290000}"/>
    <cellStyle name="Normal 3 2 2 27" xfId="1886" xr:uid="{00000000-0005-0000-0000-00000B070000}"/>
    <cellStyle name="Normal 3 2 2 27 2" xfId="12092" xr:uid="{00000000-0005-0000-0000-000067290000}"/>
    <cellStyle name="Normal 3 2 2 27 3" xfId="12093" xr:uid="{00000000-0005-0000-0000-000068290000}"/>
    <cellStyle name="Normal 3 2 2 28" xfId="1887" xr:uid="{00000000-0005-0000-0000-00000C070000}"/>
    <cellStyle name="Normal 3 2 2 28 2" xfId="12094" xr:uid="{00000000-0005-0000-0000-00006A290000}"/>
    <cellStyle name="Normal 3 2 2 28 3" xfId="12095" xr:uid="{00000000-0005-0000-0000-00006B290000}"/>
    <cellStyle name="Normal 3 2 2 29" xfId="1888" xr:uid="{00000000-0005-0000-0000-00000D070000}"/>
    <cellStyle name="Normal 3 2 2 29 2" xfId="12096" xr:uid="{00000000-0005-0000-0000-00006D290000}"/>
    <cellStyle name="Normal 3 2 2 29 3" xfId="12097" xr:uid="{00000000-0005-0000-0000-00006E290000}"/>
    <cellStyle name="Normal 3 2 2 3" xfId="1889" xr:uid="{00000000-0005-0000-0000-00000E070000}"/>
    <cellStyle name="Normal 3 2 2 3 2" xfId="12098" xr:uid="{00000000-0005-0000-0000-000070290000}"/>
    <cellStyle name="Normal 3 2 2 3 3" xfId="12099" xr:uid="{00000000-0005-0000-0000-000071290000}"/>
    <cellStyle name="Normal 3 2 2 30" xfId="1890" xr:uid="{00000000-0005-0000-0000-00000F070000}"/>
    <cellStyle name="Normal 3 2 2 30 2" xfId="12100" xr:uid="{00000000-0005-0000-0000-000073290000}"/>
    <cellStyle name="Normal 3 2 2 30 3" xfId="12101" xr:uid="{00000000-0005-0000-0000-000074290000}"/>
    <cellStyle name="Normal 3 2 2 31" xfId="1891" xr:uid="{00000000-0005-0000-0000-000010070000}"/>
    <cellStyle name="Normal 3 2 2 31 2" xfId="12102" xr:uid="{00000000-0005-0000-0000-000076290000}"/>
    <cellStyle name="Normal 3 2 2 31 3" xfId="12103" xr:uid="{00000000-0005-0000-0000-000077290000}"/>
    <cellStyle name="Normal 3 2 2 32" xfId="1892" xr:uid="{00000000-0005-0000-0000-000011070000}"/>
    <cellStyle name="Normal 3 2 2 32 2" xfId="12104" xr:uid="{00000000-0005-0000-0000-000079290000}"/>
    <cellStyle name="Normal 3 2 2 32 3" xfId="12105" xr:uid="{00000000-0005-0000-0000-00007A290000}"/>
    <cellStyle name="Normal 3 2 2 33" xfId="1893" xr:uid="{00000000-0005-0000-0000-000012070000}"/>
    <cellStyle name="Normal 3 2 2 33 2" xfId="12106" xr:uid="{00000000-0005-0000-0000-00007C290000}"/>
    <cellStyle name="Normal 3 2 2 33 3" xfId="12107" xr:uid="{00000000-0005-0000-0000-00007D290000}"/>
    <cellStyle name="Normal 3 2 2 34" xfId="12108" xr:uid="{00000000-0005-0000-0000-00007E290000}"/>
    <cellStyle name="Normal 3 2 2 34 2" xfId="12109" xr:uid="{00000000-0005-0000-0000-00007F290000}"/>
    <cellStyle name="Normal 3 2 2 34 3" xfId="12110" xr:uid="{00000000-0005-0000-0000-000080290000}"/>
    <cellStyle name="Normal 3 2 2 34 4" xfId="12111" xr:uid="{00000000-0005-0000-0000-000081290000}"/>
    <cellStyle name="Normal 3 2 2 35" xfId="5363" xr:uid="{00000000-0005-0000-0000-00003E290000}"/>
    <cellStyle name="Normal 3 2 2 4" xfId="1894" xr:uid="{00000000-0005-0000-0000-000013070000}"/>
    <cellStyle name="Normal 3 2 2 4 2" xfId="12112" xr:uid="{00000000-0005-0000-0000-000083290000}"/>
    <cellStyle name="Normal 3 2 2 4 3" xfId="12113" xr:uid="{00000000-0005-0000-0000-000084290000}"/>
    <cellStyle name="Normal 3 2 2 5" xfId="1895" xr:uid="{00000000-0005-0000-0000-000014070000}"/>
    <cellStyle name="Normal 3 2 2 5 2" xfId="12114" xr:uid="{00000000-0005-0000-0000-000086290000}"/>
    <cellStyle name="Normal 3 2 2 5 3" xfId="12115" xr:uid="{00000000-0005-0000-0000-000087290000}"/>
    <cellStyle name="Normal 3 2 2 6" xfId="1896" xr:uid="{00000000-0005-0000-0000-000015070000}"/>
    <cellStyle name="Normal 3 2 2 6 2" xfId="12116" xr:uid="{00000000-0005-0000-0000-000089290000}"/>
    <cellStyle name="Normal 3 2 2 6 3" xfId="12117" xr:uid="{00000000-0005-0000-0000-00008A290000}"/>
    <cellStyle name="Normal 3 2 2 7" xfId="1897" xr:uid="{00000000-0005-0000-0000-000016070000}"/>
    <cellStyle name="Normal 3 2 2 7 2" xfId="12118" xr:uid="{00000000-0005-0000-0000-00008C290000}"/>
    <cellStyle name="Normal 3 2 2 7 3" xfId="12119" xr:uid="{00000000-0005-0000-0000-00008D290000}"/>
    <cellStyle name="Normal 3 2 2 8" xfId="1898" xr:uid="{00000000-0005-0000-0000-000017070000}"/>
    <cellStyle name="Normal 3 2 2 8 2" xfId="12120" xr:uid="{00000000-0005-0000-0000-00008F290000}"/>
    <cellStyle name="Normal 3 2 2 8 3" xfId="12121" xr:uid="{00000000-0005-0000-0000-000090290000}"/>
    <cellStyle name="Normal 3 2 2 9" xfId="1899" xr:uid="{00000000-0005-0000-0000-000018070000}"/>
    <cellStyle name="Normal 3 2 2 9 2" xfId="12122" xr:uid="{00000000-0005-0000-0000-000092290000}"/>
    <cellStyle name="Normal 3 2 2 9 3" xfId="12123" xr:uid="{00000000-0005-0000-0000-000093290000}"/>
    <cellStyle name="Normal 3 2 20" xfId="1900" xr:uid="{00000000-0005-0000-0000-000019070000}"/>
    <cellStyle name="Normal 3 2 20 2" xfId="12124" xr:uid="{00000000-0005-0000-0000-000095290000}"/>
    <cellStyle name="Normal 3 2 20 3" xfId="12125" xr:uid="{00000000-0005-0000-0000-000096290000}"/>
    <cellStyle name="Normal 3 2 21" xfId="1901" xr:uid="{00000000-0005-0000-0000-00001A070000}"/>
    <cellStyle name="Normal 3 2 21 2" xfId="12126" xr:uid="{00000000-0005-0000-0000-000098290000}"/>
    <cellStyle name="Normal 3 2 21 3" xfId="12127" xr:uid="{00000000-0005-0000-0000-000099290000}"/>
    <cellStyle name="Normal 3 2 22" xfId="1902" xr:uid="{00000000-0005-0000-0000-00001B070000}"/>
    <cellStyle name="Normal 3 2 22 2" xfId="12128" xr:uid="{00000000-0005-0000-0000-00009B290000}"/>
    <cellStyle name="Normal 3 2 22 3" xfId="12129" xr:uid="{00000000-0005-0000-0000-00009C290000}"/>
    <cellStyle name="Normal 3 2 23" xfId="1903" xr:uid="{00000000-0005-0000-0000-00001C070000}"/>
    <cellStyle name="Normal 3 2 23 2" xfId="12130" xr:uid="{00000000-0005-0000-0000-00009E290000}"/>
    <cellStyle name="Normal 3 2 23 3" xfId="12131" xr:uid="{00000000-0005-0000-0000-00009F290000}"/>
    <cellStyle name="Normal 3 2 24" xfId="1904" xr:uid="{00000000-0005-0000-0000-00001D070000}"/>
    <cellStyle name="Normal 3 2 24 2" xfId="12132" xr:uid="{00000000-0005-0000-0000-0000A1290000}"/>
    <cellStyle name="Normal 3 2 24 3" xfId="12133" xr:uid="{00000000-0005-0000-0000-0000A2290000}"/>
    <cellStyle name="Normal 3 2 25" xfId="1905" xr:uid="{00000000-0005-0000-0000-00001E070000}"/>
    <cellStyle name="Normal 3 2 25 2" xfId="12134" xr:uid="{00000000-0005-0000-0000-0000A4290000}"/>
    <cellStyle name="Normal 3 2 25 3" xfId="12135" xr:uid="{00000000-0005-0000-0000-0000A5290000}"/>
    <cellStyle name="Normal 3 2 26" xfId="1906" xr:uid="{00000000-0005-0000-0000-00001F070000}"/>
    <cellStyle name="Normal 3 2 26 2" xfId="12136" xr:uid="{00000000-0005-0000-0000-0000A7290000}"/>
    <cellStyle name="Normal 3 2 26 3" xfId="12137" xr:uid="{00000000-0005-0000-0000-0000A8290000}"/>
    <cellStyle name="Normal 3 2 27" xfId="1907" xr:uid="{00000000-0005-0000-0000-000020070000}"/>
    <cellStyle name="Normal 3 2 27 2" xfId="12138" xr:uid="{00000000-0005-0000-0000-0000AA290000}"/>
    <cellStyle name="Normal 3 2 27 3" xfId="12139" xr:uid="{00000000-0005-0000-0000-0000AB290000}"/>
    <cellStyle name="Normal 3 2 28" xfId="1908" xr:uid="{00000000-0005-0000-0000-000021070000}"/>
    <cellStyle name="Normal 3 2 28 2" xfId="12140" xr:uid="{00000000-0005-0000-0000-0000AD290000}"/>
    <cellStyle name="Normal 3 2 28 3" xfId="12141" xr:uid="{00000000-0005-0000-0000-0000AE290000}"/>
    <cellStyle name="Normal 3 2 29" xfId="1909" xr:uid="{00000000-0005-0000-0000-000022070000}"/>
    <cellStyle name="Normal 3 2 29 2" xfId="12142" xr:uid="{00000000-0005-0000-0000-0000B0290000}"/>
    <cellStyle name="Normal 3 2 29 3" xfId="12143" xr:uid="{00000000-0005-0000-0000-0000B1290000}"/>
    <cellStyle name="Normal 3 2 3" xfId="1910" xr:uid="{00000000-0005-0000-0000-000023070000}"/>
    <cellStyle name="Normal 3 2 3 2" xfId="12144" xr:uid="{00000000-0005-0000-0000-0000B3290000}"/>
    <cellStyle name="Normal 3 2 3 3" xfId="12145" xr:uid="{00000000-0005-0000-0000-0000B4290000}"/>
    <cellStyle name="Normal 3 2 30" xfId="1911" xr:uid="{00000000-0005-0000-0000-000024070000}"/>
    <cellStyle name="Normal 3 2 30 2" xfId="12146" xr:uid="{00000000-0005-0000-0000-0000B6290000}"/>
    <cellStyle name="Normal 3 2 30 3" xfId="12147" xr:uid="{00000000-0005-0000-0000-0000B7290000}"/>
    <cellStyle name="Normal 3 2 31" xfId="1912" xr:uid="{00000000-0005-0000-0000-000025070000}"/>
    <cellStyle name="Normal 3 2 31 2" xfId="12148" xr:uid="{00000000-0005-0000-0000-0000B9290000}"/>
    <cellStyle name="Normal 3 2 31 3" xfId="12149" xr:uid="{00000000-0005-0000-0000-0000BA290000}"/>
    <cellStyle name="Normal 3 2 32" xfId="1913" xr:uid="{00000000-0005-0000-0000-000026070000}"/>
    <cellStyle name="Normal 3 2 32 2" xfId="12150" xr:uid="{00000000-0005-0000-0000-0000BC290000}"/>
    <cellStyle name="Normal 3 2 32 3" xfId="12151" xr:uid="{00000000-0005-0000-0000-0000BD290000}"/>
    <cellStyle name="Normal 3 2 33" xfId="1914" xr:uid="{00000000-0005-0000-0000-000027070000}"/>
    <cellStyle name="Normal 3 2 33 2" xfId="12152" xr:uid="{00000000-0005-0000-0000-0000BF290000}"/>
    <cellStyle name="Normal 3 2 33 3" xfId="12153" xr:uid="{00000000-0005-0000-0000-0000C0290000}"/>
    <cellStyle name="Normal 3 2 34" xfId="1915" xr:uid="{00000000-0005-0000-0000-000028070000}"/>
    <cellStyle name="Normal 3 2 34 2" xfId="12154" xr:uid="{00000000-0005-0000-0000-0000C2290000}"/>
    <cellStyle name="Normal 3 2 34 3" xfId="12155" xr:uid="{00000000-0005-0000-0000-0000C3290000}"/>
    <cellStyle name="Normal 3 2 35" xfId="1916" xr:uid="{00000000-0005-0000-0000-000029070000}"/>
    <cellStyle name="Normal 3 2 35 2" xfId="12156" xr:uid="{00000000-0005-0000-0000-0000C5290000}"/>
    <cellStyle name="Normal 3 2 35 3" xfId="12157" xr:uid="{00000000-0005-0000-0000-0000C6290000}"/>
    <cellStyle name="Normal 3 2 36" xfId="1917" xr:uid="{00000000-0005-0000-0000-00002A070000}"/>
    <cellStyle name="Normal 3 2 36 2" xfId="12158" xr:uid="{00000000-0005-0000-0000-0000C8290000}"/>
    <cellStyle name="Normal 3 2 36 3" xfId="12159" xr:uid="{00000000-0005-0000-0000-0000C9290000}"/>
    <cellStyle name="Normal 3 2 37" xfId="1918" xr:uid="{00000000-0005-0000-0000-00002B070000}"/>
    <cellStyle name="Normal 3 2 37 2" xfId="12160" xr:uid="{00000000-0005-0000-0000-0000CB290000}"/>
    <cellStyle name="Normal 3 2 37 3" xfId="12161" xr:uid="{00000000-0005-0000-0000-0000CC290000}"/>
    <cellStyle name="Normal 3 2 38" xfId="1919" xr:uid="{00000000-0005-0000-0000-00002C070000}"/>
    <cellStyle name="Normal 3 2 38 2" xfId="12162" xr:uid="{00000000-0005-0000-0000-0000CE290000}"/>
    <cellStyle name="Normal 3 2 38 3" xfId="12163" xr:uid="{00000000-0005-0000-0000-0000CF290000}"/>
    <cellStyle name="Normal 3 2 39" xfId="1920" xr:uid="{00000000-0005-0000-0000-00002D070000}"/>
    <cellStyle name="Normal 3 2 39 2" xfId="12164" xr:uid="{00000000-0005-0000-0000-0000D1290000}"/>
    <cellStyle name="Normal 3 2 39 3" xfId="12165" xr:uid="{00000000-0005-0000-0000-0000D2290000}"/>
    <cellStyle name="Normal 3 2 4" xfId="1921" xr:uid="{00000000-0005-0000-0000-00002E070000}"/>
    <cellStyle name="Normal 3 2 4 2" xfId="12166" xr:uid="{00000000-0005-0000-0000-0000D4290000}"/>
    <cellStyle name="Normal 3 2 4 3" xfId="12167" xr:uid="{00000000-0005-0000-0000-0000D5290000}"/>
    <cellStyle name="Normal 3 2 40" xfId="1922" xr:uid="{00000000-0005-0000-0000-00002F070000}"/>
    <cellStyle name="Normal 3 2 40 2" xfId="12168" xr:uid="{00000000-0005-0000-0000-0000D7290000}"/>
    <cellStyle name="Normal 3 2 40 3" xfId="12169" xr:uid="{00000000-0005-0000-0000-0000D8290000}"/>
    <cellStyle name="Normal 3 2 41" xfId="1923" xr:uid="{00000000-0005-0000-0000-000030070000}"/>
    <cellStyle name="Normal 3 2 41 2" xfId="12170" xr:uid="{00000000-0005-0000-0000-0000DA290000}"/>
    <cellStyle name="Normal 3 2 41 3" xfId="12171" xr:uid="{00000000-0005-0000-0000-0000DB290000}"/>
    <cellStyle name="Normal 3 2 42" xfId="1924" xr:uid="{00000000-0005-0000-0000-000031070000}"/>
    <cellStyle name="Normal 3 2 42 2" xfId="12172" xr:uid="{00000000-0005-0000-0000-0000DD290000}"/>
    <cellStyle name="Normal 3 2 42 3" xfId="12173" xr:uid="{00000000-0005-0000-0000-0000DE290000}"/>
    <cellStyle name="Normal 3 2 43" xfId="1925" xr:uid="{00000000-0005-0000-0000-000032070000}"/>
    <cellStyle name="Normal 3 2 43 2" xfId="12174" xr:uid="{00000000-0005-0000-0000-0000E0290000}"/>
    <cellStyle name="Normal 3 2 43 3" xfId="12175" xr:uid="{00000000-0005-0000-0000-0000E1290000}"/>
    <cellStyle name="Normal 3 2 44" xfId="1926" xr:uid="{00000000-0005-0000-0000-000033070000}"/>
    <cellStyle name="Normal 3 2 44 2" xfId="12176" xr:uid="{00000000-0005-0000-0000-0000E3290000}"/>
    <cellStyle name="Normal 3 2 44 3" xfId="12177" xr:uid="{00000000-0005-0000-0000-0000E4290000}"/>
    <cellStyle name="Normal 3 2 45" xfId="1927" xr:uid="{00000000-0005-0000-0000-000034070000}"/>
    <cellStyle name="Normal 3 2 45 2" xfId="12178" xr:uid="{00000000-0005-0000-0000-0000E6290000}"/>
    <cellStyle name="Normal 3 2 45 3" xfId="12179" xr:uid="{00000000-0005-0000-0000-0000E7290000}"/>
    <cellStyle name="Normal 3 2 46" xfId="1928" xr:uid="{00000000-0005-0000-0000-000035070000}"/>
    <cellStyle name="Normal 3 2 46 2" xfId="12180" xr:uid="{00000000-0005-0000-0000-0000E9290000}"/>
    <cellStyle name="Normal 3 2 46 3" xfId="12181" xr:uid="{00000000-0005-0000-0000-0000EA290000}"/>
    <cellStyle name="Normal 3 2 47" xfId="1929" xr:uid="{00000000-0005-0000-0000-000036070000}"/>
    <cellStyle name="Normal 3 2 47 2" xfId="12182" xr:uid="{00000000-0005-0000-0000-0000EC290000}"/>
    <cellStyle name="Normal 3 2 47 3" xfId="12183" xr:uid="{00000000-0005-0000-0000-0000ED290000}"/>
    <cellStyle name="Normal 3 2 48" xfId="1930" xr:uid="{00000000-0005-0000-0000-000037070000}"/>
    <cellStyle name="Normal 3 2 48 2" xfId="12184" xr:uid="{00000000-0005-0000-0000-0000EF290000}"/>
    <cellStyle name="Normal 3 2 48 3" xfId="12185" xr:uid="{00000000-0005-0000-0000-0000F0290000}"/>
    <cellStyle name="Normal 3 2 49" xfId="1931" xr:uid="{00000000-0005-0000-0000-000038070000}"/>
    <cellStyle name="Normal 3 2 49 2" xfId="12186" xr:uid="{00000000-0005-0000-0000-0000F2290000}"/>
    <cellStyle name="Normal 3 2 49 3" xfId="12187" xr:uid="{00000000-0005-0000-0000-0000F3290000}"/>
    <cellStyle name="Normal 3 2 5" xfId="1932" xr:uid="{00000000-0005-0000-0000-000039070000}"/>
    <cellStyle name="Normal 3 2 5 2" xfId="12188" xr:uid="{00000000-0005-0000-0000-0000F5290000}"/>
    <cellStyle name="Normal 3 2 5 3" xfId="12189" xr:uid="{00000000-0005-0000-0000-0000F6290000}"/>
    <cellStyle name="Normal 3 2 50" xfId="1933" xr:uid="{00000000-0005-0000-0000-00003A070000}"/>
    <cellStyle name="Normal 3 2 50 2" xfId="12190" xr:uid="{00000000-0005-0000-0000-0000F8290000}"/>
    <cellStyle name="Normal 3 2 50 3" xfId="12191" xr:uid="{00000000-0005-0000-0000-0000F9290000}"/>
    <cellStyle name="Normal 3 2 51" xfId="1934" xr:uid="{00000000-0005-0000-0000-00003B070000}"/>
    <cellStyle name="Normal 3 2 51 2" xfId="12192" xr:uid="{00000000-0005-0000-0000-0000FB290000}"/>
    <cellStyle name="Normal 3 2 51 3" xfId="12193" xr:uid="{00000000-0005-0000-0000-0000FC290000}"/>
    <cellStyle name="Normal 3 2 52" xfId="1935" xr:uid="{00000000-0005-0000-0000-00003C070000}"/>
    <cellStyle name="Normal 3 2 52 2" xfId="12194" xr:uid="{00000000-0005-0000-0000-0000FE290000}"/>
    <cellStyle name="Normal 3 2 52 3" xfId="12195" xr:uid="{00000000-0005-0000-0000-0000FF290000}"/>
    <cellStyle name="Normal 3 2 53" xfId="1936" xr:uid="{00000000-0005-0000-0000-00003D070000}"/>
    <cellStyle name="Normal 3 2 53 2" xfId="12196" xr:uid="{00000000-0005-0000-0000-0000012A0000}"/>
    <cellStyle name="Normal 3 2 53 3" xfId="12197" xr:uid="{00000000-0005-0000-0000-0000022A0000}"/>
    <cellStyle name="Normal 3 2 54" xfId="1937" xr:uid="{00000000-0005-0000-0000-00003E070000}"/>
    <cellStyle name="Normal 3 2 54 2" xfId="12198" xr:uid="{00000000-0005-0000-0000-0000042A0000}"/>
    <cellStyle name="Normal 3 2 54 3" xfId="12199" xr:uid="{00000000-0005-0000-0000-0000052A0000}"/>
    <cellStyle name="Normal 3 2 55" xfId="1938" xr:uid="{00000000-0005-0000-0000-00003F070000}"/>
    <cellStyle name="Normal 3 2 55 2" xfId="12200" xr:uid="{00000000-0005-0000-0000-0000072A0000}"/>
    <cellStyle name="Normal 3 2 55 3" xfId="12201" xr:uid="{00000000-0005-0000-0000-0000082A0000}"/>
    <cellStyle name="Normal 3 2 56" xfId="12202" xr:uid="{00000000-0005-0000-0000-0000092A0000}"/>
    <cellStyle name="Normal 3 2 56 2" xfId="12203" xr:uid="{00000000-0005-0000-0000-00000A2A0000}"/>
    <cellStyle name="Normal 3 2 56 3" xfId="12204" xr:uid="{00000000-0005-0000-0000-00000B2A0000}"/>
    <cellStyle name="Normal 3 2 56 4" xfId="12205" xr:uid="{00000000-0005-0000-0000-00000C2A0000}"/>
    <cellStyle name="Normal 3 2 57" xfId="12206" xr:uid="{00000000-0005-0000-0000-00000D2A0000}"/>
    <cellStyle name="Normal 3 2 57 2" xfId="12207" xr:uid="{00000000-0005-0000-0000-00000E2A0000}"/>
    <cellStyle name="Normal 3 2 58" xfId="12208" xr:uid="{00000000-0005-0000-0000-00000F2A0000}"/>
    <cellStyle name="Normal 3 2 59" xfId="5364" xr:uid="{00000000-0005-0000-0000-000029290000}"/>
    <cellStyle name="Normal 3 2 6" xfId="1939" xr:uid="{00000000-0005-0000-0000-000040070000}"/>
    <cellStyle name="Normal 3 2 6 2" xfId="12209" xr:uid="{00000000-0005-0000-0000-0000112A0000}"/>
    <cellStyle name="Normal 3 2 6 3" xfId="12210" xr:uid="{00000000-0005-0000-0000-0000122A0000}"/>
    <cellStyle name="Normal 3 2 7" xfId="1940" xr:uid="{00000000-0005-0000-0000-000041070000}"/>
    <cellStyle name="Normal 3 2 7 2" xfId="12211" xr:uid="{00000000-0005-0000-0000-0000142A0000}"/>
    <cellStyle name="Normal 3 2 7 3" xfId="12212" xr:uid="{00000000-0005-0000-0000-0000152A0000}"/>
    <cellStyle name="Normal 3 2 8" xfId="1941" xr:uid="{00000000-0005-0000-0000-000042070000}"/>
    <cellStyle name="Normal 3 2 8 2" xfId="12213" xr:uid="{00000000-0005-0000-0000-0000172A0000}"/>
    <cellStyle name="Normal 3 2 8 3" xfId="12214" xr:uid="{00000000-0005-0000-0000-0000182A0000}"/>
    <cellStyle name="Normal 3 2 9" xfId="1942" xr:uid="{00000000-0005-0000-0000-000043070000}"/>
    <cellStyle name="Normal 3 2 9 2" xfId="12215" xr:uid="{00000000-0005-0000-0000-00001A2A0000}"/>
    <cellStyle name="Normal 3 2 9 3" xfId="12216" xr:uid="{00000000-0005-0000-0000-00001B2A0000}"/>
    <cellStyle name="Normal 3 2_App b.3 Unspent_" xfId="1943" xr:uid="{00000000-0005-0000-0000-000044070000}"/>
    <cellStyle name="Normal 3 20" xfId="1944" xr:uid="{00000000-0005-0000-0000-000045070000}"/>
    <cellStyle name="Normal 3 20 10" xfId="1945" xr:uid="{00000000-0005-0000-0000-000046070000}"/>
    <cellStyle name="Normal 3 20 10 2" xfId="12217" xr:uid="{00000000-0005-0000-0000-00001F2A0000}"/>
    <cellStyle name="Normal 3 20 10 3" xfId="12218" xr:uid="{00000000-0005-0000-0000-0000202A0000}"/>
    <cellStyle name="Normal 3 20 11" xfId="1946" xr:uid="{00000000-0005-0000-0000-000047070000}"/>
    <cellStyle name="Normal 3 20 11 2" xfId="12219" xr:uid="{00000000-0005-0000-0000-0000222A0000}"/>
    <cellStyle name="Normal 3 20 11 3" xfId="12220" xr:uid="{00000000-0005-0000-0000-0000232A0000}"/>
    <cellStyle name="Normal 3 20 12" xfId="1947" xr:uid="{00000000-0005-0000-0000-000048070000}"/>
    <cellStyle name="Normal 3 20 12 2" xfId="12221" xr:uid="{00000000-0005-0000-0000-0000252A0000}"/>
    <cellStyle name="Normal 3 20 12 3" xfId="12222" xr:uid="{00000000-0005-0000-0000-0000262A0000}"/>
    <cellStyle name="Normal 3 20 13" xfId="1948" xr:uid="{00000000-0005-0000-0000-000049070000}"/>
    <cellStyle name="Normal 3 20 13 2" xfId="12223" xr:uid="{00000000-0005-0000-0000-0000282A0000}"/>
    <cellStyle name="Normal 3 20 13 3" xfId="12224" xr:uid="{00000000-0005-0000-0000-0000292A0000}"/>
    <cellStyle name="Normal 3 20 14" xfId="1949" xr:uid="{00000000-0005-0000-0000-00004A070000}"/>
    <cellStyle name="Normal 3 20 14 2" xfId="12225" xr:uid="{00000000-0005-0000-0000-00002B2A0000}"/>
    <cellStyle name="Normal 3 20 14 3" xfId="12226" xr:uid="{00000000-0005-0000-0000-00002C2A0000}"/>
    <cellStyle name="Normal 3 20 15" xfId="1950" xr:uid="{00000000-0005-0000-0000-00004B070000}"/>
    <cellStyle name="Normal 3 20 15 2" xfId="12227" xr:uid="{00000000-0005-0000-0000-00002E2A0000}"/>
    <cellStyle name="Normal 3 20 15 3" xfId="12228" xr:uid="{00000000-0005-0000-0000-00002F2A0000}"/>
    <cellStyle name="Normal 3 20 16" xfId="1951" xr:uid="{00000000-0005-0000-0000-00004C070000}"/>
    <cellStyle name="Normal 3 20 16 2" xfId="12229" xr:uid="{00000000-0005-0000-0000-0000312A0000}"/>
    <cellStyle name="Normal 3 20 16 3" xfId="12230" xr:uid="{00000000-0005-0000-0000-0000322A0000}"/>
    <cellStyle name="Normal 3 20 17" xfId="1952" xr:uid="{00000000-0005-0000-0000-00004D070000}"/>
    <cellStyle name="Normal 3 20 17 2" xfId="12231" xr:uid="{00000000-0005-0000-0000-0000342A0000}"/>
    <cellStyle name="Normal 3 20 17 3" xfId="12232" xr:uid="{00000000-0005-0000-0000-0000352A0000}"/>
    <cellStyle name="Normal 3 20 18" xfId="1953" xr:uid="{00000000-0005-0000-0000-00004E070000}"/>
    <cellStyle name="Normal 3 20 18 2" xfId="12233" xr:uid="{00000000-0005-0000-0000-0000372A0000}"/>
    <cellStyle name="Normal 3 20 18 3" xfId="12234" xr:uid="{00000000-0005-0000-0000-0000382A0000}"/>
    <cellStyle name="Normal 3 20 19" xfId="1954" xr:uid="{00000000-0005-0000-0000-00004F070000}"/>
    <cellStyle name="Normal 3 20 19 2" xfId="12235" xr:uid="{00000000-0005-0000-0000-00003A2A0000}"/>
    <cellStyle name="Normal 3 20 19 3" xfId="12236" xr:uid="{00000000-0005-0000-0000-00003B2A0000}"/>
    <cellStyle name="Normal 3 20 2" xfId="1955" xr:uid="{00000000-0005-0000-0000-000050070000}"/>
    <cellStyle name="Normal 3 20 2 2" xfId="12237" xr:uid="{00000000-0005-0000-0000-00003D2A0000}"/>
    <cellStyle name="Normal 3 20 2 3" xfId="12238" xr:uid="{00000000-0005-0000-0000-00003E2A0000}"/>
    <cellStyle name="Normal 3 20 20" xfId="1956" xr:uid="{00000000-0005-0000-0000-000051070000}"/>
    <cellStyle name="Normal 3 20 20 2" xfId="12239" xr:uid="{00000000-0005-0000-0000-0000402A0000}"/>
    <cellStyle name="Normal 3 20 20 3" xfId="12240" xr:uid="{00000000-0005-0000-0000-0000412A0000}"/>
    <cellStyle name="Normal 3 20 21" xfId="1957" xr:uid="{00000000-0005-0000-0000-000052070000}"/>
    <cellStyle name="Normal 3 20 21 2" xfId="12241" xr:uid="{00000000-0005-0000-0000-0000432A0000}"/>
    <cellStyle name="Normal 3 20 21 3" xfId="12242" xr:uid="{00000000-0005-0000-0000-0000442A0000}"/>
    <cellStyle name="Normal 3 20 22" xfId="1958" xr:uid="{00000000-0005-0000-0000-000053070000}"/>
    <cellStyle name="Normal 3 20 22 2" xfId="12243" xr:uid="{00000000-0005-0000-0000-0000462A0000}"/>
    <cellStyle name="Normal 3 20 22 3" xfId="12244" xr:uid="{00000000-0005-0000-0000-0000472A0000}"/>
    <cellStyle name="Normal 3 20 23" xfId="1959" xr:uid="{00000000-0005-0000-0000-000054070000}"/>
    <cellStyle name="Normal 3 20 23 2" xfId="12245" xr:uid="{00000000-0005-0000-0000-0000492A0000}"/>
    <cellStyle name="Normal 3 20 23 3" xfId="12246" xr:uid="{00000000-0005-0000-0000-00004A2A0000}"/>
    <cellStyle name="Normal 3 20 24" xfId="12247" xr:uid="{00000000-0005-0000-0000-00004B2A0000}"/>
    <cellStyle name="Normal 3 20 25" xfId="12248" xr:uid="{00000000-0005-0000-0000-00004C2A0000}"/>
    <cellStyle name="Normal 3 20 3" xfId="1960" xr:uid="{00000000-0005-0000-0000-000055070000}"/>
    <cellStyle name="Normal 3 20 3 2" xfId="12249" xr:uid="{00000000-0005-0000-0000-00004E2A0000}"/>
    <cellStyle name="Normal 3 20 3 3" xfId="12250" xr:uid="{00000000-0005-0000-0000-00004F2A0000}"/>
    <cellStyle name="Normal 3 20 4" xfId="1961" xr:uid="{00000000-0005-0000-0000-000056070000}"/>
    <cellStyle name="Normal 3 20 4 2" xfId="12251" xr:uid="{00000000-0005-0000-0000-0000512A0000}"/>
    <cellStyle name="Normal 3 20 4 3" xfId="12252" xr:uid="{00000000-0005-0000-0000-0000522A0000}"/>
    <cellStyle name="Normal 3 20 5" xfId="1962" xr:uid="{00000000-0005-0000-0000-000057070000}"/>
    <cellStyle name="Normal 3 20 5 2" xfId="12253" xr:uid="{00000000-0005-0000-0000-0000542A0000}"/>
    <cellStyle name="Normal 3 20 5 3" xfId="12254" xr:uid="{00000000-0005-0000-0000-0000552A0000}"/>
    <cellStyle name="Normal 3 20 6" xfId="1963" xr:uid="{00000000-0005-0000-0000-000058070000}"/>
    <cellStyle name="Normal 3 20 6 2" xfId="12255" xr:uid="{00000000-0005-0000-0000-0000572A0000}"/>
    <cellStyle name="Normal 3 20 6 3" xfId="12256" xr:uid="{00000000-0005-0000-0000-0000582A0000}"/>
    <cellStyle name="Normal 3 20 7" xfId="1964" xr:uid="{00000000-0005-0000-0000-000059070000}"/>
    <cellStyle name="Normal 3 20 7 2" xfId="12257" xr:uid="{00000000-0005-0000-0000-00005A2A0000}"/>
    <cellStyle name="Normal 3 20 7 3" xfId="12258" xr:uid="{00000000-0005-0000-0000-00005B2A0000}"/>
    <cellStyle name="Normal 3 20 8" xfId="1965" xr:uid="{00000000-0005-0000-0000-00005A070000}"/>
    <cellStyle name="Normal 3 20 8 2" xfId="12259" xr:uid="{00000000-0005-0000-0000-00005D2A0000}"/>
    <cellStyle name="Normal 3 20 8 3" xfId="12260" xr:uid="{00000000-0005-0000-0000-00005E2A0000}"/>
    <cellStyle name="Normal 3 20 9" xfId="1966" xr:uid="{00000000-0005-0000-0000-00005B070000}"/>
    <cellStyle name="Normal 3 20 9 2" xfId="12261" xr:uid="{00000000-0005-0000-0000-0000602A0000}"/>
    <cellStyle name="Normal 3 20 9 3" xfId="12262" xr:uid="{00000000-0005-0000-0000-0000612A0000}"/>
    <cellStyle name="Normal 3 21" xfId="1967" xr:uid="{00000000-0005-0000-0000-00005C070000}"/>
    <cellStyle name="Normal 3 21 10" xfId="1968" xr:uid="{00000000-0005-0000-0000-00005D070000}"/>
    <cellStyle name="Normal 3 21 10 2" xfId="12263" xr:uid="{00000000-0005-0000-0000-0000642A0000}"/>
    <cellStyle name="Normal 3 21 10 3" xfId="12264" xr:uid="{00000000-0005-0000-0000-0000652A0000}"/>
    <cellStyle name="Normal 3 21 11" xfId="1969" xr:uid="{00000000-0005-0000-0000-00005E070000}"/>
    <cellStyle name="Normal 3 21 11 2" xfId="12265" xr:uid="{00000000-0005-0000-0000-0000672A0000}"/>
    <cellStyle name="Normal 3 21 11 3" xfId="12266" xr:uid="{00000000-0005-0000-0000-0000682A0000}"/>
    <cellStyle name="Normal 3 21 12" xfId="1970" xr:uid="{00000000-0005-0000-0000-00005F070000}"/>
    <cellStyle name="Normal 3 21 12 2" xfId="12267" xr:uid="{00000000-0005-0000-0000-00006A2A0000}"/>
    <cellStyle name="Normal 3 21 12 3" xfId="12268" xr:uid="{00000000-0005-0000-0000-00006B2A0000}"/>
    <cellStyle name="Normal 3 21 13" xfId="1971" xr:uid="{00000000-0005-0000-0000-000060070000}"/>
    <cellStyle name="Normal 3 21 13 2" xfId="12269" xr:uid="{00000000-0005-0000-0000-00006D2A0000}"/>
    <cellStyle name="Normal 3 21 13 3" xfId="12270" xr:uid="{00000000-0005-0000-0000-00006E2A0000}"/>
    <cellStyle name="Normal 3 21 14" xfId="1972" xr:uid="{00000000-0005-0000-0000-000061070000}"/>
    <cellStyle name="Normal 3 21 14 2" xfId="12271" xr:uid="{00000000-0005-0000-0000-0000702A0000}"/>
    <cellStyle name="Normal 3 21 14 3" xfId="12272" xr:uid="{00000000-0005-0000-0000-0000712A0000}"/>
    <cellStyle name="Normal 3 21 15" xfId="1973" xr:uid="{00000000-0005-0000-0000-000062070000}"/>
    <cellStyle name="Normal 3 21 15 2" xfId="12273" xr:uid="{00000000-0005-0000-0000-0000732A0000}"/>
    <cellStyle name="Normal 3 21 15 3" xfId="12274" xr:uid="{00000000-0005-0000-0000-0000742A0000}"/>
    <cellStyle name="Normal 3 21 16" xfId="1974" xr:uid="{00000000-0005-0000-0000-000063070000}"/>
    <cellStyle name="Normal 3 21 16 2" xfId="12275" xr:uid="{00000000-0005-0000-0000-0000762A0000}"/>
    <cellStyle name="Normal 3 21 16 3" xfId="12276" xr:uid="{00000000-0005-0000-0000-0000772A0000}"/>
    <cellStyle name="Normal 3 21 17" xfId="1975" xr:uid="{00000000-0005-0000-0000-000064070000}"/>
    <cellStyle name="Normal 3 21 17 2" xfId="12277" xr:uid="{00000000-0005-0000-0000-0000792A0000}"/>
    <cellStyle name="Normal 3 21 17 3" xfId="12278" xr:uid="{00000000-0005-0000-0000-00007A2A0000}"/>
    <cellStyle name="Normal 3 21 18" xfId="1976" xr:uid="{00000000-0005-0000-0000-000065070000}"/>
    <cellStyle name="Normal 3 21 18 2" xfId="12279" xr:uid="{00000000-0005-0000-0000-00007C2A0000}"/>
    <cellStyle name="Normal 3 21 18 3" xfId="12280" xr:uid="{00000000-0005-0000-0000-00007D2A0000}"/>
    <cellStyle name="Normal 3 21 19" xfId="1977" xr:uid="{00000000-0005-0000-0000-000066070000}"/>
    <cellStyle name="Normal 3 21 19 2" xfId="12281" xr:uid="{00000000-0005-0000-0000-00007F2A0000}"/>
    <cellStyle name="Normal 3 21 19 3" xfId="12282" xr:uid="{00000000-0005-0000-0000-0000802A0000}"/>
    <cellStyle name="Normal 3 21 2" xfId="1978" xr:uid="{00000000-0005-0000-0000-000067070000}"/>
    <cellStyle name="Normal 3 21 2 2" xfId="12283" xr:uid="{00000000-0005-0000-0000-0000822A0000}"/>
    <cellStyle name="Normal 3 21 2 3" xfId="12284" xr:uid="{00000000-0005-0000-0000-0000832A0000}"/>
    <cellStyle name="Normal 3 21 20" xfId="1979" xr:uid="{00000000-0005-0000-0000-000068070000}"/>
    <cellStyle name="Normal 3 21 20 2" xfId="12285" xr:uid="{00000000-0005-0000-0000-0000852A0000}"/>
    <cellStyle name="Normal 3 21 20 3" xfId="12286" xr:uid="{00000000-0005-0000-0000-0000862A0000}"/>
    <cellStyle name="Normal 3 21 21" xfId="1980" xr:uid="{00000000-0005-0000-0000-000069070000}"/>
    <cellStyle name="Normal 3 21 21 2" xfId="12287" xr:uid="{00000000-0005-0000-0000-0000882A0000}"/>
    <cellStyle name="Normal 3 21 21 3" xfId="12288" xr:uid="{00000000-0005-0000-0000-0000892A0000}"/>
    <cellStyle name="Normal 3 21 22" xfId="1981" xr:uid="{00000000-0005-0000-0000-00006A070000}"/>
    <cellStyle name="Normal 3 21 22 2" xfId="12289" xr:uid="{00000000-0005-0000-0000-00008B2A0000}"/>
    <cellStyle name="Normal 3 21 22 3" xfId="12290" xr:uid="{00000000-0005-0000-0000-00008C2A0000}"/>
    <cellStyle name="Normal 3 21 23" xfId="1982" xr:uid="{00000000-0005-0000-0000-00006B070000}"/>
    <cellStyle name="Normal 3 21 23 2" xfId="12291" xr:uid="{00000000-0005-0000-0000-00008E2A0000}"/>
    <cellStyle name="Normal 3 21 23 3" xfId="12292" xr:uid="{00000000-0005-0000-0000-00008F2A0000}"/>
    <cellStyle name="Normal 3 21 24" xfId="12293" xr:uid="{00000000-0005-0000-0000-0000902A0000}"/>
    <cellStyle name="Normal 3 21 25" xfId="12294" xr:uid="{00000000-0005-0000-0000-0000912A0000}"/>
    <cellStyle name="Normal 3 21 3" xfId="1983" xr:uid="{00000000-0005-0000-0000-00006C070000}"/>
    <cellStyle name="Normal 3 21 3 2" xfId="12295" xr:uid="{00000000-0005-0000-0000-0000932A0000}"/>
    <cellStyle name="Normal 3 21 3 3" xfId="12296" xr:uid="{00000000-0005-0000-0000-0000942A0000}"/>
    <cellStyle name="Normal 3 21 4" xfId="1984" xr:uid="{00000000-0005-0000-0000-00006D070000}"/>
    <cellStyle name="Normal 3 21 4 2" xfId="12297" xr:uid="{00000000-0005-0000-0000-0000962A0000}"/>
    <cellStyle name="Normal 3 21 4 3" xfId="12298" xr:uid="{00000000-0005-0000-0000-0000972A0000}"/>
    <cellStyle name="Normal 3 21 5" xfId="1985" xr:uid="{00000000-0005-0000-0000-00006E070000}"/>
    <cellStyle name="Normal 3 21 5 2" xfId="12299" xr:uid="{00000000-0005-0000-0000-0000992A0000}"/>
    <cellStyle name="Normal 3 21 5 3" xfId="12300" xr:uid="{00000000-0005-0000-0000-00009A2A0000}"/>
    <cellStyle name="Normal 3 21 6" xfId="1986" xr:uid="{00000000-0005-0000-0000-00006F070000}"/>
    <cellStyle name="Normal 3 21 6 2" xfId="12301" xr:uid="{00000000-0005-0000-0000-00009C2A0000}"/>
    <cellStyle name="Normal 3 21 6 3" xfId="12302" xr:uid="{00000000-0005-0000-0000-00009D2A0000}"/>
    <cellStyle name="Normal 3 21 7" xfId="1987" xr:uid="{00000000-0005-0000-0000-000070070000}"/>
    <cellStyle name="Normal 3 21 7 2" xfId="12303" xr:uid="{00000000-0005-0000-0000-00009F2A0000}"/>
    <cellStyle name="Normal 3 21 7 3" xfId="12304" xr:uid="{00000000-0005-0000-0000-0000A02A0000}"/>
    <cellStyle name="Normal 3 21 8" xfId="1988" xr:uid="{00000000-0005-0000-0000-000071070000}"/>
    <cellStyle name="Normal 3 21 8 2" xfId="12305" xr:uid="{00000000-0005-0000-0000-0000A22A0000}"/>
    <cellStyle name="Normal 3 21 8 3" xfId="12306" xr:uid="{00000000-0005-0000-0000-0000A32A0000}"/>
    <cellStyle name="Normal 3 21 9" xfId="1989" xr:uid="{00000000-0005-0000-0000-000072070000}"/>
    <cellStyle name="Normal 3 21 9 2" xfId="12307" xr:uid="{00000000-0005-0000-0000-0000A52A0000}"/>
    <cellStyle name="Normal 3 21 9 3" xfId="12308" xr:uid="{00000000-0005-0000-0000-0000A62A0000}"/>
    <cellStyle name="Normal 3 22" xfId="1990" xr:uid="{00000000-0005-0000-0000-000073070000}"/>
    <cellStyle name="Normal 3 22 10" xfId="1991" xr:uid="{00000000-0005-0000-0000-000074070000}"/>
    <cellStyle name="Normal 3 22 10 2" xfId="12309" xr:uid="{00000000-0005-0000-0000-0000A92A0000}"/>
    <cellStyle name="Normal 3 22 10 3" xfId="12310" xr:uid="{00000000-0005-0000-0000-0000AA2A0000}"/>
    <cellStyle name="Normal 3 22 11" xfId="1992" xr:uid="{00000000-0005-0000-0000-000075070000}"/>
    <cellStyle name="Normal 3 22 11 2" xfId="12311" xr:uid="{00000000-0005-0000-0000-0000AC2A0000}"/>
    <cellStyle name="Normal 3 22 11 3" xfId="12312" xr:uid="{00000000-0005-0000-0000-0000AD2A0000}"/>
    <cellStyle name="Normal 3 22 12" xfId="1993" xr:uid="{00000000-0005-0000-0000-000076070000}"/>
    <cellStyle name="Normal 3 22 12 2" xfId="12313" xr:uid="{00000000-0005-0000-0000-0000AF2A0000}"/>
    <cellStyle name="Normal 3 22 12 3" xfId="12314" xr:uid="{00000000-0005-0000-0000-0000B02A0000}"/>
    <cellStyle name="Normal 3 22 13" xfId="1994" xr:uid="{00000000-0005-0000-0000-000077070000}"/>
    <cellStyle name="Normal 3 22 13 2" xfId="12315" xr:uid="{00000000-0005-0000-0000-0000B22A0000}"/>
    <cellStyle name="Normal 3 22 13 3" xfId="12316" xr:uid="{00000000-0005-0000-0000-0000B32A0000}"/>
    <cellStyle name="Normal 3 22 14" xfId="1995" xr:uid="{00000000-0005-0000-0000-000078070000}"/>
    <cellStyle name="Normal 3 22 14 2" xfId="12317" xr:uid="{00000000-0005-0000-0000-0000B52A0000}"/>
    <cellStyle name="Normal 3 22 14 3" xfId="12318" xr:uid="{00000000-0005-0000-0000-0000B62A0000}"/>
    <cellStyle name="Normal 3 22 15" xfId="1996" xr:uid="{00000000-0005-0000-0000-000079070000}"/>
    <cellStyle name="Normal 3 22 15 2" xfId="12319" xr:uid="{00000000-0005-0000-0000-0000B82A0000}"/>
    <cellStyle name="Normal 3 22 15 3" xfId="12320" xr:uid="{00000000-0005-0000-0000-0000B92A0000}"/>
    <cellStyle name="Normal 3 22 16" xfId="1997" xr:uid="{00000000-0005-0000-0000-00007A070000}"/>
    <cellStyle name="Normal 3 22 16 2" xfId="12321" xr:uid="{00000000-0005-0000-0000-0000BB2A0000}"/>
    <cellStyle name="Normal 3 22 16 3" xfId="12322" xr:uid="{00000000-0005-0000-0000-0000BC2A0000}"/>
    <cellStyle name="Normal 3 22 17" xfId="1998" xr:uid="{00000000-0005-0000-0000-00007B070000}"/>
    <cellStyle name="Normal 3 22 17 2" xfId="12323" xr:uid="{00000000-0005-0000-0000-0000BE2A0000}"/>
    <cellStyle name="Normal 3 22 17 3" xfId="12324" xr:uid="{00000000-0005-0000-0000-0000BF2A0000}"/>
    <cellStyle name="Normal 3 22 18" xfId="1999" xr:uid="{00000000-0005-0000-0000-00007C070000}"/>
    <cellStyle name="Normal 3 22 18 2" xfId="12325" xr:uid="{00000000-0005-0000-0000-0000C12A0000}"/>
    <cellStyle name="Normal 3 22 18 3" xfId="12326" xr:uid="{00000000-0005-0000-0000-0000C22A0000}"/>
    <cellStyle name="Normal 3 22 19" xfId="2000" xr:uid="{00000000-0005-0000-0000-00007D070000}"/>
    <cellStyle name="Normal 3 22 19 2" xfId="12327" xr:uid="{00000000-0005-0000-0000-0000C42A0000}"/>
    <cellStyle name="Normal 3 22 19 3" xfId="12328" xr:uid="{00000000-0005-0000-0000-0000C52A0000}"/>
    <cellStyle name="Normal 3 22 2" xfId="2001" xr:uid="{00000000-0005-0000-0000-00007E070000}"/>
    <cellStyle name="Normal 3 22 2 2" xfId="12329" xr:uid="{00000000-0005-0000-0000-0000C72A0000}"/>
    <cellStyle name="Normal 3 22 2 3" xfId="12330" xr:uid="{00000000-0005-0000-0000-0000C82A0000}"/>
    <cellStyle name="Normal 3 22 20" xfId="2002" xr:uid="{00000000-0005-0000-0000-00007F070000}"/>
    <cellStyle name="Normal 3 22 20 2" xfId="12331" xr:uid="{00000000-0005-0000-0000-0000CA2A0000}"/>
    <cellStyle name="Normal 3 22 20 3" xfId="12332" xr:uid="{00000000-0005-0000-0000-0000CB2A0000}"/>
    <cellStyle name="Normal 3 22 21" xfId="2003" xr:uid="{00000000-0005-0000-0000-000080070000}"/>
    <cellStyle name="Normal 3 22 21 2" xfId="12333" xr:uid="{00000000-0005-0000-0000-0000CD2A0000}"/>
    <cellStyle name="Normal 3 22 21 3" xfId="12334" xr:uid="{00000000-0005-0000-0000-0000CE2A0000}"/>
    <cellStyle name="Normal 3 22 22" xfId="2004" xr:uid="{00000000-0005-0000-0000-000081070000}"/>
    <cellStyle name="Normal 3 22 22 2" xfId="12335" xr:uid="{00000000-0005-0000-0000-0000D02A0000}"/>
    <cellStyle name="Normal 3 22 22 3" xfId="12336" xr:uid="{00000000-0005-0000-0000-0000D12A0000}"/>
    <cellStyle name="Normal 3 22 23" xfId="2005" xr:uid="{00000000-0005-0000-0000-000082070000}"/>
    <cellStyle name="Normal 3 22 23 2" xfId="12337" xr:uid="{00000000-0005-0000-0000-0000D32A0000}"/>
    <cellStyle name="Normal 3 22 23 3" xfId="12338" xr:uid="{00000000-0005-0000-0000-0000D42A0000}"/>
    <cellStyle name="Normal 3 22 24" xfId="12339" xr:uid="{00000000-0005-0000-0000-0000D52A0000}"/>
    <cellStyle name="Normal 3 22 25" xfId="12340" xr:uid="{00000000-0005-0000-0000-0000D62A0000}"/>
    <cellStyle name="Normal 3 22 3" xfId="2006" xr:uid="{00000000-0005-0000-0000-000083070000}"/>
    <cellStyle name="Normal 3 22 3 2" xfId="12341" xr:uid="{00000000-0005-0000-0000-0000D82A0000}"/>
    <cellStyle name="Normal 3 22 3 3" xfId="12342" xr:uid="{00000000-0005-0000-0000-0000D92A0000}"/>
    <cellStyle name="Normal 3 22 4" xfId="2007" xr:uid="{00000000-0005-0000-0000-000084070000}"/>
    <cellStyle name="Normal 3 22 4 2" xfId="12343" xr:uid="{00000000-0005-0000-0000-0000DB2A0000}"/>
    <cellStyle name="Normal 3 22 4 3" xfId="12344" xr:uid="{00000000-0005-0000-0000-0000DC2A0000}"/>
    <cellStyle name="Normal 3 22 5" xfId="2008" xr:uid="{00000000-0005-0000-0000-000085070000}"/>
    <cellStyle name="Normal 3 22 5 2" xfId="12345" xr:uid="{00000000-0005-0000-0000-0000DE2A0000}"/>
    <cellStyle name="Normal 3 22 5 3" xfId="12346" xr:uid="{00000000-0005-0000-0000-0000DF2A0000}"/>
    <cellStyle name="Normal 3 22 6" xfId="2009" xr:uid="{00000000-0005-0000-0000-000086070000}"/>
    <cellStyle name="Normal 3 22 6 2" xfId="12347" xr:uid="{00000000-0005-0000-0000-0000E12A0000}"/>
    <cellStyle name="Normal 3 22 6 3" xfId="12348" xr:uid="{00000000-0005-0000-0000-0000E22A0000}"/>
    <cellStyle name="Normal 3 22 7" xfId="2010" xr:uid="{00000000-0005-0000-0000-000087070000}"/>
    <cellStyle name="Normal 3 22 7 2" xfId="12349" xr:uid="{00000000-0005-0000-0000-0000E42A0000}"/>
    <cellStyle name="Normal 3 22 7 3" xfId="12350" xr:uid="{00000000-0005-0000-0000-0000E52A0000}"/>
    <cellStyle name="Normal 3 22 8" xfId="2011" xr:uid="{00000000-0005-0000-0000-000088070000}"/>
    <cellStyle name="Normal 3 22 8 2" xfId="12351" xr:uid="{00000000-0005-0000-0000-0000E72A0000}"/>
    <cellStyle name="Normal 3 22 8 3" xfId="12352" xr:uid="{00000000-0005-0000-0000-0000E82A0000}"/>
    <cellStyle name="Normal 3 22 9" xfId="2012" xr:uid="{00000000-0005-0000-0000-000089070000}"/>
    <cellStyle name="Normal 3 22 9 2" xfId="12353" xr:uid="{00000000-0005-0000-0000-0000EA2A0000}"/>
    <cellStyle name="Normal 3 22 9 3" xfId="12354" xr:uid="{00000000-0005-0000-0000-0000EB2A0000}"/>
    <cellStyle name="Normal 3 23" xfId="2013" xr:uid="{00000000-0005-0000-0000-00008A070000}"/>
    <cellStyle name="Normal 3 23 10" xfId="2014" xr:uid="{00000000-0005-0000-0000-00008B070000}"/>
    <cellStyle name="Normal 3 23 10 2" xfId="12355" xr:uid="{00000000-0005-0000-0000-0000EE2A0000}"/>
    <cellStyle name="Normal 3 23 10 3" xfId="12356" xr:uid="{00000000-0005-0000-0000-0000EF2A0000}"/>
    <cellStyle name="Normal 3 23 11" xfId="2015" xr:uid="{00000000-0005-0000-0000-00008C070000}"/>
    <cellStyle name="Normal 3 23 11 2" xfId="12357" xr:uid="{00000000-0005-0000-0000-0000F12A0000}"/>
    <cellStyle name="Normal 3 23 11 3" xfId="12358" xr:uid="{00000000-0005-0000-0000-0000F22A0000}"/>
    <cellStyle name="Normal 3 23 12" xfId="2016" xr:uid="{00000000-0005-0000-0000-00008D070000}"/>
    <cellStyle name="Normal 3 23 12 2" xfId="12359" xr:uid="{00000000-0005-0000-0000-0000F42A0000}"/>
    <cellStyle name="Normal 3 23 12 3" xfId="12360" xr:uid="{00000000-0005-0000-0000-0000F52A0000}"/>
    <cellStyle name="Normal 3 23 13" xfId="2017" xr:uid="{00000000-0005-0000-0000-00008E070000}"/>
    <cellStyle name="Normal 3 23 13 2" xfId="12361" xr:uid="{00000000-0005-0000-0000-0000F72A0000}"/>
    <cellStyle name="Normal 3 23 13 3" xfId="12362" xr:uid="{00000000-0005-0000-0000-0000F82A0000}"/>
    <cellStyle name="Normal 3 23 14" xfId="2018" xr:uid="{00000000-0005-0000-0000-00008F070000}"/>
    <cellStyle name="Normal 3 23 14 2" xfId="12363" xr:uid="{00000000-0005-0000-0000-0000FA2A0000}"/>
    <cellStyle name="Normal 3 23 14 3" xfId="12364" xr:uid="{00000000-0005-0000-0000-0000FB2A0000}"/>
    <cellStyle name="Normal 3 23 15" xfId="2019" xr:uid="{00000000-0005-0000-0000-000090070000}"/>
    <cellStyle name="Normal 3 23 15 2" xfId="12365" xr:uid="{00000000-0005-0000-0000-0000FD2A0000}"/>
    <cellStyle name="Normal 3 23 15 3" xfId="12366" xr:uid="{00000000-0005-0000-0000-0000FE2A0000}"/>
    <cellStyle name="Normal 3 23 16" xfId="2020" xr:uid="{00000000-0005-0000-0000-000091070000}"/>
    <cellStyle name="Normal 3 23 16 2" xfId="12367" xr:uid="{00000000-0005-0000-0000-0000002B0000}"/>
    <cellStyle name="Normal 3 23 16 3" xfId="12368" xr:uid="{00000000-0005-0000-0000-0000012B0000}"/>
    <cellStyle name="Normal 3 23 17" xfId="2021" xr:uid="{00000000-0005-0000-0000-000092070000}"/>
    <cellStyle name="Normal 3 23 17 2" xfId="12369" xr:uid="{00000000-0005-0000-0000-0000032B0000}"/>
    <cellStyle name="Normal 3 23 17 3" xfId="12370" xr:uid="{00000000-0005-0000-0000-0000042B0000}"/>
    <cellStyle name="Normal 3 23 18" xfId="2022" xr:uid="{00000000-0005-0000-0000-000093070000}"/>
    <cellStyle name="Normal 3 23 18 2" xfId="12371" xr:uid="{00000000-0005-0000-0000-0000062B0000}"/>
    <cellStyle name="Normal 3 23 18 3" xfId="12372" xr:uid="{00000000-0005-0000-0000-0000072B0000}"/>
    <cellStyle name="Normal 3 23 19" xfId="2023" xr:uid="{00000000-0005-0000-0000-000094070000}"/>
    <cellStyle name="Normal 3 23 19 2" xfId="12373" xr:uid="{00000000-0005-0000-0000-0000092B0000}"/>
    <cellStyle name="Normal 3 23 19 3" xfId="12374" xr:uid="{00000000-0005-0000-0000-00000A2B0000}"/>
    <cellStyle name="Normal 3 23 2" xfId="2024" xr:uid="{00000000-0005-0000-0000-000095070000}"/>
    <cellStyle name="Normal 3 23 2 2" xfId="12375" xr:uid="{00000000-0005-0000-0000-00000C2B0000}"/>
    <cellStyle name="Normal 3 23 2 3" xfId="12376" xr:uid="{00000000-0005-0000-0000-00000D2B0000}"/>
    <cellStyle name="Normal 3 23 20" xfId="2025" xr:uid="{00000000-0005-0000-0000-000096070000}"/>
    <cellStyle name="Normal 3 23 20 2" xfId="12377" xr:uid="{00000000-0005-0000-0000-00000F2B0000}"/>
    <cellStyle name="Normal 3 23 20 3" xfId="12378" xr:uid="{00000000-0005-0000-0000-0000102B0000}"/>
    <cellStyle name="Normal 3 23 21" xfId="2026" xr:uid="{00000000-0005-0000-0000-000097070000}"/>
    <cellStyle name="Normal 3 23 21 2" xfId="12379" xr:uid="{00000000-0005-0000-0000-0000122B0000}"/>
    <cellStyle name="Normal 3 23 21 3" xfId="12380" xr:uid="{00000000-0005-0000-0000-0000132B0000}"/>
    <cellStyle name="Normal 3 23 22" xfId="2027" xr:uid="{00000000-0005-0000-0000-000098070000}"/>
    <cellStyle name="Normal 3 23 22 2" xfId="12381" xr:uid="{00000000-0005-0000-0000-0000152B0000}"/>
    <cellStyle name="Normal 3 23 22 3" xfId="12382" xr:uid="{00000000-0005-0000-0000-0000162B0000}"/>
    <cellStyle name="Normal 3 23 23" xfId="2028" xr:uid="{00000000-0005-0000-0000-000099070000}"/>
    <cellStyle name="Normal 3 23 23 2" xfId="12383" xr:uid="{00000000-0005-0000-0000-0000182B0000}"/>
    <cellStyle name="Normal 3 23 23 3" xfId="12384" xr:uid="{00000000-0005-0000-0000-0000192B0000}"/>
    <cellStyle name="Normal 3 23 24" xfId="12385" xr:uid="{00000000-0005-0000-0000-00001A2B0000}"/>
    <cellStyle name="Normal 3 23 25" xfId="12386" xr:uid="{00000000-0005-0000-0000-00001B2B0000}"/>
    <cellStyle name="Normal 3 23 3" xfId="2029" xr:uid="{00000000-0005-0000-0000-00009A070000}"/>
    <cellStyle name="Normal 3 23 3 2" xfId="12387" xr:uid="{00000000-0005-0000-0000-00001D2B0000}"/>
    <cellStyle name="Normal 3 23 3 3" xfId="12388" xr:uid="{00000000-0005-0000-0000-00001E2B0000}"/>
    <cellStyle name="Normal 3 23 4" xfId="2030" xr:uid="{00000000-0005-0000-0000-00009B070000}"/>
    <cellStyle name="Normal 3 23 4 2" xfId="12389" xr:uid="{00000000-0005-0000-0000-0000202B0000}"/>
    <cellStyle name="Normal 3 23 4 3" xfId="12390" xr:uid="{00000000-0005-0000-0000-0000212B0000}"/>
    <cellStyle name="Normal 3 23 5" xfId="2031" xr:uid="{00000000-0005-0000-0000-00009C070000}"/>
    <cellStyle name="Normal 3 23 5 2" xfId="12391" xr:uid="{00000000-0005-0000-0000-0000232B0000}"/>
    <cellStyle name="Normal 3 23 5 3" xfId="12392" xr:uid="{00000000-0005-0000-0000-0000242B0000}"/>
    <cellStyle name="Normal 3 23 6" xfId="2032" xr:uid="{00000000-0005-0000-0000-00009D070000}"/>
    <cellStyle name="Normal 3 23 6 2" xfId="12393" xr:uid="{00000000-0005-0000-0000-0000262B0000}"/>
    <cellStyle name="Normal 3 23 6 3" xfId="12394" xr:uid="{00000000-0005-0000-0000-0000272B0000}"/>
    <cellStyle name="Normal 3 23 7" xfId="2033" xr:uid="{00000000-0005-0000-0000-00009E070000}"/>
    <cellStyle name="Normal 3 23 7 2" xfId="12395" xr:uid="{00000000-0005-0000-0000-0000292B0000}"/>
    <cellStyle name="Normal 3 23 7 3" xfId="12396" xr:uid="{00000000-0005-0000-0000-00002A2B0000}"/>
    <cellStyle name="Normal 3 23 8" xfId="2034" xr:uid="{00000000-0005-0000-0000-00009F070000}"/>
    <cellStyle name="Normal 3 23 8 2" xfId="12397" xr:uid="{00000000-0005-0000-0000-00002C2B0000}"/>
    <cellStyle name="Normal 3 23 8 3" xfId="12398" xr:uid="{00000000-0005-0000-0000-00002D2B0000}"/>
    <cellStyle name="Normal 3 23 9" xfId="2035" xr:uid="{00000000-0005-0000-0000-0000A0070000}"/>
    <cellStyle name="Normal 3 23 9 2" xfId="12399" xr:uid="{00000000-0005-0000-0000-00002F2B0000}"/>
    <cellStyle name="Normal 3 23 9 3" xfId="12400" xr:uid="{00000000-0005-0000-0000-0000302B0000}"/>
    <cellStyle name="Normal 3 24" xfId="2036" xr:uid="{00000000-0005-0000-0000-0000A1070000}"/>
    <cellStyle name="Normal 3 24 10" xfId="2037" xr:uid="{00000000-0005-0000-0000-0000A2070000}"/>
    <cellStyle name="Normal 3 24 10 2" xfId="12401" xr:uid="{00000000-0005-0000-0000-0000332B0000}"/>
    <cellStyle name="Normal 3 24 10 3" xfId="12402" xr:uid="{00000000-0005-0000-0000-0000342B0000}"/>
    <cellStyle name="Normal 3 24 11" xfId="2038" xr:uid="{00000000-0005-0000-0000-0000A3070000}"/>
    <cellStyle name="Normal 3 24 11 2" xfId="12403" xr:uid="{00000000-0005-0000-0000-0000362B0000}"/>
    <cellStyle name="Normal 3 24 11 3" xfId="12404" xr:uid="{00000000-0005-0000-0000-0000372B0000}"/>
    <cellStyle name="Normal 3 24 12" xfId="2039" xr:uid="{00000000-0005-0000-0000-0000A4070000}"/>
    <cellStyle name="Normal 3 24 12 2" xfId="12405" xr:uid="{00000000-0005-0000-0000-0000392B0000}"/>
    <cellStyle name="Normal 3 24 12 3" xfId="12406" xr:uid="{00000000-0005-0000-0000-00003A2B0000}"/>
    <cellStyle name="Normal 3 24 13" xfId="2040" xr:uid="{00000000-0005-0000-0000-0000A5070000}"/>
    <cellStyle name="Normal 3 24 13 2" xfId="12407" xr:uid="{00000000-0005-0000-0000-00003C2B0000}"/>
    <cellStyle name="Normal 3 24 13 3" xfId="12408" xr:uid="{00000000-0005-0000-0000-00003D2B0000}"/>
    <cellStyle name="Normal 3 24 14" xfId="2041" xr:uid="{00000000-0005-0000-0000-0000A6070000}"/>
    <cellStyle name="Normal 3 24 14 2" xfId="12409" xr:uid="{00000000-0005-0000-0000-00003F2B0000}"/>
    <cellStyle name="Normal 3 24 14 3" xfId="12410" xr:uid="{00000000-0005-0000-0000-0000402B0000}"/>
    <cellStyle name="Normal 3 24 15" xfId="2042" xr:uid="{00000000-0005-0000-0000-0000A7070000}"/>
    <cellStyle name="Normal 3 24 15 2" xfId="12411" xr:uid="{00000000-0005-0000-0000-0000422B0000}"/>
    <cellStyle name="Normal 3 24 15 3" xfId="12412" xr:uid="{00000000-0005-0000-0000-0000432B0000}"/>
    <cellStyle name="Normal 3 24 16" xfId="2043" xr:uid="{00000000-0005-0000-0000-0000A8070000}"/>
    <cellStyle name="Normal 3 24 16 2" xfId="12413" xr:uid="{00000000-0005-0000-0000-0000452B0000}"/>
    <cellStyle name="Normal 3 24 16 3" xfId="12414" xr:uid="{00000000-0005-0000-0000-0000462B0000}"/>
    <cellStyle name="Normal 3 24 17" xfId="2044" xr:uid="{00000000-0005-0000-0000-0000A9070000}"/>
    <cellStyle name="Normal 3 24 17 2" xfId="12415" xr:uid="{00000000-0005-0000-0000-0000482B0000}"/>
    <cellStyle name="Normal 3 24 17 3" xfId="12416" xr:uid="{00000000-0005-0000-0000-0000492B0000}"/>
    <cellStyle name="Normal 3 24 18" xfId="2045" xr:uid="{00000000-0005-0000-0000-0000AA070000}"/>
    <cellStyle name="Normal 3 24 18 2" xfId="12417" xr:uid="{00000000-0005-0000-0000-00004B2B0000}"/>
    <cellStyle name="Normal 3 24 18 3" xfId="12418" xr:uid="{00000000-0005-0000-0000-00004C2B0000}"/>
    <cellStyle name="Normal 3 24 19" xfId="2046" xr:uid="{00000000-0005-0000-0000-0000AB070000}"/>
    <cellStyle name="Normal 3 24 19 2" xfId="12419" xr:uid="{00000000-0005-0000-0000-00004E2B0000}"/>
    <cellStyle name="Normal 3 24 19 3" xfId="12420" xr:uid="{00000000-0005-0000-0000-00004F2B0000}"/>
    <cellStyle name="Normal 3 24 2" xfId="2047" xr:uid="{00000000-0005-0000-0000-0000AC070000}"/>
    <cellStyle name="Normal 3 24 2 2" xfId="12421" xr:uid="{00000000-0005-0000-0000-0000512B0000}"/>
    <cellStyle name="Normal 3 24 2 3" xfId="12422" xr:uid="{00000000-0005-0000-0000-0000522B0000}"/>
    <cellStyle name="Normal 3 24 20" xfId="2048" xr:uid="{00000000-0005-0000-0000-0000AD070000}"/>
    <cellStyle name="Normal 3 24 20 2" xfId="12423" xr:uid="{00000000-0005-0000-0000-0000542B0000}"/>
    <cellStyle name="Normal 3 24 20 3" xfId="12424" xr:uid="{00000000-0005-0000-0000-0000552B0000}"/>
    <cellStyle name="Normal 3 24 21" xfId="2049" xr:uid="{00000000-0005-0000-0000-0000AE070000}"/>
    <cellStyle name="Normal 3 24 21 2" xfId="12425" xr:uid="{00000000-0005-0000-0000-0000572B0000}"/>
    <cellStyle name="Normal 3 24 21 3" xfId="12426" xr:uid="{00000000-0005-0000-0000-0000582B0000}"/>
    <cellStyle name="Normal 3 24 22" xfId="2050" xr:uid="{00000000-0005-0000-0000-0000AF070000}"/>
    <cellStyle name="Normal 3 24 22 2" xfId="12427" xr:uid="{00000000-0005-0000-0000-00005A2B0000}"/>
    <cellStyle name="Normal 3 24 22 3" xfId="12428" xr:uid="{00000000-0005-0000-0000-00005B2B0000}"/>
    <cellStyle name="Normal 3 24 23" xfId="2051" xr:uid="{00000000-0005-0000-0000-0000B0070000}"/>
    <cellStyle name="Normal 3 24 23 2" xfId="12429" xr:uid="{00000000-0005-0000-0000-00005D2B0000}"/>
    <cellStyle name="Normal 3 24 23 3" xfId="12430" xr:uid="{00000000-0005-0000-0000-00005E2B0000}"/>
    <cellStyle name="Normal 3 24 24" xfId="12431" xr:uid="{00000000-0005-0000-0000-00005F2B0000}"/>
    <cellStyle name="Normal 3 24 25" xfId="12432" xr:uid="{00000000-0005-0000-0000-0000602B0000}"/>
    <cellStyle name="Normal 3 24 3" xfId="2052" xr:uid="{00000000-0005-0000-0000-0000B1070000}"/>
    <cellStyle name="Normal 3 24 3 2" xfId="12433" xr:uid="{00000000-0005-0000-0000-0000622B0000}"/>
    <cellStyle name="Normal 3 24 3 3" xfId="12434" xr:uid="{00000000-0005-0000-0000-0000632B0000}"/>
    <cellStyle name="Normal 3 24 4" xfId="2053" xr:uid="{00000000-0005-0000-0000-0000B2070000}"/>
    <cellStyle name="Normal 3 24 4 2" xfId="12435" xr:uid="{00000000-0005-0000-0000-0000652B0000}"/>
    <cellStyle name="Normal 3 24 4 3" xfId="12436" xr:uid="{00000000-0005-0000-0000-0000662B0000}"/>
    <cellStyle name="Normal 3 24 5" xfId="2054" xr:uid="{00000000-0005-0000-0000-0000B3070000}"/>
    <cellStyle name="Normal 3 24 5 2" xfId="12437" xr:uid="{00000000-0005-0000-0000-0000682B0000}"/>
    <cellStyle name="Normal 3 24 5 3" xfId="12438" xr:uid="{00000000-0005-0000-0000-0000692B0000}"/>
    <cellStyle name="Normal 3 24 6" xfId="2055" xr:uid="{00000000-0005-0000-0000-0000B4070000}"/>
    <cellStyle name="Normal 3 24 6 2" xfId="12439" xr:uid="{00000000-0005-0000-0000-00006B2B0000}"/>
    <cellStyle name="Normal 3 24 6 3" xfId="12440" xr:uid="{00000000-0005-0000-0000-00006C2B0000}"/>
    <cellStyle name="Normal 3 24 7" xfId="2056" xr:uid="{00000000-0005-0000-0000-0000B5070000}"/>
    <cellStyle name="Normal 3 24 7 2" xfId="12441" xr:uid="{00000000-0005-0000-0000-00006E2B0000}"/>
    <cellStyle name="Normal 3 24 7 3" xfId="12442" xr:uid="{00000000-0005-0000-0000-00006F2B0000}"/>
    <cellStyle name="Normal 3 24 8" xfId="2057" xr:uid="{00000000-0005-0000-0000-0000B6070000}"/>
    <cellStyle name="Normal 3 24 8 2" xfId="12443" xr:uid="{00000000-0005-0000-0000-0000712B0000}"/>
    <cellStyle name="Normal 3 24 8 3" xfId="12444" xr:uid="{00000000-0005-0000-0000-0000722B0000}"/>
    <cellStyle name="Normal 3 24 9" xfId="2058" xr:uid="{00000000-0005-0000-0000-0000B7070000}"/>
    <cellStyle name="Normal 3 24 9 2" xfId="12445" xr:uid="{00000000-0005-0000-0000-0000742B0000}"/>
    <cellStyle name="Normal 3 24 9 3" xfId="12446" xr:uid="{00000000-0005-0000-0000-0000752B0000}"/>
    <cellStyle name="Normal 3 25" xfId="2059" xr:uid="{00000000-0005-0000-0000-0000B8070000}"/>
    <cellStyle name="Normal 3 25 10" xfId="2060" xr:uid="{00000000-0005-0000-0000-0000B9070000}"/>
    <cellStyle name="Normal 3 25 10 2" xfId="12447" xr:uid="{00000000-0005-0000-0000-0000782B0000}"/>
    <cellStyle name="Normal 3 25 10 3" xfId="12448" xr:uid="{00000000-0005-0000-0000-0000792B0000}"/>
    <cellStyle name="Normal 3 25 11" xfId="2061" xr:uid="{00000000-0005-0000-0000-0000BA070000}"/>
    <cellStyle name="Normal 3 25 11 2" xfId="12449" xr:uid="{00000000-0005-0000-0000-00007B2B0000}"/>
    <cellStyle name="Normal 3 25 11 3" xfId="12450" xr:uid="{00000000-0005-0000-0000-00007C2B0000}"/>
    <cellStyle name="Normal 3 25 12" xfId="2062" xr:uid="{00000000-0005-0000-0000-0000BB070000}"/>
    <cellStyle name="Normal 3 25 12 2" xfId="12451" xr:uid="{00000000-0005-0000-0000-00007E2B0000}"/>
    <cellStyle name="Normal 3 25 12 3" xfId="12452" xr:uid="{00000000-0005-0000-0000-00007F2B0000}"/>
    <cellStyle name="Normal 3 25 13" xfId="2063" xr:uid="{00000000-0005-0000-0000-0000BC070000}"/>
    <cellStyle name="Normal 3 25 13 2" xfId="12453" xr:uid="{00000000-0005-0000-0000-0000812B0000}"/>
    <cellStyle name="Normal 3 25 13 3" xfId="12454" xr:uid="{00000000-0005-0000-0000-0000822B0000}"/>
    <cellStyle name="Normal 3 25 14" xfId="2064" xr:uid="{00000000-0005-0000-0000-0000BD070000}"/>
    <cellStyle name="Normal 3 25 14 2" xfId="12455" xr:uid="{00000000-0005-0000-0000-0000842B0000}"/>
    <cellStyle name="Normal 3 25 14 3" xfId="12456" xr:uid="{00000000-0005-0000-0000-0000852B0000}"/>
    <cellStyle name="Normal 3 25 15" xfId="2065" xr:uid="{00000000-0005-0000-0000-0000BE070000}"/>
    <cellStyle name="Normal 3 25 15 2" xfId="12457" xr:uid="{00000000-0005-0000-0000-0000872B0000}"/>
    <cellStyle name="Normal 3 25 15 3" xfId="12458" xr:uid="{00000000-0005-0000-0000-0000882B0000}"/>
    <cellStyle name="Normal 3 25 16" xfId="2066" xr:uid="{00000000-0005-0000-0000-0000BF070000}"/>
    <cellStyle name="Normal 3 25 16 2" xfId="12459" xr:uid="{00000000-0005-0000-0000-00008A2B0000}"/>
    <cellStyle name="Normal 3 25 16 3" xfId="12460" xr:uid="{00000000-0005-0000-0000-00008B2B0000}"/>
    <cellStyle name="Normal 3 25 17" xfId="2067" xr:uid="{00000000-0005-0000-0000-0000C0070000}"/>
    <cellStyle name="Normal 3 25 17 2" xfId="12461" xr:uid="{00000000-0005-0000-0000-00008D2B0000}"/>
    <cellStyle name="Normal 3 25 17 3" xfId="12462" xr:uid="{00000000-0005-0000-0000-00008E2B0000}"/>
    <cellStyle name="Normal 3 25 18" xfId="2068" xr:uid="{00000000-0005-0000-0000-0000C1070000}"/>
    <cellStyle name="Normal 3 25 18 2" xfId="12463" xr:uid="{00000000-0005-0000-0000-0000902B0000}"/>
    <cellStyle name="Normal 3 25 18 3" xfId="12464" xr:uid="{00000000-0005-0000-0000-0000912B0000}"/>
    <cellStyle name="Normal 3 25 19" xfId="2069" xr:uid="{00000000-0005-0000-0000-0000C2070000}"/>
    <cellStyle name="Normal 3 25 19 2" xfId="12465" xr:uid="{00000000-0005-0000-0000-0000932B0000}"/>
    <cellStyle name="Normal 3 25 19 3" xfId="12466" xr:uid="{00000000-0005-0000-0000-0000942B0000}"/>
    <cellStyle name="Normal 3 25 2" xfId="2070" xr:uid="{00000000-0005-0000-0000-0000C3070000}"/>
    <cellStyle name="Normal 3 25 2 2" xfId="12467" xr:uid="{00000000-0005-0000-0000-0000962B0000}"/>
    <cellStyle name="Normal 3 25 2 3" xfId="12468" xr:uid="{00000000-0005-0000-0000-0000972B0000}"/>
    <cellStyle name="Normal 3 25 20" xfId="2071" xr:uid="{00000000-0005-0000-0000-0000C4070000}"/>
    <cellStyle name="Normal 3 25 20 2" xfId="12469" xr:uid="{00000000-0005-0000-0000-0000992B0000}"/>
    <cellStyle name="Normal 3 25 20 3" xfId="12470" xr:uid="{00000000-0005-0000-0000-00009A2B0000}"/>
    <cellStyle name="Normal 3 25 21" xfId="2072" xr:uid="{00000000-0005-0000-0000-0000C5070000}"/>
    <cellStyle name="Normal 3 25 21 2" xfId="12471" xr:uid="{00000000-0005-0000-0000-00009C2B0000}"/>
    <cellStyle name="Normal 3 25 21 3" xfId="12472" xr:uid="{00000000-0005-0000-0000-00009D2B0000}"/>
    <cellStyle name="Normal 3 25 22" xfId="2073" xr:uid="{00000000-0005-0000-0000-0000C6070000}"/>
    <cellStyle name="Normal 3 25 22 2" xfId="12473" xr:uid="{00000000-0005-0000-0000-00009F2B0000}"/>
    <cellStyle name="Normal 3 25 22 3" xfId="12474" xr:uid="{00000000-0005-0000-0000-0000A02B0000}"/>
    <cellStyle name="Normal 3 25 23" xfId="2074" xr:uid="{00000000-0005-0000-0000-0000C7070000}"/>
    <cellStyle name="Normal 3 25 23 2" xfId="12475" xr:uid="{00000000-0005-0000-0000-0000A22B0000}"/>
    <cellStyle name="Normal 3 25 23 3" xfId="12476" xr:uid="{00000000-0005-0000-0000-0000A32B0000}"/>
    <cellStyle name="Normal 3 25 24" xfId="12477" xr:uid="{00000000-0005-0000-0000-0000A42B0000}"/>
    <cellStyle name="Normal 3 25 25" xfId="12478" xr:uid="{00000000-0005-0000-0000-0000A52B0000}"/>
    <cellStyle name="Normal 3 25 3" xfId="2075" xr:uid="{00000000-0005-0000-0000-0000C8070000}"/>
    <cellStyle name="Normal 3 25 3 2" xfId="12479" xr:uid="{00000000-0005-0000-0000-0000A72B0000}"/>
    <cellStyle name="Normal 3 25 3 3" xfId="12480" xr:uid="{00000000-0005-0000-0000-0000A82B0000}"/>
    <cellStyle name="Normal 3 25 4" xfId="2076" xr:uid="{00000000-0005-0000-0000-0000C9070000}"/>
    <cellStyle name="Normal 3 25 4 2" xfId="12481" xr:uid="{00000000-0005-0000-0000-0000AA2B0000}"/>
    <cellStyle name="Normal 3 25 4 3" xfId="12482" xr:uid="{00000000-0005-0000-0000-0000AB2B0000}"/>
    <cellStyle name="Normal 3 25 5" xfId="2077" xr:uid="{00000000-0005-0000-0000-0000CA070000}"/>
    <cellStyle name="Normal 3 25 5 2" xfId="12483" xr:uid="{00000000-0005-0000-0000-0000AD2B0000}"/>
    <cellStyle name="Normal 3 25 5 3" xfId="12484" xr:uid="{00000000-0005-0000-0000-0000AE2B0000}"/>
    <cellStyle name="Normal 3 25 6" xfId="2078" xr:uid="{00000000-0005-0000-0000-0000CB070000}"/>
    <cellStyle name="Normal 3 25 6 2" xfId="12485" xr:uid="{00000000-0005-0000-0000-0000B02B0000}"/>
    <cellStyle name="Normal 3 25 6 3" xfId="12486" xr:uid="{00000000-0005-0000-0000-0000B12B0000}"/>
    <cellStyle name="Normal 3 25 7" xfId="2079" xr:uid="{00000000-0005-0000-0000-0000CC070000}"/>
    <cellStyle name="Normal 3 25 7 2" xfId="12487" xr:uid="{00000000-0005-0000-0000-0000B32B0000}"/>
    <cellStyle name="Normal 3 25 7 3" xfId="12488" xr:uid="{00000000-0005-0000-0000-0000B42B0000}"/>
    <cellStyle name="Normal 3 25 8" xfId="2080" xr:uid="{00000000-0005-0000-0000-0000CD070000}"/>
    <cellStyle name="Normal 3 25 8 2" xfId="12489" xr:uid="{00000000-0005-0000-0000-0000B62B0000}"/>
    <cellStyle name="Normal 3 25 8 3" xfId="12490" xr:uid="{00000000-0005-0000-0000-0000B72B0000}"/>
    <cellStyle name="Normal 3 25 9" xfId="2081" xr:uid="{00000000-0005-0000-0000-0000CE070000}"/>
    <cellStyle name="Normal 3 25 9 2" xfId="12491" xr:uid="{00000000-0005-0000-0000-0000B92B0000}"/>
    <cellStyle name="Normal 3 25 9 3" xfId="12492" xr:uid="{00000000-0005-0000-0000-0000BA2B0000}"/>
    <cellStyle name="Normal 3 26" xfId="2082" xr:uid="{00000000-0005-0000-0000-0000CF070000}"/>
    <cellStyle name="Normal 3 26 10" xfId="2083" xr:uid="{00000000-0005-0000-0000-0000D0070000}"/>
    <cellStyle name="Normal 3 26 10 2" xfId="12493" xr:uid="{00000000-0005-0000-0000-0000BD2B0000}"/>
    <cellStyle name="Normal 3 26 10 3" xfId="12494" xr:uid="{00000000-0005-0000-0000-0000BE2B0000}"/>
    <cellStyle name="Normal 3 26 11" xfId="2084" xr:uid="{00000000-0005-0000-0000-0000D1070000}"/>
    <cellStyle name="Normal 3 26 11 2" xfId="12495" xr:uid="{00000000-0005-0000-0000-0000C02B0000}"/>
    <cellStyle name="Normal 3 26 11 3" xfId="12496" xr:uid="{00000000-0005-0000-0000-0000C12B0000}"/>
    <cellStyle name="Normal 3 26 12" xfId="2085" xr:uid="{00000000-0005-0000-0000-0000D2070000}"/>
    <cellStyle name="Normal 3 26 12 2" xfId="12497" xr:uid="{00000000-0005-0000-0000-0000C32B0000}"/>
    <cellStyle name="Normal 3 26 12 3" xfId="12498" xr:uid="{00000000-0005-0000-0000-0000C42B0000}"/>
    <cellStyle name="Normal 3 26 13" xfId="2086" xr:uid="{00000000-0005-0000-0000-0000D3070000}"/>
    <cellStyle name="Normal 3 26 13 2" xfId="12499" xr:uid="{00000000-0005-0000-0000-0000C62B0000}"/>
    <cellStyle name="Normal 3 26 13 3" xfId="12500" xr:uid="{00000000-0005-0000-0000-0000C72B0000}"/>
    <cellStyle name="Normal 3 26 14" xfId="2087" xr:uid="{00000000-0005-0000-0000-0000D4070000}"/>
    <cellStyle name="Normal 3 26 14 2" xfId="12501" xr:uid="{00000000-0005-0000-0000-0000C92B0000}"/>
    <cellStyle name="Normal 3 26 14 3" xfId="12502" xr:uid="{00000000-0005-0000-0000-0000CA2B0000}"/>
    <cellStyle name="Normal 3 26 15" xfId="2088" xr:uid="{00000000-0005-0000-0000-0000D5070000}"/>
    <cellStyle name="Normal 3 26 15 2" xfId="12503" xr:uid="{00000000-0005-0000-0000-0000CC2B0000}"/>
    <cellStyle name="Normal 3 26 15 3" xfId="12504" xr:uid="{00000000-0005-0000-0000-0000CD2B0000}"/>
    <cellStyle name="Normal 3 26 16" xfId="2089" xr:uid="{00000000-0005-0000-0000-0000D6070000}"/>
    <cellStyle name="Normal 3 26 16 2" xfId="12505" xr:uid="{00000000-0005-0000-0000-0000CF2B0000}"/>
    <cellStyle name="Normal 3 26 16 3" xfId="12506" xr:uid="{00000000-0005-0000-0000-0000D02B0000}"/>
    <cellStyle name="Normal 3 26 17" xfId="2090" xr:uid="{00000000-0005-0000-0000-0000D7070000}"/>
    <cellStyle name="Normal 3 26 17 2" xfId="12507" xr:uid="{00000000-0005-0000-0000-0000D22B0000}"/>
    <cellStyle name="Normal 3 26 17 3" xfId="12508" xr:uid="{00000000-0005-0000-0000-0000D32B0000}"/>
    <cellStyle name="Normal 3 26 18" xfId="2091" xr:uid="{00000000-0005-0000-0000-0000D8070000}"/>
    <cellStyle name="Normal 3 26 18 2" xfId="12509" xr:uid="{00000000-0005-0000-0000-0000D52B0000}"/>
    <cellStyle name="Normal 3 26 18 3" xfId="12510" xr:uid="{00000000-0005-0000-0000-0000D62B0000}"/>
    <cellStyle name="Normal 3 26 19" xfId="2092" xr:uid="{00000000-0005-0000-0000-0000D9070000}"/>
    <cellStyle name="Normal 3 26 19 2" xfId="12511" xr:uid="{00000000-0005-0000-0000-0000D82B0000}"/>
    <cellStyle name="Normal 3 26 19 3" xfId="12512" xr:uid="{00000000-0005-0000-0000-0000D92B0000}"/>
    <cellStyle name="Normal 3 26 2" xfId="2093" xr:uid="{00000000-0005-0000-0000-0000DA070000}"/>
    <cellStyle name="Normal 3 26 2 2" xfId="12513" xr:uid="{00000000-0005-0000-0000-0000DB2B0000}"/>
    <cellStyle name="Normal 3 26 2 3" xfId="12514" xr:uid="{00000000-0005-0000-0000-0000DC2B0000}"/>
    <cellStyle name="Normal 3 26 20" xfId="2094" xr:uid="{00000000-0005-0000-0000-0000DB070000}"/>
    <cellStyle name="Normal 3 26 20 2" xfId="12515" xr:uid="{00000000-0005-0000-0000-0000DE2B0000}"/>
    <cellStyle name="Normal 3 26 20 3" xfId="12516" xr:uid="{00000000-0005-0000-0000-0000DF2B0000}"/>
    <cellStyle name="Normal 3 26 21" xfId="2095" xr:uid="{00000000-0005-0000-0000-0000DC070000}"/>
    <cellStyle name="Normal 3 26 21 2" xfId="12517" xr:uid="{00000000-0005-0000-0000-0000E12B0000}"/>
    <cellStyle name="Normal 3 26 21 3" xfId="12518" xr:uid="{00000000-0005-0000-0000-0000E22B0000}"/>
    <cellStyle name="Normal 3 26 22" xfId="2096" xr:uid="{00000000-0005-0000-0000-0000DD070000}"/>
    <cellStyle name="Normal 3 26 22 2" xfId="12519" xr:uid="{00000000-0005-0000-0000-0000E42B0000}"/>
    <cellStyle name="Normal 3 26 22 3" xfId="12520" xr:uid="{00000000-0005-0000-0000-0000E52B0000}"/>
    <cellStyle name="Normal 3 26 23" xfId="2097" xr:uid="{00000000-0005-0000-0000-0000DE070000}"/>
    <cellStyle name="Normal 3 26 23 2" xfId="12521" xr:uid="{00000000-0005-0000-0000-0000E72B0000}"/>
    <cellStyle name="Normal 3 26 23 3" xfId="12522" xr:uid="{00000000-0005-0000-0000-0000E82B0000}"/>
    <cellStyle name="Normal 3 26 24" xfId="12523" xr:uid="{00000000-0005-0000-0000-0000E92B0000}"/>
    <cellStyle name="Normal 3 26 25" xfId="12524" xr:uid="{00000000-0005-0000-0000-0000EA2B0000}"/>
    <cellStyle name="Normal 3 26 3" xfId="2098" xr:uid="{00000000-0005-0000-0000-0000DF070000}"/>
    <cellStyle name="Normal 3 26 3 2" xfId="12525" xr:uid="{00000000-0005-0000-0000-0000EC2B0000}"/>
    <cellStyle name="Normal 3 26 3 3" xfId="12526" xr:uid="{00000000-0005-0000-0000-0000ED2B0000}"/>
    <cellStyle name="Normal 3 26 4" xfId="2099" xr:uid="{00000000-0005-0000-0000-0000E0070000}"/>
    <cellStyle name="Normal 3 26 4 2" xfId="12527" xr:uid="{00000000-0005-0000-0000-0000EF2B0000}"/>
    <cellStyle name="Normal 3 26 4 3" xfId="12528" xr:uid="{00000000-0005-0000-0000-0000F02B0000}"/>
    <cellStyle name="Normal 3 26 5" xfId="2100" xr:uid="{00000000-0005-0000-0000-0000E1070000}"/>
    <cellStyle name="Normal 3 26 5 2" xfId="12529" xr:uid="{00000000-0005-0000-0000-0000F22B0000}"/>
    <cellStyle name="Normal 3 26 5 3" xfId="12530" xr:uid="{00000000-0005-0000-0000-0000F32B0000}"/>
    <cellStyle name="Normal 3 26 6" xfId="2101" xr:uid="{00000000-0005-0000-0000-0000E2070000}"/>
    <cellStyle name="Normal 3 26 6 2" xfId="12531" xr:uid="{00000000-0005-0000-0000-0000F52B0000}"/>
    <cellStyle name="Normal 3 26 6 3" xfId="12532" xr:uid="{00000000-0005-0000-0000-0000F62B0000}"/>
    <cellStyle name="Normal 3 26 7" xfId="2102" xr:uid="{00000000-0005-0000-0000-0000E3070000}"/>
    <cellStyle name="Normal 3 26 7 2" xfId="12533" xr:uid="{00000000-0005-0000-0000-0000F82B0000}"/>
    <cellStyle name="Normal 3 26 7 3" xfId="12534" xr:uid="{00000000-0005-0000-0000-0000F92B0000}"/>
    <cellStyle name="Normal 3 26 8" xfId="2103" xr:uid="{00000000-0005-0000-0000-0000E4070000}"/>
    <cellStyle name="Normal 3 26 8 2" xfId="12535" xr:uid="{00000000-0005-0000-0000-0000FB2B0000}"/>
    <cellStyle name="Normal 3 26 8 3" xfId="12536" xr:uid="{00000000-0005-0000-0000-0000FC2B0000}"/>
    <cellStyle name="Normal 3 26 9" xfId="2104" xr:uid="{00000000-0005-0000-0000-0000E5070000}"/>
    <cellStyle name="Normal 3 26 9 2" xfId="12537" xr:uid="{00000000-0005-0000-0000-0000FE2B0000}"/>
    <cellStyle name="Normal 3 26 9 3" xfId="12538" xr:uid="{00000000-0005-0000-0000-0000FF2B0000}"/>
    <cellStyle name="Normal 3 27" xfId="2105" xr:uid="{00000000-0005-0000-0000-0000E6070000}"/>
    <cellStyle name="Normal 3 27 10" xfId="2106" xr:uid="{00000000-0005-0000-0000-0000E7070000}"/>
    <cellStyle name="Normal 3 27 10 2" xfId="12539" xr:uid="{00000000-0005-0000-0000-0000022C0000}"/>
    <cellStyle name="Normal 3 27 10 3" xfId="12540" xr:uid="{00000000-0005-0000-0000-0000032C0000}"/>
    <cellStyle name="Normal 3 27 11" xfId="2107" xr:uid="{00000000-0005-0000-0000-0000E8070000}"/>
    <cellStyle name="Normal 3 27 11 2" xfId="12541" xr:uid="{00000000-0005-0000-0000-0000052C0000}"/>
    <cellStyle name="Normal 3 27 11 3" xfId="12542" xr:uid="{00000000-0005-0000-0000-0000062C0000}"/>
    <cellStyle name="Normal 3 27 12" xfId="2108" xr:uid="{00000000-0005-0000-0000-0000E9070000}"/>
    <cellStyle name="Normal 3 27 12 2" xfId="12543" xr:uid="{00000000-0005-0000-0000-0000082C0000}"/>
    <cellStyle name="Normal 3 27 12 3" xfId="12544" xr:uid="{00000000-0005-0000-0000-0000092C0000}"/>
    <cellStyle name="Normal 3 27 13" xfId="2109" xr:uid="{00000000-0005-0000-0000-0000EA070000}"/>
    <cellStyle name="Normal 3 27 13 2" xfId="12545" xr:uid="{00000000-0005-0000-0000-00000B2C0000}"/>
    <cellStyle name="Normal 3 27 13 3" xfId="12546" xr:uid="{00000000-0005-0000-0000-00000C2C0000}"/>
    <cellStyle name="Normal 3 27 14" xfId="2110" xr:uid="{00000000-0005-0000-0000-0000EB070000}"/>
    <cellStyle name="Normal 3 27 14 2" xfId="12547" xr:uid="{00000000-0005-0000-0000-00000E2C0000}"/>
    <cellStyle name="Normal 3 27 14 3" xfId="12548" xr:uid="{00000000-0005-0000-0000-00000F2C0000}"/>
    <cellStyle name="Normal 3 27 15" xfId="2111" xr:uid="{00000000-0005-0000-0000-0000EC070000}"/>
    <cellStyle name="Normal 3 27 15 2" xfId="12549" xr:uid="{00000000-0005-0000-0000-0000112C0000}"/>
    <cellStyle name="Normal 3 27 15 3" xfId="12550" xr:uid="{00000000-0005-0000-0000-0000122C0000}"/>
    <cellStyle name="Normal 3 27 16" xfId="2112" xr:uid="{00000000-0005-0000-0000-0000ED070000}"/>
    <cellStyle name="Normal 3 27 16 2" xfId="12551" xr:uid="{00000000-0005-0000-0000-0000142C0000}"/>
    <cellStyle name="Normal 3 27 16 3" xfId="12552" xr:uid="{00000000-0005-0000-0000-0000152C0000}"/>
    <cellStyle name="Normal 3 27 17" xfId="2113" xr:uid="{00000000-0005-0000-0000-0000EE070000}"/>
    <cellStyle name="Normal 3 27 17 2" xfId="12553" xr:uid="{00000000-0005-0000-0000-0000172C0000}"/>
    <cellStyle name="Normal 3 27 17 3" xfId="12554" xr:uid="{00000000-0005-0000-0000-0000182C0000}"/>
    <cellStyle name="Normal 3 27 18" xfId="2114" xr:uid="{00000000-0005-0000-0000-0000EF070000}"/>
    <cellStyle name="Normal 3 27 18 2" xfId="12555" xr:uid="{00000000-0005-0000-0000-00001A2C0000}"/>
    <cellStyle name="Normal 3 27 18 3" xfId="12556" xr:uid="{00000000-0005-0000-0000-00001B2C0000}"/>
    <cellStyle name="Normal 3 27 19" xfId="2115" xr:uid="{00000000-0005-0000-0000-0000F0070000}"/>
    <cellStyle name="Normal 3 27 19 2" xfId="12557" xr:uid="{00000000-0005-0000-0000-00001D2C0000}"/>
    <cellStyle name="Normal 3 27 19 3" xfId="12558" xr:uid="{00000000-0005-0000-0000-00001E2C0000}"/>
    <cellStyle name="Normal 3 27 2" xfId="2116" xr:uid="{00000000-0005-0000-0000-0000F1070000}"/>
    <cellStyle name="Normal 3 27 2 2" xfId="12559" xr:uid="{00000000-0005-0000-0000-0000202C0000}"/>
    <cellStyle name="Normal 3 27 2 3" xfId="12560" xr:uid="{00000000-0005-0000-0000-0000212C0000}"/>
    <cellStyle name="Normal 3 27 20" xfId="2117" xr:uid="{00000000-0005-0000-0000-0000F2070000}"/>
    <cellStyle name="Normal 3 27 20 2" xfId="12561" xr:uid="{00000000-0005-0000-0000-0000232C0000}"/>
    <cellStyle name="Normal 3 27 20 3" xfId="12562" xr:uid="{00000000-0005-0000-0000-0000242C0000}"/>
    <cellStyle name="Normal 3 27 21" xfId="2118" xr:uid="{00000000-0005-0000-0000-0000F3070000}"/>
    <cellStyle name="Normal 3 27 21 2" xfId="12563" xr:uid="{00000000-0005-0000-0000-0000262C0000}"/>
    <cellStyle name="Normal 3 27 21 3" xfId="12564" xr:uid="{00000000-0005-0000-0000-0000272C0000}"/>
    <cellStyle name="Normal 3 27 22" xfId="2119" xr:uid="{00000000-0005-0000-0000-0000F4070000}"/>
    <cellStyle name="Normal 3 27 22 2" xfId="12565" xr:uid="{00000000-0005-0000-0000-0000292C0000}"/>
    <cellStyle name="Normal 3 27 22 3" xfId="12566" xr:uid="{00000000-0005-0000-0000-00002A2C0000}"/>
    <cellStyle name="Normal 3 27 23" xfId="2120" xr:uid="{00000000-0005-0000-0000-0000F5070000}"/>
    <cellStyle name="Normal 3 27 23 2" xfId="12567" xr:uid="{00000000-0005-0000-0000-00002C2C0000}"/>
    <cellStyle name="Normal 3 27 23 3" xfId="12568" xr:uid="{00000000-0005-0000-0000-00002D2C0000}"/>
    <cellStyle name="Normal 3 27 24" xfId="12569" xr:uid="{00000000-0005-0000-0000-00002E2C0000}"/>
    <cellStyle name="Normal 3 27 25" xfId="12570" xr:uid="{00000000-0005-0000-0000-00002F2C0000}"/>
    <cellStyle name="Normal 3 27 3" xfId="2121" xr:uid="{00000000-0005-0000-0000-0000F6070000}"/>
    <cellStyle name="Normal 3 27 3 2" xfId="12571" xr:uid="{00000000-0005-0000-0000-0000312C0000}"/>
    <cellStyle name="Normal 3 27 3 3" xfId="12572" xr:uid="{00000000-0005-0000-0000-0000322C0000}"/>
    <cellStyle name="Normal 3 27 4" xfId="2122" xr:uid="{00000000-0005-0000-0000-0000F7070000}"/>
    <cellStyle name="Normal 3 27 4 2" xfId="12573" xr:uid="{00000000-0005-0000-0000-0000342C0000}"/>
    <cellStyle name="Normal 3 27 4 3" xfId="12574" xr:uid="{00000000-0005-0000-0000-0000352C0000}"/>
    <cellStyle name="Normal 3 27 5" xfId="2123" xr:uid="{00000000-0005-0000-0000-0000F8070000}"/>
    <cellStyle name="Normal 3 27 5 2" xfId="12575" xr:uid="{00000000-0005-0000-0000-0000372C0000}"/>
    <cellStyle name="Normal 3 27 5 3" xfId="12576" xr:uid="{00000000-0005-0000-0000-0000382C0000}"/>
    <cellStyle name="Normal 3 27 6" xfId="2124" xr:uid="{00000000-0005-0000-0000-0000F9070000}"/>
    <cellStyle name="Normal 3 27 6 2" xfId="12577" xr:uid="{00000000-0005-0000-0000-00003A2C0000}"/>
    <cellStyle name="Normal 3 27 6 3" xfId="12578" xr:uid="{00000000-0005-0000-0000-00003B2C0000}"/>
    <cellStyle name="Normal 3 27 7" xfId="2125" xr:uid="{00000000-0005-0000-0000-0000FA070000}"/>
    <cellStyle name="Normal 3 27 7 2" xfId="12579" xr:uid="{00000000-0005-0000-0000-00003D2C0000}"/>
    <cellStyle name="Normal 3 27 7 3" xfId="12580" xr:uid="{00000000-0005-0000-0000-00003E2C0000}"/>
    <cellStyle name="Normal 3 27 8" xfId="2126" xr:uid="{00000000-0005-0000-0000-0000FB070000}"/>
    <cellStyle name="Normal 3 27 8 2" xfId="12581" xr:uid="{00000000-0005-0000-0000-0000402C0000}"/>
    <cellStyle name="Normal 3 27 8 3" xfId="12582" xr:uid="{00000000-0005-0000-0000-0000412C0000}"/>
    <cellStyle name="Normal 3 27 9" xfId="2127" xr:uid="{00000000-0005-0000-0000-0000FC070000}"/>
    <cellStyle name="Normal 3 27 9 2" xfId="12583" xr:uid="{00000000-0005-0000-0000-0000432C0000}"/>
    <cellStyle name="Normal 3 27 9 3" xfId="12584" xr:uid="{00000000-0005-0000-0000-0000442C0000}"/>
    <cellStyle name="Normal 3 28" xfId="2128" xr:uid="{00000000-0005-0000-0000-0000FD070000}"/>
    <cellStyle name="Normal 3 28 10" xfId="2129" xr:uid="{00000000-0005-0000-0000-0000FE070000}"/>
    <cellStyle name="Normal 3 28 10 2" xfId="12585" xr:uid="{00000000-0005-0000-0000-0000472C0000}"/>
    <cellStyle name="Normal 3 28 10 3" xfId="12586" xr:uid="{00000000-0005-0000-0000-0000482C0000}"/>
    <cellStyle name="Normal 3 28 11" xfId="2130" xr:uid="{00000000-0005-0000-0000-0000FF070000}"/>
    <cellStyle name="Normal 3 28 11 2" xfId="12587" xr:uid="{00000000-0005-0000-0000-00004A2C0000}"/>
    <cellStyle name="Normal 3 28 11 3" xfId="12588" xr:uid="{00000000-0005-0000-0000-00004B2C0000}"/>
    <cellStyle name="Normal 3 28 12" xfId="2131" xr:uid="{00000000-0005-0000-0000-000000080000}"/>
    <cellStyle name="Normal 3 28 12 2" xfId="12589" xr:uid="{00000000-0005-0000-0000-00004D2C0000}"/>
    <cellStyle name="Normal 3 28 12 3" xfId="12590" xr:uid="{00000000-0005-0000-0000-00004E2C0000}"/>
    <cellStyle name="Normal 3 28 13" xfId="2132" xr:uid="{00000000-0005-0000-0000-000001080000}"/>
    <cellStyle name="Normal 3 28 13 2" xfId="12591" xr:uid="{00000000-0005-0000-0000-0000502C0000}"/>
    <cellStyle name="Normal 3 28 13 3" xfId="12592" xr:uid="{00000000-0005-0000-0000-0000512C0000}"/>
    <cellStyle name="Normal 3 28 14" xfId="2133" xr:uid="{00000000-0005-0000-0000-000002080000}"/>
    <cellStyle name="Normal 3 28 14 2" xfId="12593" xr:uid="{00000000-0005-0000-0000-0000532C0000}"/>
    <cellStyle name="Normal 3 28 14 3" xfId="12594" xr:uid="{00000000-0005-0000-0000-0000542C0000}"/>
    <cellStyle name="Normal 3 28 15" xfId="2134" xr:uid="{00000000-0005-0000-0000-000003080000}"/>
    <cellStyle name="Normal 3 28 15 2" xfId="12595" xr:uid="{00000000-0005-0000-0000-0000562C0000}"/>
    <cellStyle name="Normal 3 28 15 3" xfId="12596" xr:uid="{00000000-0005-0000-0000-0000572C0000}"/>
    <cellStyle name="Normal 3 28 16" xfId="2135" xr:uid="{00000000-0005-0000-0000-000004080000}"/>
    <cellStyle name="Normal 3 28 16 2" xfId="12597" xr:uid="{00000000-0005-0000-0000-0000592C0000}"/>
    <cellStyle name="Normal 3 28 16 3" xfId="12598" xr:uid="{00000000-0005-0000-0000-00005A2C0000}"/>
    <cellStyle name="Normal 3 28 17" xfId="2136" xr:uid="{00000000-0005-0000-0000-000005080000}"/>
    <cellStyle name="Normal 3 28 17 2" xfId="12599" xr:uid="{00000000-0005-0000-0000-00005C2C0000}"/>
    <cellStyle name="Normal 3 28 17 3" xfId="12600" xr:uid="{00000000-0005-0000-0000-00005D2C0000}"/>
    <cellStyle name="Normal 3 28 18" xfId="2137" xr:uid="{00000000-0005-0000-0000-000006080000}"/>
    <cellStyle name="Normal 3 28 18 2" xfId="12601" xr:uid="{00000000-0005-0000-0000-00005F2C0000}"/>
    <cellStyle name="Normal 3 28 18 3" xfId="12602" xr:uid="{00000000-0005-0000-0000-0000602C0000}"/>
    <cellStyle name="Normal 3 28 19" xfId="2138" xr:uid="{00000000-0005-0000-0000-000007080000}"/>
    <cellStyle name="Normal 3 28 19 2" xfId="12603" xr:uid="{00000000-0005-0000-0000-0000622C0000}"/>
    <cellStyle name="Normal 3 28 19 3" xfId="12604" xr:uid="{00000000-0005-0000-0000-0000632C0000}"/>
    <cellStyle name="Normal 3 28 2" xfId="2139" xr:uid="{00000000-0005-0000-0000-000008080000}"/>
    <cellStyle name="Normal 3 28 2 2" xfId="12605" xr:uid="{00000000-0005-0000-0000-0000652C0000}"/>
    <cellStyle name="Normal 3 28 2 3" xfId="12606" xr:uid="{00000000-0005-0000-0000-0000662C0000}"/>
    <cellStyle name="Normal 3 28 20" xfId="2140" xr:uid="{00000000-0005-0000-0000-000009080000}"/>
    <cellStyle name="Normal 3 28 20 2" xfId="12607" xr:uid="{00000000-0005-0000-0000-0000682C0000}"/>
    <cellStyle name="Normal 3 28 20 3" xfId="12608" xr:uid="{00000000-0005-0000-0000-0000692C0000}"/>
    <cellStyle name="Normal 3 28 21" xfId="2141" xr:uid="{00000000-0005-0000-0000-00000A080000}"/>
    <cellStyle name="Normal 3 28 21 2" xfId="12609" xr:uid="{00000000-0005-0000-0000-00006B2C0000}"/>
    <cellStyle name="Normal 3 28 21 3" xfId="12610" xr:uid="{00000000-0005-0000-0000-00006C2C0000}"/>
    <cellStyle name="Normal 3 28 22" xfId="2142" xr:uid="{00000000-0005-0000-0000-00000B080000}"/>
    <cellStyle name="Normal 3 28 22 2" xfId="12611" xr:uid="{00000000-0005-0000-0000-00006E2C0000}"/>
    <cellStyle name="Normal 3 28 22 3" xfId="12612" xr:uid="{00000000-0005-0000-0000-00006F2C0000}"/>
    <cellStyle name="Normal 3 28 23" xfId="2143" xr:uid="{00000000-0005-0000-0000-00000C080000}"/>
    <cellStyle name="Normal 3 28 23 2" xfId="12613" xr:uid="{00000000-0005-0000-0000-0000712C0000}"/>
    <cellStyle name="Normal 3 28 23 3" xfId="12614" xr:uid="{00000000-0005-0000-0000-0000722C0000}"/>
    <cellStyle name="Normal 3 28 24" xfId="12615" xr:uid="{00000000-0005-0000-0000-0000732C0000}"/>
    <cellStyle name="Normal 3 28 25" xfId="12616" xr:uid="{00000000-0005-0000-0000-0000742C0000}"/>
    <cellStyle name="Normal 3 28 3" xfId="2144" xr:uid="{00000000-0005-0000-0000-00000D080000}"/>
    <cellStyle name="Normal 3 28 3 2" xfId="12617" xr:uid="{00000000-0005-0000-0000-0000762C0000}"/>
    <cellStyle name="Normal 3 28 3 3" xfId="12618" xr:uid="{00000000-0005-0000-0000-0000772C0000}"/>
    <cellStyle name="Normal 3 28 4" xfId="2145" xr:uid="{00000000-0005-0000-0000-00000E080000}"/>
    <cellStyle name="Normal 3 28 4 2" xfId="12619" xr:uid="{00000000-0005-0000-0000-0000792C0000}"/>
    <cellStyle name="Normal 3 28 4 3" xfId="12620" xr:uid="{00000000-0005-0000-0000-00007A2C0000}"/>
    <cellStyle name="Normal 3 28 5" xfId="2146" xr:uid="{00000000-0005-0000-0000-00000F080000}"/>
    <cellStyle name="Normal 3 28 5 2" xfId="12621" xr:uid="{00000000-0005-0000-0000-00007C2C0000}"/>
    <cellStyle name="Normal 3 28 5 3" xfId="12622" xr:uid="{00000000-0005-0000-0000-00007D2C0000}"/>
    <cellStyle name="Normal 3 28 6" xfId="2147" xr:uid="{00000000-0005-0000-0000-000010080000}"/>
    <cellStyle name="Normal 3 28 6 2" xfId="12623" xr:uid="{00000000-0005-0000-0000-00007F2C0000}"/>
    <cellStyle name="Normal 3 28 6 3" xfId="12624" xr:uid="{00000000-0005-0000-0000-0000802C0000}"/>
    <cellStyle name="Normal 3 28 7" xfId="2148" xr:uid="{00000000-0005-0000-0000-000011080000}"/>
    <cellStyle name="Normal 3 28 7 2" xfId="12625" xr:uid="{00000000-0005-0000-0000-0000822C0000}"/>
    <cellStyle name="Normal 3 28 7 3" xfId="12626" xr:uid="{00000000-0005-0000-0000-0000832C0000}"/>
    <cellStyle name="Normal 3 28 8" xfId="2149" xr:uid="{00000000-0005-0000-0000-000012080000}"/>
    <cellStyle name="Normal 3 28 8 2" xfId="12627" xr:uid="{00000000-0005-0000-0000-0000852C0000}"/>
    <cellStyle name="Normal 3 28 8 3" xfId="12628" xr:uid="{00000000-0005-0000-0000-0000862C0000}"/>
    <cellStyle name="Normal 3 28 9" xfId="2150" xr:uid="{00000000-0005-0000-0000-000013080000}"/>
    <cellStyle name="Normal 3 28 9 2" xfId="12629" xr:uid="{00000000-0005-0000-0000-0000882C0000}"/>
    <cellStyle name="Normal 3 28 9 3" xfId="12630" xr:uid="{00000000-0005-0000-0000-0000892C0000}"/>
    <cellStyle name="Normal 3 29" xfId="2151" xr:uid="{00000000-0005-0000-0000-000014080000}"/>
    <cellStyle name="Normal 3 29 10" xfId="2152" xr:uid="{00000000-0005-0000-0000-000015080000}"/>
    <cellStyle name="Normal 3 29 10 2" xfId="12631" xr:uid="{00000000-0005-0000-0000-00008C2C0000}"/>
    <cellStyle name="Normal 3 29 10 3" xfId="12632" xr:uid="{00000000-0005-0000-0000-00008D2C0000}"/>
    <cellStyle name="Normal 3 29 11" xfId="2153" xr:uid="{00000000-0005-0000-0000-000016080000}"/>
    <cellStyle name="Normal 3 29 11 2" xfId="12633" xr:uid="{00000000-0005-0000-0000-00008F2C0000}"/>
    <cellStyle name="Normal 3 29 11 3" xfId="12634" xr:uid="{00000000-0005-0000-0000-0000902C0000}"/>
    <cellStyle name="Normal 3 29 12" xfId="2154" xr:uid="{00000000-0005-0000-0000-000017080000}"/>
    <cellStyle name="Normal 3 29 12 2" xfId="12635" xr:uid="{00000000-0005-0000-0000-0000922C0000}"/>
    <cellStyle name="Normal 3 29 12 3" xfId="12636" xr:uid="{00000000-0005-0000-0000-0000932C0000}"/>
    <cellStyle name="Normal 3 29 13" xfId="2155" xr:uid="{00000000-0005-0000-0000-000018080000}"/>
    <cellStyle name="Normal 3 29 13 2" xfId="12637" xr:uid="{00000000-0005-0000-0000-0000952C0000}"/>
    <cellStyle name="Normal 3 29 13 3" xfId="12638" xr:uid="{00000000-0005-0000-0000-0000962C0000}"/>
    <cellStyle name="Normal 3 29 14" xfId="2156" xr:uid="{00000000-0005-0000-0000-000019080000}"/>
    <cellStyle name="Normal 3 29 14 2" xfId="12639" xr:uid="{00000000-0005-0000-0000-0000982C0000}"/>
    <cellStyle name="Normal 3 29 14 3" xfId="12640" xr:uid="{00000000-0005-0000-0000-0000992C0000}"/>
    <cellStyle name="Normal 3 29 15" xfId="2157" xr:uid="{00000000-0005-0000-0000-00001A080000}"/>
    <cellStyle name="Normal 3 29 15 2" xfId="12641" xr:uid="{00000000-0005-0000-0000-00009B2C0000}"/>
    <cellStyle name="Normal 3 29 15 3" xfId="12642" xr:uid="{00000000-0005-0000-0000-00009C2C0000}"/>
    <cellStyle name="Normal 3 29 16" xfId="2158" xr:uid="{00000000-0005-0000-0000-00001B080000}"/>
    <cellStyle name="Normal 3 29 16 2" xfId="12643" xr:uid="{00000000-0005-0000-0000-00009E2C0000}"/>
    <cellStyle name="Normal 3 29 16 3" xfId="12644" xr:uid="{00000000-0005-0000-0000-00009F2C0000}"/>
    <cellStyle name="Normal 3 29 17" xfId="2159" xr:uid="{00000000-0005-0000-0000-00001C080000}"/>
    <cellStyle name="Normal 3 29 17 2" xfId="12645" xr:uid="{00000000-0005-0000-0000-0000A12C0000}"/>
    <cellStyle name="Normal 3 29 17 3" xfId="12646" xr:uid="{00000000-0005-0000-0000-0000A22C0000}"/>
    <cellStyle name="Normal 3 29 18" xfId="2160" xr:uid="{00000000-0005-0000-0000-00001D080000}"/>
    <cellStyle name="Normal 3 29 18 2" xfId="12647" xr:uid="{00000000-0005-0000-0000-0000A42C0000}"/>
    <cellStyle name="Normal 3 29 18 3" xfId="12648" xr:uid="{00000000-0005-0000-0000-0000A52C0000}"/>
    <cellStyle name="Normal 3 29 19" xfId="2161" xr:uid="{00000000-0005-0000-0000-00001E080000}"/>
    <cellStyle name="Normal 3 29 19 2" xfId="12649" xr:uid="{00000000-0005-0000-0000-0000A72C0000}"/>
    <cellStyle name="Normal 3 29 19 3" xfId="12650" xr:uid="{00000000-0005-0000-0000-0000A82C0000}"/>
    <cellStyle name="Normal 3 29 2" xfId="2162" xr:uid="{00000000-0005-0000-0000-00001F080000}"/>
    <cellStyle name="Normal 3 29 2 2" xfId="12651" xr:uid="{00000000-0005-0000-0000-0000AA2C0000}"/>
    <cellStyle name="Normal 3 29 2 3" xfId="12652" xr:uid="{00000000-0005-0000-0000-0000AB2C0000}"/>
    <cellStyle name="Normal 3 29 20" xfId="2163" xr:uid="{00000000-0005-0000-0000-000020080000}"/>
    <cellStyle name="Normal 3 29 20 2" xfId="12653" xr:uid="{00000000-0005-0000-0000-0000AD2C0000}"/>
    <cellStyle name="Normal 3 29 20 3" xfId="12654" xr:uid="{00000000-0005-0000-0000-0000AE2C0000}"/>
    <cellStyle name="Normal 3 29 21" xfId="2164" xr:uid="{00000000-0005-0000-0000-000021080000}"/>
    <cellStyle name="Normal 3 29 21 2" xfId="12655" xr:uid="{00000000-0005-0000-0000-0000B02C0000}"/>
    <cellStyle name="Normal 3 29 21 3" xfId="12656" xr:uid="{00000000-0005-0000-0000-0000B12C0000}"/>
    <cellStyle name="Normal 3 29 22" xfId="2165" xr:uid="{00000000-0005-0000-0000-000022080000}"/>
    <cellStyle name="Normal 3 29 22 2" xfId="12657" xr:uid="{00000000-0005-0000-0000-0000B32C0000}"/>
    <cellStyle name="Normal 3 29 22 3" xfId="12658" xr:uid="{00000000-0005-0000-0000-0000B42C0000}"/>
    <cellStyle name="Normal 3 29 23" xfId="2166" xr:uid="{00000000-0005-0000-0000-000023080000}"/>
    <cellStyle name="Normal 3 29 23 2" xfId="12659" xr:uid="{00000000-0005-0000-0000-0000B62C0000}"/>
    <cellStyle name="Normal 3 29 23 3" xfId="12660" xr:uid="{00000000-0005-0000-0000-0000B72C0000}"/>
    <cellStyle name="Normal 3 29 24" xfId="12661" xr:uid="{00000000-0005-0000-0000-0000B82C0000}"/>
    <cellStyle name="Normal 3 29 25" xfId="12662" xr:uid="{00000000-0005-0000-0000-0000B92C0000}"/>
    <cellStyle name="Normal 3 29 3" xfId="2167" xr:uid="{00000000-0005-0000-0000-000024080000}"/>
    <cellStyle name="Normal 3 29 3 2" xfId="12663" xr:uid="{00000000-0005-0000-0000-0000BB2C0000}"/>
    <cellStyle name="Normal 3 29 3 3" xfId="12664" xr:uid="{00000000-0005-0000-0000-0000BC2C0000}"/>
    <cellStyle name="Normal 3 29 4" xfId="2168" xr:uid="{00000000-0005-0000-0000-000025080000}"/>
    <cellStyle name="Normal 3 29 4 2" xfId="12665" xr:uid="{00000000-0005-0000-0000-0000BE2C0000}"/>
    <cellStyle name="Normal 3 29 4 3" xfId="12666" xr:uid="{00000000-0005-0000-0000-0000BF2C0000}"/>
    <cellStyle name="Normal 3 29 5" xfId="2169" xr:uid="{00000000-0005-0000-0000-000026080000}"/>
    <cellStyle name="Normal 3 29 5 2" xfId="12667" xr:uid="{00000000-0005-0000-0000-0000C12C0000}"/>
    <cellStyle name="Normal 3 29 5 3" xfId="12668" xr:uid="{00000000-0005-0000-0000-0000C22C0000}"/>
    <cellStyle name="Normal 3 29 6" xfId="2170" xr:uid="{00000000-0005-0000-0000-000027080000}"/>
    <cellStyle name="Normal 3 29 6 2" xfId="12669" xr:uid="{00000000-0005-0000-0000-0000C42C0000}"/>
    <cellStyle name="Normal 3 29 6 3" xfId="12670" xr:uid="{00000000-0005-0000-0000-0000C52C0000}"/>
    <cellStyle name="Normal 3 29 7" xfId="2171" xr:uid="{00000000-0005-0000-0000-000028080000}"/>
    <cellStyle name="Normal 3 29 7 2" xfId="12671" xr:uid="{00000000-0005-0000-0000-0000C72C0000}"/>
    <cellStyle name="Normal 3 29 7 3" xfId="12672" xr:uid="{00000000-0005-0000-0000-0000C82C0000}"/>
    <cellStyle name="Normal 3 29 8" xfId="2172" xr:uid="{00000000-0005-0000-0000-000029080000}"/>
    <cellStyle name="Normal 3 29 8 2" xfId="12673" xr:uid="{00000000-0005-0000-0000-0000CA2C0000}"/>
    <cellStyle name="Normal 3 29 8 3" xfId="12674" xr:uid="{00000000-0005-0000-0000-0000CB2C0000}"/>
    <cellStyle name="Normal 3 29 9" xfId="2173" xr:uid="{00000000-0005-0000-0000-00002A080000}"/>
    <cellStyle name="Normal 3 29 9 2" xfId="12675" xr:uid="{00000000-0005-0000-0000-0000CD2C0000}"/>
    <cellStyle name="Normal 3 29 9 3" xfId="12676" xr:uid="{00000000-0005-0000-0000-0000CE2C0000}"/>
    <cellStyle name="Normal 3 3" xfId="2174" xr:uid="{00000000-0005-0000-0000-00002B080000}"/>
    <cellStyle name="Normal 3 3 10" xfId="2175" xr:uid="{00000000-0005-0000-0000-00002C080000}"/>
    <cellStyle name="Normal 3 3 10 2" xfId="12677" xr:uid="{00000000-0005-0000-0000-0000D12C0000}"/>
    <cellStyle name="Normal 3 3 10 3" xfId="12678" xr:uid="{00000000-0005-0000-0000-0000D22C0000}"/>
    <cellStyle name="Normal 3 3 11" xfId="2176" xr:uid="{00000000-0005-0000-0000-00002D080000}"/>
    <cellStyle name="Normal 3 3 11 2" xfId="12679" xr:uid="{00000000-0005-0000-0000-0000D42C0000}"/>
    <cellStyle name="Normal 3 3 11 3" xfId="12680" xr:uid="{00000000-0005-0000-0000-0000D52C0000}"/>
    <cellStyle name="Normal 3 3 12" xfId="2177" xr:uid="{00000000-0005-0000-0000-00002E080000}"/>
    <cellStyle name="Normal 3 3 12 2" xfId="12681" xr:uid="{00000000-0005-0000-0000-0000D72C0000}"/>
    <cellStyle name="Normal 3 3 12 3" xfId="12682" xr:uid="{00000000-0005-0000-0000-0000D82C0000}"/>
    <cellStyle name="Normal 3 3 13" xfId="2178" xr:uid="{00000000-0005-0000-0000-00002F080000}"/>
    <cellStyle name="Normal 3 3 13 2" xfId="12683" xr:uid="{00000000-0005-0000-0000-0000DA2C0000}"/>
    <cellStyle name="Normal 3 3 13 3" xfId="12684" xr:uid="{00000000-0005-0000-0000-0000DB2C0000}"/>
    <cellStyle name="Normal 3 3 14" xfId="2179" xr:uid="{00000000-0005-0000-0000-000030080000}"/>
    <cellStyle name="Normal 3 3 14 2" xfId="12685" xr:uid="{00000000-0005-0000-0000-0000DD2C0000}"/>
    <cellStyle name="Normal 3 3 14 3" xfId="12686" xr:uid="{00000000-0005-0000-0000-0000DE2C0000}"/>
    <cellStyle name="Normal 3 3 15" xfId="2180" xr:uid="{00000000-0005-0000-0000-000031080000}"/>
    <cellStyle name="Normal 3 3 15 2" xfId="12687" xr:uid="{00000000-0005-0000-0000-0000E02C0000}"/>
    <cellStyle name="Normal 3 3 15 3" xfId="12688" xr:uid="{00000000-0005-0000-0000-0000E12C0000}"/>
    <cellStyle name="Normal 3 3 16" xfId="2181" xr:uid="{00000000-0005-0000-0000-000032080000}"/>
    <cellStyle name="Normal 3 3 16 2" xfId="12689" xr:uid="{00000000-0005-0000-0000-0000E32C0000}"/>
    <cellStyle name="Normal 3 3 16 3" xfId="12690" xr:uid="{00000000-0005-0000-0000-0000E42C0000}"/>
    <cellStyle name="Normal 3 3 17" xfId="2182" xr:uid="{00000000-0005-0000-0000-000033080000}"/>
    <cellStyle name="Normal 3 3 17 2" xfId="12691" xr:uid="{00000000-0005-0000-0000-0000E62C0000}"/>
    <cellStyle name="Normal 3 3 17 3" xfId="12692" xr:uid="{00000000-0005-0000-0000-0000E72C0000}"/>
    <cellStyle name="Normal 3 3 18" xfId="2183" xr:uid="{00000000-0005-0000-0000-000034080000}"/>
    <cellStyle name="Normal 3 3 18 2" xfId="12693" xr:uid="{00000000-0005-0000-0000-0000E92C0000}"/>
    <cellStyle name="Normal 3 3 18 3" xfId="12694" xr:uid="{00000000-0005-0000-0000-0000EA2C0000}"/>
    <cellStyle name="Normal 3 3 19" xfId="2184" xr:uid="{00000000-0005-0000-0000-000035080000}"/>
    <cellStyle name="Normal 3 3 19 2" xfId="12695" xr:uid="{00000000-0005-0000-0000-0000EC2C0000}"/>
    <cellStyle name="Normal 3 3 19 3" xfId="12696" xr:uid="{00000000-0005-0000-0000-0000ED2C0000}"/>
    <cellStyle name="Normal 3 3 2" xfId="2185" xr:uid="{00000000-0005-0000-0000-000036080000}"/>
    <cellStyle name="Normal 3 3 2 10" xfId="12697" xr:uid="{00000000-0005-0000-0000-0000EF2C0000}"/>
    <cellStyle name="Normal 3 3 2 10 2" xfId="12698" xr:uid="{00000000-0005-0000-0000-0000F02C0000}"/>
    <cellStyle name="Normal 3 3 2 11" xfId="12699" xr:uid="{00000000-0005-0000-0000-0000F12C0000}"/>
    <cellStyle name="Normal 3 3 2 12" xfId="12700" xr:uid="{00000000-0005-0000-0000-0000F22C0000}"/>
    <cellStyle name="Normal 3 3 2 13" xfId="12701" xr:uid="{00000000-0005-0000-0000-0000F32C0000}"/>
    <cellStyle name="Normal 3 3 2 14" xfId="5361" xr:uid="{00000000-0005-0000-0000-0000EE2C0000}"/>
    <cellStyle name="Normal 3 3 2 2" xfId="12702" xr:uid="{00000000-0005-0000-0000-0000F42C0000}"/>
    <cellStyle name="Normal 3 3 2 2 10" xfId="12703" xr:uid="{00000000-0005-0000-0000-0000F52C0000}"/>
    <cellStyle name="Normal 3 3 2 2 11" xfId="12704" xr:uid="{00000000-0005-0000-0000-0000F62C0000}"/>
    <cellStyle name="Normal 3 3 2 2 2" xfId="12705" xr:uid="{00000000-0005-0000-0000-0000F72C0000}"/>
    <cellStyle name="Normal 3 3 2 2 2 10" xfId="12706" xr:uid="{00000000-0005-0000-0000-0000F82C0000}"/>
    <cellStyle name="Normal 3 3 2 2 2 2" xfId="12707" xr:uid="{00000000-0005-0000-0000-0000F92C0000}"/>
    <cellStyle name="Normal 3 3 2 2 2 2 2" xfId="12708" xr:uid="{00000000-0005-0000-0000-0000FA2C0000}"/>
    <cellStyle name="Normal 3 3 2 2 2 2 2 2" xfId="12709" xr:uid="{00000000-0005-0000-0000-0000FB2C0000}"/>
    <cellStyle name="Normal 3 3 2 2 2 2 2 2 2" xfId="12710" xr:uid="{00000000-0005-0000-0000-0000FC2C0000}"/>
    <cellStyle name="Normal 3 3 2 2 2 2 2 2 2 2" xfId="12711" xr:uid="{00000000-0005-0000-0000-0000FD2C0000}"/>
    <cellStyle name="Normal 3 3 2 2 2 2 2 2 2 3" xfId="12712" xr:uid="{00000000-0005-0000-0000-0000FE2C0000}"/>
    <cellStyle name="Normal 3 3 2 2 2 2 2 2 3" xfId="12713" xr:uid="{00000000-0005-0000-0000-0000FF2C0000}"/>
    <cellStyle name="Normal 3 3 2 2 2 2 2 2 4" xfId="12714" xr:uid="{00000000-0005-0000-0000-0000002D0000}"/>
    <cellStyle name="Normal 3 3 2 2 2 2 2 2 5" xfId="12715" xr:uid="{00000000-0005-0000-0000-0000012D0000}"/>
    <cellStyle name="Normal 3 3 2 2 2 2 2 2 6" xfId="12716" xr:uid="{00000000-0005-0000-0000-0000022D0000}"/>
    <cellStyle name="Normal 3 3 2 2 2 2 2 3" xfId="12717" xr:uid="{00000000-0005-0000-0000-0000032D0000}"/>
    <cellStyle name="Normal 3 3 2 2 2 2 2 3 2" xfId="12718" xr:uid="{00000000-0005-0000-0000-0000042D0000}"/>
    <cellStyle name="Normal 3 3 2 2 2 2 2 3 2 2" xfId="12719" xr:uid="{00000000-0005-0000-0000-0000052D0000}"/>
    <cellStyle name="Normal 3 3 2 2 2 2 2 3 2 3" xfId="12720" xr:uid="{00000000-0005-0000-0000-0000062D0000}"/>
    <cellStyle name="Normal 3 3 2 2 2 2 2 3 3" xfId="12721" xr:uid="{00000000-0005-0000-0000-0000072D0000}"/>
    <cellStyle name="Normal 3 3 2 2 2 2 2 3 3 2" xfId="12722" xr:uid="{00000000-0005-0000-0000-0000082D0000}"/>
    <cellStyle name="Normal 3 3 2 2 2 2 2 3 4" xfId="12723" xr:uid="{00000000-0005-0000-0000-0000092D0000}"/>
    <cellStyle name="Normal 3 3 2 2 2 2 2 4" xfId="12724" xr:uid="{00000000-0005-0000-0000-00000A2D0000}"/>
    <cellStyle name="Normal 3 3 2 2 2 2 2 4 2" xfId="12725" xr:uid="{00000000-0005-0000-0000-00000B2D0000}"/>
    <cellStyle name="Normal 3 3 2 2 2 2 2 4 3" xfId="12726" xr:uid="{00000000-0005-0000-0000-00000C2D0000}"/>
    <cellStyle name="Normal 3 3 2 2 2 2 2 5" xfId="12727" xr:uid="{00000000-0005-0000-0000-00000D2D0000}"/>
    <cellStyle name="Normal 3 3 2 2 2 2 2 6" xfId="12728" xr:uid="{00000000-0005-0000-0000-00000E2D0000}"/>
    <cellStyle name="Normal 3 3 2 2 2 2 2 7" xfId="12729" xr:uid="{00000000-0005-0000-0000-00000F2D0000}"/>
    <cellStyle name="Normal 3 3 2 2 2 2 2 8" xfId="12730" xr:uid="{00000000-0005-0000-0000-0000102D0000}"/>
    <cellStyle name="Normal 3 3 2 2 2 2 3" xfId="12731" xr:uid="{00000000-0005-0000-0000-0000112D0000}"/>
    <cellStyle name="Normal 3 3 2 2 2 2 3 2" xfId="12732" xr:uid="{00000000-0005-0000-0000-0000122D0000}"/>
    <cellStyle name="Normal 3 3 2 2 2 2 3 2 2" xfId="12733" xr:uid="{00000000-0005-0000-0000-0000132D0000}"/>
    <cellStyle name="Normal 3 3 2 2 2 2 3 2 3" xfId="12734" xr:uid="{00000000-0005-0000-0000-0000142D0000}"/>
    <cellStyle name="Normal 3 3 2 2 2 2 3 3" xfId="12735" xr:uid="{00000000-0005-0000-0000-0000152D0000}"/>
    <cellStyle name="Normal 3 3 2 2 2 2 3 4" xfId="12736" xr:uid="{00000000-0005-0000-0000-0000162D0000}"/>
    <cellStyle name="Normal 3 3 2 2 2 2 3 5" xfId="12737" xr:uid="{00000000-0005-0000-0000-0000172D0000}"/>
    <cellStyle name="Normal 3 3 2 2 2 2 3 6" xfId="12738" xr:uid="{00000000-0005-0000-0000-0000182D0000}"/>
    <cellStyle name="Normal 3 3 2 2 2 2 4" xfId="12739" xr:uid="{00000000-0005-0000-0000-0000192D0000}"/>
    <cellStyle name="Normal 3 3 2 2 2 2 4 2" xfId="12740" xr:uid="{00000000-0005-0000-0000-00001A2D0000}"/>
    <cellStyle name="Normal 3 3 2 2 2 2 4 2 2" xfId="12741" xr:uid="{00000000-0005-0000-0000-00001B2D0000}"/>
    <cellStyle name="Normal 3 3 2 2 2 2 4 2 3" xfId="12742" xr:uid="{00000000-0005-0000-0000-00001C2D0000}"/>
    <cellStyle name="Normal 3 3 2 2 2 2 4 3" xfId="12743" xr:uid="{00000000-0005-0000-0000-00001D2D0000}"/>
    <cellStyle name="Normal 3 3 2 2 2 2 4 3 2" xfId="12744" xr:uid="{00000000-0005-0000-0000-00001E2D0000}"/>
    <cellStyle name="Normal 3 3 2 2 2 2 4 4" xfId="12745" xr:uid="{00000000-0005-0000-0000-00001F2D0000}"/>
    <cellStyle name="Normal 3 3 2 2 2 2 5" xfId="12746" xr:uid="{00000000-0005-0000-0000-0000202D0000}"/>
    <cellStyle name="Normal 3 3 2 2 2 2 5 2" xfId="12747" xr:uid="{00000000-0005-0000-0000-0000212D0000}"/>
    <cellStyle name="Normal 3 3 2 2 2 2 5 3" xfId="12748" xr:uid="{00000000-0005-0000-0000-0000222D0000}"/>
    <cellStyle name="Normal 3 3 2 2 2 2 6" xfId="12749" xr:uid="{00000000-0005-0000-0000-0000232D0000}"/>
    <cellStyle name="Normal 3 3 2 2 2 2 7" xfId="12750" xr:uid="{00000000-0005-0000-0000-0000242D0000}"/>
    <cellStyle name="Normal 3 3 2 2 2 2 8" xfId="12751" xr:uid="{00000000-0005-0000-0000-0000252D0000}"/>
    <cellStyle name="Normal 3 3 2 2 2 2 9" xfId="12752" xr:uid="{00000000-0005-0000-0000-0000262D0000}"/>
    <cellStyle name="Normal 3 3 2 2 2 3" xfId="12753" xr:uid="{00000000-0005-0000-0000-0000272D0000}"/>
    <cellStyle name="Normal 3 3 2 2 2 3 2" xfId="12754" xr:uid="{00000000-0005-0000-0000-0000282D0000}"/>
    <cellStyle name="Normal 3 3 2 2 2 3 2 2" xfId="12755" xr:uid="{00000000-0005-0000-0000-0000292D0000}"/>
    <cellStyle name="Normal 3 3 2 2 2 3 2 2 2" xfId="12756" xr:uid="{00000000-0005-0000-0000-00002A2D0000}"/>
    <cellStyle name="Normal 3 3 2 2 2 3 2 2 3" xfId="12757" xr:uid="{00000000-0005-0000-0000-00002B2D0000}"/>
    <cellStyle name="Normal 3 3 2 2 2 3 2 2 4" xfId="12758" xr:uid="{00000000-0005-0000-0000-00002C2D0000}"/>
    <cellStyle name="Normal 3 3 2 2 2 3 2 3" xfId="12759" xr:uid="{00000000-0005-0000-0000-00002D2D0000}"/>
    <cellStyle name="Normal 3 3 2 2 2 3 2 4" xfId="12760" xr:uid="{00000000-0005-0000-0000-00002E2D0000}"/>
    <cellStyle name="Normal 3 3 2 2 2 3 2 5" xfId="12761" xr:uid="{00000000-0005-0000-0000-00002F2D0000}"/>
    <cellStyle name="Normal 3 3 2 2 2 3 2 6" xfId="12762" xr:uid="{00000000-0005-0000-0000-0000302D0000}"/>
    <cellStyle name="Normal 3 3 2 2 2 3 3" xfId="12763" xr:uid="{00000000-0005-0000-0000-0000312D0000}"/>
    <cellStyle name="Normal 3 3 2 2 2 3 3 2" xfId="12764" xr:uid="{00000000-0005-0000-0000-0000322D0000}"/>
    <cellStyle name="Normal 3 3 2 2 2 3 3 2 2" xfId="12765" xr:uid="{00000000-0005-0000-0000-0000332D0000}"/>
    <cellStyle name="Normal 3 3 2 2 2 3 3 2 3" xfId="12766" xr:uid="{00000000-0005-0000-0000-0000342D0000}"/>
    <cellStyle name="Normal 3 3 2 2 2 3 3 3" xfId="12767" xr:uid="{00000000-0005-0000-0000-0000352D0000}"/>
    <cellStyle name="Normal 3 3 2 2 2 3 3 4" xfId="12768" xr:uid="{00000000-0005-0000-0000-0000362D0000}"/>
    <cellStyle name="Normal 3 3 2 2 2 3 3 5" xfId="12769" xr:uid="{00000000-0005-0000-0000-0000372D0000}"/>
    <cellStyle name="Normal 3 3 2 2 2 3 3 6" xfId="12770" xr:uid="{00000000-0005-0000-0000-0000382D0000}"/>
    <cellStyle name="Normal 3 3 2 2 2 3 4" xfId="12771" xr:uid="{00000000-0005-0000-0000-0000392D0000}"/>
    <cellStyle name="Normal 3 3 2 2 2 3 4 2" xfId="12772" xr:uid="{00000000-0005-0000-0000-00003A2D0000}"/>
    <cellStyle name="Normal 3 3 2 2 2 3 4 3" xfId="12773" xr:uid="{00000000-0005-0000-0000-00003B2D0000}"/>
    <cellStyle name="Normal 3 3 2 2 2 3 5" xfId="12774" xr:uid="{00000000-0005-0000-0000-00003C2D0000}"/>
    <cellStyle name="Normal 3 3 2 2 2 3 6" xfId="12775" xr:uid="{00000000-0005-0000-0000-00003D2D0000}"/>
    <cellStyle name="Normal 3 3 2 2 2 3 7" xfId="12776" xr:uid="{00000000-0005-0000-0000-00003E2D0000}"/>
    <cellStyle name="Normal 3 3 2 2 2 3 8" xfId="12777" xr:uid="{00000000-0005-0000-0000-00003F2D0000}"/>
    <cellStyle name="Normal 3 3 2 2 2 4" xfId="12778" xr:uid="{00000000-0005-0000-0000-0000402D0000}"/>
    <cellStyle name="Normal 3 3 2 2 2 4 2" xfId="12779" xr:uid="{00000000-0005-0000-0000-0000412D0000}"/>
    <cellStyle name="Normal 3 3 2 2 2 4 2 2" xfId="12780" xr:uid="{00000000-0005-0000-0000-0000422D0000}"/>
    <cellStyle name="Normal 3 3 2 2 2 4 2 3" xfId="12781" xr:uid="{00000000-0005-0000-0000-0000432D0000}"/>
    <cellStyle name="Normal 3 3 2 2 2 4 2 4" xfId="12782" xr:uid="{00000000-0005-0000-0000-0000442D0000}"/>
    <cellStyle name="Normal 3 3 2 2 2 4 3" xfId="12783" xr:uid="{00000000-0005-0000-0000-0000452D0000}"/>
    <cellStyle name="Normal 3 3 2 2 2 4 4" xfId="12784" xr:uid="{00000000-0005-0000-0000-0000462D0000}"/>
    <cellStyle name="Normal 3 3 2 2 2 4 5" xfId="12785" xr:uid="{00000000-0005-0000-0000-0000472D0000}"/>
    <cellStyle name="Normal 3 3 2 2 2 4 6" xfId="12786" xr:uid="{00000000-0005-0000-0000-0000482D0000}"/>
    <cellStyle name="Normal 3 3 2 2 2 5" xfId="12787" xr:uid="{00000000-0005-0000-0000-0000492D0000}"/>
    <cellStyle name="Normal 3 3 2 2 2 5 2" xfId="12788" xr:uid="{00000000-0005-0000-0000-00004A2D0000}"/>
    <cellStyle name="Normal 3 3 2 2 2 5 2 2" xfId="12789" xr:uid="{00000000-0005-0000-0000-00004B2D0000}"/>
    <cellStyle name="Normal 3 3 2 2 2 5 2 3" xfId="12790" xr:uid="{00000000-0005-0000-0000-00004C2D0000}"/>
    <cellStyle name="Normal 3 3 2 2 2 5 3" xfId="12791" xr:uid="{00000000-0005-0000-0000-00004D2D0000}"/>
    <cellStyle name="Normal 3 3 2 2 2 5 4" xfId="12792" xr:uid="{00000000-0005-0000-0000-00004E2D0000}"/>
    <cellStyle name="Normal 3 3 2 2 2 5 5" xfId="12793" xr:uid="{00000000-0005-0000-0000-00004F2D0000}"/>
    <cellStyle name="Normal 3 3 2 2 2 5 6" xfId="12794" xr:uid="{00000000-0005-0000-0000-0000502D0000}"/>
    <cellStyle name="Normal 3 3 2 2 2 6" xfId="12795" xr:uid="{00000000-0005-0000-0000-0000512D0000}"/>
    <cellStyle name="Normal 3 3 2 2 2 6 2" xfId="12796" xr:uid="{00000000-0005-0000-0000-0000522D0000}"/>
    <cellStyle name="Normal 3 3 2 2 2 6 3" xfId="12797" xr:uid="{00000000-0005-0000-0000-0000532D0000}"/>
    <cellStyle name="Normal 3 3 2 2 2 7" xfId="12798" xr:uid="{00000000-0005-0000-0000-0000542D0000}"/>
    <cellStyle name="Normal 3 3 2 2 2 8" xfId="12799" xr:uid="{00000000-0005-0000-0000-0000552D0000}"/>
    <cellStyle name="Normal 3 3 2 2 2 9" xfId="12800" xr:uid="{00000000-0005-0000-0000-0000562D0000}"/>
    <cellStyle name="Normal 3 3 2 2 3" xfId="12801" xr:uid="{00000000-0005-0000-0000-0000572D0000}"/>
    <cellStyle name="Normal 3 3 2 2 3 2" xfId="12802" xr:uid="{00000000-0005-0000-0000-0000582D0000}"/>
    <cellStyle name="Normal 3 3 2 2 3 2 2" xfId="12803" xr:uid="{00000000-0005-0000-0000-0000592D0000}"/>
    <cellStyle name="Normal 3 3 2 2 3 2 2 2" xfId="12804" xr:uid="{00000000-0005-0000-0000-00005A2D0000}"/>
    <cellStyle name="Normal 3 3 2 2 3 2 2 2 2" xfId="12805" xr:uid="{00000000-0005-0000-0000-00005B2D0000}"/>
    <cellStyle name="Normal 3 3 2 2 3 2 2 2 3" xfId="12806" xr:uid="{00000000-0005-0000-0000-00005C2D0000}"/>
    <cellStyle name="Normal 3 3 2 2 3 2 2 3" xfId="12807" xr:uid="{00000000-0005-0000-0000-00005D2D0000}"/>
    <cellStyle name="Normal 3 3 2 2 3 2 2 4" xfId="12808" xr:uid="{00000000-0005-0000-0000-00005E2D0000}"/>
    <cellStyle name="Normal 3 3 2 2 3 2 2 5" xfId="12809" xr:uid="{00000000-0005-0000-0000-00005F2D0000}"/>
    <cellStyle name="Normal 3 3 2 2 3 2 2 6" xfId="12810" xr:uid="{00000000-0005-0000-0000-0000602D0000}"/>
    <cellStyle name="Normal 3 3 2 2 3 2 3" xfId="12811" xr:uid="{00000000-0005-0000-0000-0000612D0000}"/>
    <cellStyle name="Normal 3 3 2 2 3 2 3 2" xfId="12812" xr:uid="{00000000-0005-0000-0000-0000622D0000}"/>
    <cellStyle name="Normal 3 3 2 2 3 2 3 2 2" xfId="12813" xr:uid="{00000000-0005-0000-0000-0000632D0000}"/>
    <cellStyle name="Normal 3 3 2 2 3 2 3 2 3" xfId="12814" xr:uid="{00000000-0005-0000-0000-0000642D0000}"/>
    <cellStyle name="Normal 3 3 2 2 3 2 3 3" xfId="12815" xr:uid="{00000000-0005-0000-0000-0000652D0000}"/>
    <cellStyle name="Normal 3 3 2 2 3 2 3 3 2" xfId="12816" xr:uid="{00000000-0005-0000-0000-0000662D0000}"/>
    <cellStyle name="Normal 3 3 2 2 3 2 3 4" xfId="12817" xr:uid="{00000000-0005-0000-0000-0000672D0000}"/>
    <cellStyle name="Normal 3 3 2 2 3 2 4" xfId="12818" xr:uid="{00000000-0005-0000-0000-0000682D0000}"/>
    <cellStyle name="Normal 3 3 2 2 3 2 4 2" xfId="12819" xr:uid="{00000000-0005-0000-0000-0000692D0000}"/>
    <cellStyle name="Normal 3 3 2 2 3 2 4 3" xfId="12820" xr:uid="{00000000-0005-0000-0000-00006A2D0000}"/>
    <cellStyle name="Normal 3 3 2 2 3 2 5" xfId="12821" xr:uid="{00000000-0005-0000-0000-00006B2D0000}"/>
    <cellStyle name="Normal 3 3 2 2 3 2 6" xfId="12822" xr:uid="{00000000-0005-0000-0000-00006C2D0000}"/>
    <cellStyle name="Normal 3 3 2 2 3 2 7" xfId="12823" xr:uid="{00000000-0005-0000-0000-00006D2D0000}"/>
    <cellStyle name="Normal 3 3 2 2 3 2 8" xfId="12824" xr:uid="{00000000-0005-0000-0000-00006E2D0000}"/>
    <cellStyle name="Normal 3 3 2 2 3 3" xfId="12825" xr:uid="{00000000-0005-0000-0000-00006F2D0000}"/>
    <cellStyle name="Normal 3 3 2 2 3 3 2" xfId="12826" xr:uid="{00000000-0005-0000-0000-0000702D0000}"/>
    <cellStyle name="Normal 3 3 2 2 3 3 2 2" xfId="12827" xr:uid="{00000000-0005-0000-0000-0000712D0000}"/>
    <cellStyle name="Normal 3 3 2 2 3 3 2 3" xfId="12828" xr:uid="{00000000-0005-0000-0000-0000722D0000}"/>
    <cellStyle name="Normal 3 3 2 2 3 3 3" xfId="12829" xr:uid="{00000000-0005-0000-0000-0000732D0000}"/>
    <cellStyle name="Normal 3 3 2 2 3 3 4" xfId="12830" xr:uid="{00000000-0005-0000-0000-0000742D0000}"/>
    <cellStyle name="Normal 3 3 2 2 3 3 5" xfId="12831" xr:uid="{00000000-0005-0000-0000-0000752D0000}"/>
    <cellStyle name="Normal 3 3 2 2 3 3 6" xfId="12832" xr:uid="{00000000-0005-0000-0000-0000762D0000}"/>
    <cellStyle name="Normal 3 3 2 2 3 4" xfId="12833" xr:uid="{00000000-0005-0000-0000-0000772D0000}"/>
    <cellStyle name="Normal 3 3 2 2 3 4 2" xfId="12834" xr:uid="{00000000-0005-0000-0000-0000782D0000}"/>
    <cellStyle name="Normal 3 3 2 2 3 4 2 2" xfId="12835" xr:uid="{00000000-0005-0000-0000-0000792D0000}"/>
    <cellStyle name="Normal 3 3 2 2 3 4 2 3" xfId="12836" xr:uid="{00000000-0005-0000-0000-00007A2D0000}"/>
    <cellStyle name="Normal 3 3 2 2 3 4 3" xfId="12837" xr:uid="{00000000-0005-0000-0000-00007B2D0000}"/>
    <cellStyle name="Normal 3 3 2 2 3 4 3 2" xfId="12838" xr:uid="{00000000-0005-0000-0000-00007C2D0000}"/>
    <cellStyle name="Normal 3 3 2 2 3 4 4" xfId="12839" xr:uid="{00000000-0005-0000-0000-00007D2D0000}"/>
    <cellStyle name="Normal 3 3 2 2 3 5" xfId="12840" xr:uid="{00000000-0005-0000-0000-00007E2D0000}"/>
    <cellStyle name="Normal 3 3 2 2 3 5 2" xfId="12841" xr:uid="{00000000-0005-0000-0000-00007F2D0000}"/>
    <cellStyle name="Normal 3 3 2 2 3 5 3" xfId="12842" xr:uid="{00000000-0005-0000-0000-0000802D0000}"/>
    <cellStyle name="Normal 3 3 2 2 3 6" xfId="12843" xr:uid="{00000000-0005-0000-0000-0000812D0000}"/>
    <cellStyle name="Normal 3 3 2 2 3 7" xfId="12844" xr:uid="{00000000-0005-0000-0000-0000822D0000}"/>
    <cellStyle name="Normal 3 3 2 2 3 8" xfId="12845" xr:uid="{00000000-0005-0000-0000-0000832D0000}"/>
    <cellStyle name="Normal 3 3 2 2 3 9" xfId="12846" xr:uid="{00000000-0005-0000-0000-0000842D0000}"/>
    <cellStyle name="Normal 3 3 2 2 4" xfId="12847" xr:uid="{00000000-0005-0000-0000-0000852D0000}"/>
    <cellStyle name="Normal 3 3 2 2 4 2" xfId="12848" xr:uid="{00000000-0005-0000-0000-0000862D0000}"/>
    <cellStyle name="Normal 3 3 2 2 4 2 2" xfId="12849" xr:uid="{00000000-0005-0000-0000-0000872D0000}"/>
    <cellStyle name="Normal 3 3 2 2 4 2 2 2" xfId="12850" xr:uid="{00000000-0005-0000-0000-0000882D0000}"/>
    <cellStyle name="Normal 3 3 2 2 4 2 2 3" xfId="12851" xr:uid="{00000000-0005-0000-0000-0000892D0000}"/>
    <cellStyle name="Normal 3 3 2 2 4 2 2 4" xfId="12852" xr:uid="{00000000-0005-0000-0000-00008A2D0000}"/>
    <cellStyle name="Normal 3 3 2 2 4 2 3" xfId="12853" xr:uid="{00000000-0005-0000-0000-00008B2D0000}"/>
    <cellStyle name="Normal 3 3 2 2 4 2 4" xfId="12854" xr:uid="{00000000-0005-0000-0000-00008C2D0000}"/>
    <cellStyle name="Normal 3 3 2 2 4 2 5" xfId="12855" xr:uid="{00000000-0005-0000-0000-00008D2D0000}"/>
    <cellStyle name="Normal 3 3 2 2 4 2 6" xfId="12856" xr:uid="{00000000-0005-0000-0000-00008E2D0000}"/>
    <cellStyle name="Normal 3 3 2 2 4 3" xfId="12857" xr:uid="{00000000-0005-0000-0000-00008F2D0000}"/>
    <cellStyle name="Normal 3 3 2 2 4 3 2" xfId="12858" xr:uid="{00000000-0005-0000-0000-0000902D0000}"/>
    <cellStyle name="Normal 3 3 2 2 4 3 2 2" xfId="12859" xr:uid="{00000000-0005-0000-0000-0000912D0000}"/>
    <cellStyle name="Normal 3 3 2 2 4 3 2 3" xfId="12860" xr:uid="{00000000-0005-0000-0000-0000922D0000}"/>
    <cellStyle name="Normal 3 3 2 2 4 3 3" xfId="12861" xr:uid="{00000000-0005-0000-0000-0000932D0000}"/>
    <cellStyle name="Normal 3 3 2 2 4 3 4" xfId="12862" xr:uid="{00000000-0005-0000-0000-0000942D0000}"/>
    <cellStyle name="Normal 3 3 2 2 4 3 5" xfId="12863" xr:uid="{00000000-0005-0000-0000-0000952D0000}"/>
    <cellStyle name="Normal 3 3 2 2 4 3 6" xfId="12864" xr:uid="{00000000-0005-0000-0000-0000962D0000}"/>
    <cellStyle name="Normal 3 3 2 2 4 4" xfId="12865" xr:uid="{00000000-0005-0000-0000-0000972D0000}"/>
    <cellStyle name="Normal 3 3 2 2 4 4 2" xfId="12866" xr:uid="{00000000-0005-0000-0000-0000982D0000}"/>
    <cellStyle name="Normal 3 3 2 2 4 4 3" xfId="12867" xr:uid="{00000000-0005-0000-0000-0000992D0000}"/>
    <cellStyle name="Normal 3 3 2 2 4 5" xfId="12868" xr:uid="{00000000-0005-0000-0000-00009A2D0000}"/>
    <cellStyle name="Normal 3 3 2 2 4 6" xfId="12869" xr:uid="{00000000-0005-0000-0000-00009B2D0000}"/>
    <cellStyle name="Normal 3 3 2 2 4 7" xfId="12870" xr:uid="{00000000-0005-0000-0000-00009C2D0000}"/>
    <cellStyle name="Normal 3 3 2 2 4 8" xfId="12871" xr:uid="{00000000-0005-0000-0000-00009D2D0000}"/>
    <cellStyle name="Normal 3 3 2 2 5" xfId="12872" xr:uid="{00000000-0005-0000-0000-00009E2D0000}"/>
    <cellStyle name="Normal 3 3 2 2 5 2" xfId="12873" xr:uid="{00000000-0005-0000-0000-00009F2D0000}"/>
    <cellStyle name="Normal 3 3 2 2 5 2 2" xfId="12874" xr:uid="{00000000-0005-0000-0000-0000A02D0000}"/>
    <cellStyle name="Normal 3 3 2 2 5 2 3" xfId="12875" xr:uid="{00000000-0005-0000-0000-0000A12D0000}"/>
    <cellStyle name="Normal 3 3 2 2 5 2 4" xfId="12876" xr:uid="{00000000-0005-0000-0000-0000A22D0000}"/>
    <cellStyle name="Normal 3 3 2 2 5 3" xfId="12877" xr:uid="{00000000-0005-0000-0000-0000A32D0000}"/>
    <cellStyle name="Normal 3 3 2 2 5 4" xfId="12878" xr:uid="{00000000-0005-0000-0000-0000A42D0000}"/>
    <cellStyle name="Normal 3 3 2 2 5 5" xfId="12879" xr:uid="{00000000-0005-0000-0000-0000A52D0000}"/>
    <cellStyle name="Normal 3 3 2 2 5 6" xfId="12880" xr:uid="{00000000-0005-0000-0000-0000A62D0000}"/>
    <cellStyle name="Normal 3 3 2 2 6" xfId="12881" xr:uid="{00000000-0005-0000-0000-0000A72D0000}"/>
    <cellStyle name="Normal 3 3 2 2 6 2" xfId="12882" xr:uid="{00000000-0005-0000-0000-0000A82D0000}"/>
    <cellStyle name="Normal 3 3 2 2 6 2 2" xfId="12883" xr:uid="{00000000-0005-0000-0000-0000A92D0000}"/>
    <cellStyle name="Normal 3 3 2 2 6 2 3" xfId="12884" xr:uid="{00000000-0005-0000-0000-0000AA2D0000}"/>
    <cellStyle name="Normal 3 3 2 2 6 3" xfId="12885" xr:uid="{00000000-0005-0000-0000-0000AB2D0000}"/>
    <cellStyle name="Normal 3 3 2 2 6 4" xfId="12886" xr:uid="{00000000-0005-0000-0000-0000AC2D0000}"/>
    <cellStyle name="Normal 3 3 2 2 6 5" xfId="12887" xr:uid="{00000000-0005-0000-0000-0000AD2D0000}"/>
    <cellStyle name="Normal 3 3 2 2 6 6" xfId="12888" xr:uid="{00000000-0005-0000-0000-0000AE2D0000}"/>
    <cellStyle name="Normal 3 3 2 2 7" xfId="12889" xr:uid="{00000000-0005-0000-0000-0000AF2D0000}"/>
    <cellStyle name="Normal 3 3 2 2 7 2" xfId="12890" xr:uid="{00000000-0005-0000-0000-0000B02D0000}"/>
    <cellStyle name="Normal 3 3 2 2 7 3" xfId="12891" xr:uid="{00000000-0005-0000-0000-0000B12D0000}"/>
    <cellStyle name="Normal 3 3 2 2 8" xfId="12892" xr:uid="{00000000-0005-0000-0000-0000B22D0000}"/>
    <cellStyle name="Normal 3 3 2 2 9" xfId="12893" xr:uid="{00000000-0005-0000-0000-0000B32D0000}"/>
    <cellStyle name="Normal 3 3 2 3" xfId="12894" xr:uid="{00000000-0005-0000-0000-0000B42D0000}"/>
    <cellStyle name="Normal 3 3 2 3 10" xfId="12895" xr:uid="{00000000-0005-0000-0000-0000B52D0000}"/>
    <cellStyle name="Normal 3 3 2 3 2" xfId="12896" xr:uid="{00000000-0005-0000-0000-0000B62D0000}"/>
    <cellStyle name="Normal 3 3 2 3 2 2" xfId="12897" xr:uid="{00000000-0005-0000-0000-0000B72D0000}"/>
    <cellStyle name="Normal 3 3 2 3 2 2 2" xfId="12898" xr:uid="{00000000-0005-0000-0000-0000B82D0000}"/>
    <cellStyle name="Normal 3 3 2 3 2 2 2 2" xfId="12899" xr:uid="{00000000-0005-0000-0000-0000B92D0000}"/>
    <cellStyle name="Normal 3 3 2 3 2 2 2 2 2" xfId="12900" xr:uid="{00000000-0005-0000-0000-0000BA2D0000}"/>
    <cellStyle name="Normal 3 3 2 3 2 2 2 2 3" xfId="12901" xr:uid="{00000000-0005-0000-0000-0000BB2D0000}"/>
    <cellStyle name="Normal 3 3 2 3 2 2 2 3" xfId="12902" xr:uid="{00000000-0005-0000-0000-0000BC2D0000}"/>
    <cellStyle name="Normal 3 3 2 3 2 2 2 4" xfId="12903" xr:uid="{00000000-0005-0000-0000-0000BD2D0000}"/>
    <cellStyle name="Normal 3 3 2 3 2 2 2 5" xfId="12904" xr:uid="{00000000-0005-0000-0000-0000BE2D0000}"/>
    <cellStyle name="Normal 3 3 2 3 2 2 2 6" xfId="12905" xr:uid="{00000000-0005-0000-0000-0000BF2D0000}"/>
    <cellStyle name="Normal 3 3 2 3 2 2 3" xfId="12906" xr:uid="{00000000-0005-0000-0000-0000C02D0000}"/>
    <cellStyle name="Normal 3 3 2 3 2 2 3 2" xfId="12907" xr:uid="{00000000-0005-0000-0000-0000C12D0000}"/>
    <cellStyle name="Normal 3 3 2 3 2 2 3 2 2" xfId="12908" xr:uid="{00000000-0005-0000-0000-0000C22D0000}"/>
    <cellStyle name="Normal 3 3 2 3 2 2 3 2 3" xfId="12909" xr:uid="{00000000-0005-0000-0000-0000C32D0000}"/>
    <cellStyle name="Normal 3 3 2 3 2 2 3 3" xfId="12910" xr:uid="{00000000-0005-0000-0000-0000C42D0000}"/>
    <cellStyle name="Normal 3 3 2 3 2 2 3 3 2" xfId="12911" xr:uid="{00000000-0005-0000-0000-0000C52D0000}"/>
    <cellStyle name="Normal 3 3 2 3 2 2 3 4" xfId="12912" xr:uid="{00000000-0005-0000-0000-0000C62D0000}"/>
    <cellStyle name="Normal 3 3 2 3 2 2 4" xfId="12913" xr:uid="{00000000-0005-0000-0000-0000C72D0000}"/>
    <cellStyle name="Normal 3 3 2 3 2 2 4 2" xfId="12914" xr:uid="{00000000-0005-0000-0000-0000C82D0000}"/>
    <cellStyle name="Normal 3 3 2 3 2 2 4 3" xfId="12915" xr:uid="{00000000-0005-0000-0000-0000C92D0000}"/>
    <cellStyle name="Normal 3 3 2 3 2 2 5" xfId="12916" xr:uid="{00000000-0005-0000-0000-0000CA2D0000}"/>
    <cellStyle name="Normal 3 3 2 3 2 2 6" xfId="12917" xr:uid="{00000000-0005-0000-0000-0000CB2D0000}"/>
    <cellStyle name="Normal 3 3 2 3 2 2 7" xfId="12918" xr:uid="{00000000-0005-0000-0000-0000CC2D0000}"/>
    <cellStyle name="Normal 3 3 2 3 2 2 8" xfId="12919" xr:uid="{00000000-0005-0000-0000-0000CD2D0000}"/>
    <cellStyle name="Normal 3 3 2 3 2 3" xfId="12920" xr:uid="{00000000-0005-0000-0000-0000CE2D0000}"/>
    <cellStyle name="Normal 3 3 2 3 2 3 2" xfId="12921" xr:uid="{00000000-0005-0000-0000-0000CF2D0000}"/>
    <cellStyle name="Normal 3 3 2 3 2 3 2 2" xfId="12922" xr:uid="{00000000-0005-0000-0000-0000D02D0000}"/>
    <cellStyle name="Normal 3 3 2 3 2 3 2 3" xfId="12923" xr:uid="{00000000-0005-0000-0000-0000D12D0000}"/>
    <cellStyle name="Normal 3 3 2 3 2 3 3" xfId="12924" xr:uid="{00000000-0005-0000-0000-0000D22D0000}"/>
    <cellStyle name="Normal 3 3 2 3 2 3 4" xfId="12925" xr:uid="{00000000-0005-0000-0000-0000D32D0000}"/>
    <cellStyle name="Normal 3 3 2 3 2 3 5" xfId="12926" xr:uid="{00000000-0005-0000-0000-0000D42D0000}"/>
    <cellStyle name="Normal 3 3 2 3 2 3 6" xfId="12927" xr:uid="{00000000-0005-0000-0000-0000D52D0000}"/>
    <cellStyle name="Normal 3 3 2 3 2 4" xfId="12928" xr:uid="{00000000-0005-0000-0000-0000D62D0000}"/>
    <cellStyle name="Normal 3 3 2 3 2 4 2" xfId="12929" xr:uid="{00000000-0005-0000-0000-0000D72D0000}"/>
    <cellStyle name="Normal 3 3 2 3 2 4 2 2" xfId="12930" xr:uid="{00000000-0005-0000-0000-0000D82D0000}"/>
    <cellStyle name="Normal 3 3 2 3 2 4 2 3" xfId="12931" xr:uid="{00000000-0005-0000-0000-0000D92D0000}"/>
    <cellStyle name="Normal 3 3 2 3 2 4 3" xfId="12932" xr:uid="{00000000-0005-0000-0000-0000DA2D0000}"/>
    <cellStyle name="Normal 3 3 2 3 2 4 3 2" xfId="12933" xr:uid="{00000000-0005-0000-0000-0000DB2D0000}"/>
    <cellStyle name="Normal 3 3 2 3 2 4 4" xfId="12934" xr:uid="{00000000-0005-0000-0000-0000DC2D0000}"/>
    <cellStyle name="Normal 3 3 2 3 2 5" xfId="12935" xr:uid="{00000000-0005-0000-0000-0000DD2D0000}"/>
    <cellStyle name="Normal 3 3 2 3 2 5 2" xfId="12936" xr:uid="{00000000-0005-0000-0000-0000DE2D0000}"/>
    <cellStyle name="Normal 3 3 2 3 2 5 3" xfId="12937" xr:uid="{00000000-0005-0000-0000-0000DF2D0000}"/>
    <cellStyle name="Normal 3 3 2 3 2 6" xfId="12938" xr:uid="{00000000-0005-0000-0000-0000E02D0000}"/>
    <cellStyle name="Normal 3 3 2 3 2 7" xfId="12939" xr:uid="{00000000-0005-0000-0000-0000E12D0000}"/>
    <cellStyle name="Normal 3 3 2 3 2 8" xfId="12940" xr:uid="{00000000-0005-0000-0000-0000E22D0000}"/>
    <cellStyle name="Normal 3 3 2 3 2 9" xfId="12941" xr:uid="{00000000-0005-0000-0000-0000E32D0000}"/>
    <cellStyle name="Normal 3 3 2 3 3" xfId="12942" xr:uid="{00000000-0005-0000-0000-0000E42D0000}"/>
    <cellStyle name="Normal 3 3 2 3 3 2" xfId="12943" xr:uid="{00000000-0005-0000-0000-0000E52D0000}"/>
    <cellStyle name="Normal 3 3 2 3 3 2 2" xfId="12944" xr:uid="{00000000-0005-0000-0000-0000E62D0000}"/>
    <cellStyle name="Normal 3 3 2 3 3 2 2 2" xfId="12945" xr:uid="{00000000-0005-0000-0000-0000E72D0000}"/>
    <cellStyle name="Normal 3 3 2 3 3 2 2 3" xfId="12946" xr:uid="{00000000-0005-0000-0000-0000E82D0000}"/>
    <cellStyle name="Normal 3 3 2 3 3 2 2 4" xfId="12947" xr:uid="{00000000-0005-0000-0000-0000E92D0000}"/>
    <cellStyle name="Normal 3 3 2 3 3 2 3" xfId="12948" xr:uid="{00000000-0005-0000-0000-0000EA2D0000}"/>
    <cellStyle name="Normal 3 3 2 3 3 2 4" xfId="12949" xr:uid="{00000000-0005-0000-0000-0000EB2D0000}"/>
    <cellStyle name="Normal 3 3 2 3 3 2 5" xfId="12950" xr:uid="{00000000-0005-0000-0000-0000EC2D0000}"/>
    <cellStyle name="Normal 3 3 2 3 3 2 6" xfId="12951" xr:uid="{00000000-0005-0000-0000-0000ED2D0000}"/>
    <cellStyle name="Normal 3 3 2 3 3 3" xfId="12952" xr:uid="{00000000-0005-0000-0000-0000EE2D0000}"/>
    <cellStyle name="Normal 3 3 2 3 3 3 2" xfId="12953" xr:uid="{00000000-0005-0000-0000-0000EF2D0000}"/>
    <cellStyle name="Normal 3 3 2 3 3 3 2 2" xfId="12954" xr:uid="{00000000-0005-0000-0000-0000F02D0000}"/>
    <cellStyle name="Normal 3 3 2 3 3 3 2 3" xfId="12955" xr:uid="{00000000-0005-0000-0000-0000F12D0000}"/>
    <cellStyle name="Normal 3 3 2 3 3 3 3" xfId="12956" xr:uid="{00000000-0005-0000-0000-0000F22D0000}"/>
    <cellStyle name="Normal 3 3 2 3 3 3 4" xfId="12957" xr:uid="{00000000-0005-0000-0000-0000F32D0000}"/>
    <cellStyle name="Normal 3 3 2 3 3 3 5" xfId="12958" xr:uid="{00000000-0005-0000-0000-0000F42D0000}"/>
    <cellStyle name="Normal 3 3 2 3 3 3 6" xfId="12959" xr:uid="{00000000-0005-0000-0000-0000F52D0000}"/>
    <cellStyle name="Normal 3 3 2 3 3 4" xfId="12960" xr:uid="{00000000-0005-0000-0000-0000F62D0000}"/>
    <cellStyle name="Normal 3 3 2 3 3 4 2" xfId="12961" xr:uid="{00000000-0005-0000-0000-0000F72D0000}"/>
    <cellStyle name="Normal 3 3 2 3 3 4 3" xfId="12962" xr:uid="{00000000-0005-0000-0000-0000F82D0000}"/>
    <cellStyle name="Normal 3 3 2 3 3 5" xfId="12963" xr:uid="{00000000-0005-0000-0000-0000F92D0000}"/>
    <cellStyle name="Normal 3 3 2 3 3 6" xfId="12964" xr:uid="{00000000-0005-0000-0000-0000FA2D0000}"/>
    <cellStyle name="Normal 3 3 2 3 3 7" xfId="12965" xr:uid="{00000000-0005-0000-0000-0000FB2D0000}"/>
    <cellStyle name="Normal 3 3 2 3 3 8" xfId="12966" xr:uid="{00000000-0005-0000-0000-0000FC2D0000}"/>
    <cellStyle name="Normal 3 3 2 3 4" xfId="12967" xr:uid="{00000000-0005-0000-0000-0000FD2D0000}"/>
    <cellStyle name="Normal 3 3 2 3 4 2" xfId="12968" xr:uid="{00000000-0005-0000-0000-0000FE2D0000}"/>
    <cellStyle name="Normal 3 3 2 3 4 2 2" xfId="12969" xr:uid="{00000000-0005-0000-0000-0000FF2D0000}"/>
    <cellStyle name="Normal 3 3 2 3 4 2 3" xfId="12970" xr:uid="{00000000-0005-0000-0000-0000002E0000}"/>
    <cellStyle name="Normal 3 3 2 3 4 2 4" xfId="12971" xr:uid="{00000000-0005-0000-0000-0000012E0000}"/>
    <cellStyle name="Normal 3 3 2 3 4 3" xfId="12972" xr:uid="{00000000-0005-0000-0000-0000022E0000}"/>
    <cellStyle name="Normal 3 3 2 3 4 4" xfId="12973" xr:uid="{00000000-0005-0000-0000-0000032E0000}"/>
    <cellStyle name="Normal 3 3 2 3 4 5" xfId="12974" xr:uid="{00000000-0005-0000-0000-0000042E0000}"/>
    <cellStyle name="Normal 3 3 2 3 4 6" xfId="12975" xr:uid="{00000000-0005-0000-0000-0000052E0000}"/>
    <cellStyle name="Normal 3 3 2 3 5" xfId="12976" xr:uid="{00000000-0005-0000-0000-0000062E0000}"/>
    <cellStyle name="Normal 3 3 2 3 5 2" xfId="12977" xr:uid="{00000000-0005-0000-0000-0000072E0000}"/>
    <cellStyle name="Normal 3 3 2 3 5 2 2" xfId="12978" xr:uid="{00000000-0005-0000-0000-0000082E0000}"/>
    <cellStyle name="Normal 3 3 2 3 5 2 3" xfId="12979" xr:uid="{00000000-0005-0000-0000-0000092E0000}"/>
    <cellStyle name="Normal 3 3 2 3 5 3" xfId="12980" xr:uid="{00000000-0005-0000-0000-00000A2E0000}"/>
    <cellStyle name="Normal 3 3 2 3 5 4" xfId="12981" xr:uid="{00000000-0005-0000-0000-00000B2E0000}"/>
    <cellStyle name="Normal 3 3 2 3 5 5" xfId="12982" xr:uid="{00000000-0005-0000-0000-00000C2E0000}"/>
    <cellStyle name="Normal 3 3 2 3 5 6" xfId="12983" xr:uid="{00000000-0005-0000-0000-00000D2E0000}"/>
    <cellStyle name="Normal 3 3 2 3 6" xfId="12984" xr:uid="{00000000-0005-0000-0000-00000E2E0000}"/>
    <cellStyle name="Normal 3 3 2 3 6 2" xfId="12985" xr:uid="{00000000-0005-0000-0000-00000F2E0000}"/>
    <cellStyle name="Normal 3 3 2 3 6 3" xfId="12986" xr:uid="{00000000-0005-0000-0000-0000102E0000}"/>
    <cellStyle name="Normal 3 3 2 3 7" xfId="12987" xr:uid="{00000000-0005-0000-0000-0000112E0000}"/>
    <cellStyle name="Normal 3 3 2 3 8" xfId="12988" xr:uid="{00000000-0005-0000-0000-0000122E0000}"/>
    <cellStyle name="Normal 3 3 2 3 9" xfId="12989" xr:uid="{00000000-0005-0000-0000-0000132E0000}"/>
    <cellStyle name="Normal 3 3 2 4" xfId="12990" xr:uid="{00000000-0005-0000-0000-0000142E0000}"/>
    <cellStyle name="Normal 3 3 2 4 2" xfId="12991" xr:uid="{00000000-0005-0000-0000-0000152E0000}"/>
    <cellStyle name="Normal 3 3 2 4 2 2" xfId="12992" xr:uid="{00000000-0005-0000-0000-0000162E0000}"/>
    <cellStyle name="Normal 3 3 2 4 2 2 2" xfId="12993" xr:uid="{00000000-0005-0000-0000-0000172E0000}"/>
    <cellStyle name="Normal 3 3 2 4 2 2 2 2" xfId="12994" xr:uid="{00000000-0005-0000-0000-0000182E0000}"/>
    <cellStyle name="Normal 3 3 2 4 2 2 2 3" xfId="12995" xr:uid="{00000000-0005-0000-0000-0000192E0000}"/>
    <cellStyle name="Normal 3 3 2 4 2 2 3" xfId="12996" xr:uid="{00000000-0005-0000-0000-00001A2E0000}"/>
    <cellStyle name="Normal 3 3 2 4 2 2 4" xfId="12997" xr:uid="{00000000-0005-0000-0000-00001B2E0000}"/>
    <cellStyle name="Normal 3 3 2 4 2 2 5" xfId="12998" xr:uid="{00000000-0005-0000-0000-00001C2E0000}"/>
    <cellStyle name="Normal 3 3 2 4 2 2 6" xfId="12999" xr:uid="{00000000-0005-0000-0000-00001D2E0000}"/>
    <cellStyle name="Normal 3 3 2 4 2 3" xfId="13000" xr:uid="{00000000-0005-0000-0000-00001E2E0000}"/>
    <cellStyle name="Normal 3 3 2 4 2 3 2" xfId="13001" xr:uid="{00000000-0005-0000-0000-00001F2E0000}"/>
    <cellStyle name="Normal 3 3 2 4 2 3 2 2" xfId="13002" xr:uid="{00000000-0005-0000-0000-0000202E0000}"/>
    <cellStyle name="Normal 3 3 2 4 2 3 2 3" xfId="13003" xr:uid="{00000000-0005-0000-0000-0000212E0000}"/>
    <cellStyle name="Normal 3 3 2 4 2 3 3" xfId="13004" xr:uid="{00000000-0005-0000-0000-0000222E0000}"/>
    <cellStyle name="Normal 3 3 2 4 2 3 3 2" xfId="13005" xr:uid="{00000000-0005-0000-0000-0000232E0000}"/>
    <cellStyle name="Normal 3 3 2 4 2 3 4" xfId="13006" xr:uid="{00000000-0005-0000-0000-0000242E0000}"/>
    <cellStyle name="Normal 3 3 2 4 2 4" xfId="13007" xr:uid="{00000000-0005-0000-0000-0000252E0000}"/>
    <cellStyle name="Normal 3 3 2 4 2 4 2" xfId="13008" xr:uid="{00000000-0005-0000-0000-0000262E0000}"/>
    <cellStyle name="Normal 3 3 2 4 2 4 3" xfId="13009" xr:uid="{00000000-0005-0000-0000-0000272E0000}"/>
    <cellStyle name="Normal 3 3 2 4 2 5" xfId="13010" xr:uid="{00000000-0005-0000-0000-0000282E0000}"/>
    <cellStyle name="Normal 3 3 2 4 2 6" xfId="13011" xr:uid="{00000000-0005-0000-0000-0000292E0000}"/>
    <cellStyle name="Normal 3 3 2 4 2 7" xfId="13012" xr:uid="{00000000-0005-0000-0000-00002A2E0000}"/>
    <cellStyle name="Normal 3 3 2 4 2 8" xfId="13013" xr:uid="{00000000-0005-0000-0000-00002B2E0000}"/>
    <cellStyle name="Normal 3 3 2 4 3" xfId="13014" xr:uid="{00000000-0005-0000-0000-00002C2E0000}"/>
    <cellStyle name="Normal 3 3 2 4 3 2" xfId="13015" xr:uid="{00000000-0005-0000-0000-00002D2E0000}"/>
    <cellStyle name="Normal 3 3 2 4 3 2 2" xfId="13016" xr:uid="{00000000-0005-0000-0000-00002E2E0000}"/>
    <cellStyle name="Normal 3 3 2 4 3 2 3" xfId="13017" xr:uid="{00000000-0005-0000-0000-00002F2E0000}"/>
    <cellStyle name="Normal 3 3 2 4 3 3" xfId="13018" xr:uid="{00000000-0005-0000-0000-0000302E0000}"/>
    <cellStyle name="Normal 3 3 2 4 3 4" xfId="13019" xr:uid="{00000000-0005-0000-0000-0000312E0000}"/>
    <cellStyle name="Normal 3 3 2 4 3 5" xfId="13020" xr:uid="{00000000-0005-0000-0000-0000322E0000}"/>
    <cellStyle name="Normal 3 3 2 4 3 6" xfId="13021" xr:uid="{00000000-0005-0000-0000-0000332E0000}"/>
    <cellStyle name="Normal 3 3 2 4 4" xfId="13022" xr:uid="{00000000-0005-0000-0000-0000342E0000}"/>
    <cellStyle name="Normal 3 3 2 4 4 2" xfId="13023" xr:uid="{00000000-0005-0000-0000-0000352E0000}"/>
    <cellStyle name="Normal 3 3 2 4 4 2 2" xfId="13024" xr:uid="{00000000-0005-0000-0000-0000362E0000}"/>
    <cellStyle name="Normal 3 3 2 4 4 2 3" xfId="13025" xr:uid="{00000000-0005-0000-0000-0000372E0000}"/>
    <cellStyle name="Normal 3 3 2 4 4 3" xfId="13026" xr:uid="{00000000-0005-0000-0000-0000382E0000}"/>
    <cellStyle name="Normal 3 3 2 4 4 3 2" xfId="13027" xr:uid="{00000000-0005-0000-0000-0000392E0000}"/>
    <cellStyle name="Normal 3 3 2 4 4 4" xfId="13028" xr:uid="{00000000-0005-0000-0000-00003A2E0000}"/>
    <cellStyle name="Normal 3 3 2 4 5" xfId="13029" xr:uid="{00000000-0005-0000-0000-00003B2E0000}"/>
    <cellStyle name="Normal 3 3 2 4 5 2" xfId="13030" xr:uid="{00000000-0005-0000-0000-00003C2E0000}"/>
    <cellStyle name="Normal 3 3 2 4 5 3" xfId="13031" xr:uid="{00000000-0005-0000-0000-00003D2E0000}"/>
    <cellStyle name="Normal 3 3 2 4 6" xfId="13032" xr:uid="{00000000-0005-0000-0000-00003E2E0000}"/>
    <cellStyle name="Normal 3 3 2 4 7" xfId="13033" xr:uid="{00000000-0005-0000-0000-00003F2E0000}"/>
    <cellStyle name="Normal 3 3 2 4 8" xfId="13034" xr:uid="{00000000-0005-0000-0000-0000402E0000}"/>
    <cellStyle name="Normal 3 3 2 4 9" xfId="13035" xr:uid="{00000000-0005-0000-0000-0000412E0000}"/>
    <cellStyle name="Normal 3 3 2 5" xfId="13036" xr:uid="{00000000-0005-0000-0000-0000422E0000}"/>
    <cellStyle name="Normal 3 3 2 5 2" xfId="13037" xr:uid="{00000000-0005-0000-0000-0000432E0000}"/>
    <cellStyle name="Normal 3 3 2 5 2 2" xfId="13038" xr:uid="{00000000-0005-0000-0000-0000442E0000}"/>
    <cellStyle name="Normal 3 3 2 5 2 2 2" xfId="13039" xr:uid="{00000000-0005-0000-0000-0000452E0000}"/>
    <cellStyle name="Normal 3 3 2 5 2 2 3" xfId="13040" xr:uid="{00000000-0005-0000-0000-0000462E0000}"/>
    <cellStyle name="Normal 3 3 2 5 2 2 4" xfId="13041" xr:uid="{00000000-0005-0000-0000-0000472E0000}"/>
    <cellStyle name="Normal 3 3 2 5 2 3" xfId="13042" xr:uid="{00000000-0005-0000-0000-0000482E0000}"/>
    <cellStyle name="Normal 3 3 2 5 2 4" xfId="13043" xr:uid="{00000000-0005-0000-0000-0000492E0000}"/>
    <cellStyle name="Normal 3 3 2 5 2 5" xfId="13044" xr:uid="{00000000-0005-0000-0000-00004A2E0000}"/>
    <cellStyle name="Normal 3 3 2 5 2 6" xfId="13045" xr:uid="{00000000-0005-0000-0000-00004B2E0000}"/>
    <cellStyle name="Normal 3 3 2 5 3" xfId="13046" xr:uid="{00000000-0005-0000-0000-00004C2E0000}"/>
    <cellStyle name="Normal 3 3 2 5 3 2" xfId="13047" xr:uid="{00000000-0005-0000-0000-00004D2E0000}"/>
    <cellStyle name="Normal 3 3 2 5 3 2 2" xfId="13048" xr:uid="{00000000-0005-0000-0000-00004E2E0000}"/>
    <cellStyle name="Normal 3 3 2 5 3 2 3" xfId="13049" xr:uid="{00000000-0005-0000-0000-00004F2E0000}"/>
    <cellStyle name="Normal 3 3 2 5 3 3" xfId="13050" xr:uid="{00000000-0005-0000-0000-0000502E0000}"/>
    <cellStyle name="Normal 3 3 2 5 3 4" xfId="13051" xr:uid="{00000000-0005-0000-0000-0000512E0000}"/>
    <cellStyle name="Normal 3 3 2 5 3 5" xfId="13052" xr:uid="{00000000-0005-0000-0000-0000522E0000}"/>
    <cellStyle name="Normal 3 3 2 5 3 6" xfId="13053" xr:uid="{00000000-0005-0000-0000-0000532E0000}"/>
    <cellStyle name="Normal 3 3 2 5 4" xfId="13054" xr:uid="{00000000-0005-0000-0000-0000542E0000}"/>
    <cellStyle name="Normal 3 3 2 5 4 2" xfId="13055" xr:uid="{00000000-0005-0000-0000-0000552E0000}"/>
    <cellStyle name="Normal 3 3 2 5 4 3" xfId="13056" xr:uid="{00000000-0005-0000-0000-0000562E0000}"/>
    <cellStyle name="Normal 3 3 2 5 5" xfId="13057" xr:uid="{00000000-0005-0000-0000-0000572E0000}"/>
    <cellStyle name="Normal 3 3 2 5 6" xfId="13058" xr:uid="{00000000-0005-0000-0000-0000582E0000}"/>
    <cellStyle name="Normal 3 3 2 5 7" xfId="13059" xr:uid="{00000000-0005-0000-0000-0000592E0000}"/>
    <cellStyle name="Normal 3 3 2 5 8" xfId="13060" xr:uid="{00000000-0005-0000-0000-00005A2E0000}"/>
    <cellStyle name="Normal 3 3 2 6" xfId="13061" xr:uid="{00000000-0005-0000-0000-00005B2E0000}"/>
    <cellStyle name="Normal 3 3 2 6 2" xfId="13062" xr:uid="{00000000-0005-0000-0000-00005C2E0000}"/>
    <cellStyle name="Normal 3 3 2 6 2 2" xfId="13063" xr:uid="{00000000-0005-0000-0000-00005D2E0000}"/>
    <cellStyle name="Normal 3 3 2 6 3" xfId="13064" xr:uid="{00000000-0005-0000-0000-00005E2E0000}"/>
    <cellStyle name="Normal 3 3 2 6 4" xfId="13065" xr:uid="{00000000-0005-0000-0000-00005F2E0000}"/>
    <cellStyle name="Normal 3 3 2 6 5" xfId="13066" xr:uid="{00000000-0005-0000-0000-0000602E0000}"/>
    <cellStyle name="Normal 3 3 2 7" xfId="13067" xr:uid="{00000000-0005-0000-0000-0000612E0000}"/>
    <cellStyle name="Normal 3 3 2 7 2" xfId="13068" xr:uid="{00000000-0005-0000-0000-0000622E0000}"/>
    <cellStyle name="Normal 3 3 2 7 2 2" xfId="13069" xr:uid="{00000000-0005-0000-0000-0000632E0000}"/>
    <cellStyle name="Normal 3 3 2 7 2 3" xfId="13070" xr:uid="{00000000-0005-0000-0000-0000642E0000}"/>
    <cellStyle name="Normal 3 3 2 7 3" xfId="13071" xr:uid="{00000000-0005-0000-0000-0000652E0000}"/>
    <cellStyle name="Normal 3 3 2 7 4" xfId="13072" xr:uid="{00000000-0005-0000-0000-0000662E0000}"/>
    <cellStyle name="Normal 3 3 2 7 5" xfId="13073" xr:uid="{00000000-0005-0000-0000-0000672E0000}"/>
    <cellStyle name="Normal 3 3 2 7 6" xfId="13074" xr:uid="{00000000-0005-0000-0000-0000682E0000}"/>
    <cellStyle name="Normal 3 3 2 8" xfId="13075" xr:uid="{00000000-0005-0000-0000-0000692E0000}"/>
    <cellStyle name="Normal 3 3 2 8 2" xfId="13076" xr:uid="{00000000-0005-0000-0000-00006A2E0000}"/>
    <cellStyle name="Normal 3 3 2 8 2 2" xfId="13077" xr:uid="{00000000-0005-0000-0000-00006B2E0000}"/>
    <cellStyle name="Normal 3 3 2 8 2 3" xfId="13078" xr:uid="{00000000-0005-0000-0000-00006C2E0000}"/>
    <cellStyle name="Normal 3 3 2 8 3" xfId="13079" xr:uid="{00000000-0005-0000-0000-00006D2E0000}"/>
    <cellStyle name="Normal 3 3 2 8 4" xfId="13080" xr:uid="{00000000-0005-0000-0000-00006E2E0000}"/>
    <cellStyle name="Normal 3 3 2 8 5" xfId="13081" xr:uid="{00000000-0005-0000-0000-00006F2E0000}"/>
    <cellStyle name="Normal 3 3 2 8 6" xfId="13082" xr:uid="{00000000-0005-0000-0000-0000702E0000}"/>
    <cellStyle name="Normal 3 3 2 9" xfId="13083" xr:uid="{00000000-0005-0000-0000-0000712E0000}"/>
    <cellStyle name="Normal 3 3 2 9 2" xfId="13084" xr:uid="{00000000-0005-0000-0000-0000722E0000}"/>
    <cellStyle name="Normal 3 3 2 9 3" xfId="13085" xr:uid="{00000000-0005-0000-0000-0000732E0000}"/>
    <cellStyle name="Normal 3 3 2 9 4" xfId="13086" xr:uid="{00000000-0005-0000-0000-0000742E0000}"/>
    <cellStyle name="Normal 3 3 20" xfId="2186" xr:uid="{00000000-0005-0000-0000-000037080000}"/>
    <cellStyle name="Normal 3 3 20 2" xfId="13087" xr:uid="{00000000-0005-0000-0000-0000762E0000}"/>
    <cellStyle name="Normal 3 3 20 3" xfId="13088" xr:uid="{00000000-0005-0000-0000-0000772E0000}"/>
    <cellStyle name="Normal 3 3 21" xfId="2187" xr:uid="{00000000-0005-0000-0000-000038080000}"/>
    <cellStyle name="Normal 3 3 21 2" xfId="13089" xr:uid="{00000000-0005-0000-0000-0000792E0000}"/>
    <cellStyle name="Normal 3 3 21 3" xfId="13090" xr:uid="{00000000-0005-0000-0000-00007A2E0000}"/>
    <cellStyle name="Normal 3 3 22" xfId="2188" xr:uid="{00000000-0005-0000-0000-000039080000}"/>
    <cellStyle name="Normal 3 3 22 2" xfId="13091" xr:uid="{00000000-0005-0000-0000-00007C2E0000}"/>
    <cellStyle name="Normal 3 3 22 3" xfId="13092" xr:uid="{00000000-0005-0000-0000-00007D2E0000}"/>
    <cellStyle name="Normal 3 3 23" xfId="2189" xr:uid="{00000000-0005-0000-0000-00003A080000}"/>
    <cellStyle name="Normal 3 3 23 2" xfId="13093" xr:uid="{00000000-0005-0000-0000-00007F2E0000}"/>
    <cellStyle name="Normal 3 3 23 3" xfId="13094" xr:uid="{00000000-0005-0000-0000-0000802E0000}"/>
    <cellStyle name="Normal 3 3 24" xfId="2889" xr:uid="{00000000-0005-0000-0000-00003B080000}"/>
    <cellStyle name="Normal 3 3 24 2" xfId="13096" xr:uid="{00000000-0005-0000-0000-0000822E0000}"/>
    <cellStyle name="Normal 3 3 24 3" xfId="13097" xr:uid="{00000000-0005-0000-0000-0000832E0000}"/>
    <cellStyle name="Normal 3 3 24 4" xfId="13098" xr:uid="{00000000-0005-0000-0000-0000842E0000}"/>
    <cellStyle name="Normal 3 3 24 5" xfId="13095" xr:uid="{00000000-0005-0000-0000-0000812E0000}"/>
    <cellStyle name="Normal 3 3 25" xfId="2943" xr:uid="{00000000-0005-0000-0000-00003C080000}"/>
    <cellStyle name="Normal 3 3 25 2" xfId="13100" xr:uid="{00000000-0005-0000-0000-0000862E0000}"/>
    <cellStyle name="Normal 3 3 25 2 2" xfId="13101" xr:uid="{00000000-0005-0000-0000-0000872E0000}"/>
    <cellStyle name="Normal 3 3 25 2 3" xfId="13102" xr:uid="{00000000-0005-0000-0000-0000882E0000}"/>
    <cellStyle name="Normal 3 3 25 3" xfId="13103" xr:uid="{00000000-0005-0000-0000-0000892E0000}"/>
    <cellStyle name="Normal 3 3 25 4" xfId="13104" xr:uid="{00000000-0005-0000-0000-00008A2E0000}"/>
    <cellStyle name="Normal 3 3 25 5" xfId="13105" xr:uid="{00000000-0005-0000-0000-00008B2E0000}"/>
    <cellStyle name="Normal 3 3 25 6" xfId="13106" xr:uid="{00000000-0005-0000-0000-00008C2E0000}"/>
    <cellStyle name="Normal 3 3 25 7" xfId="13099" xr:uid="{00000000-0005-0000-0000-0000852E0000}"/>
    <cellStyle name="Normal 3 3 26" xfId="13107" xr:uid="{00000000-0005-0000-0000-00008D2E0000}"/>
    <cellStyle name="Normal 3 3 26 2" xfId="13108" xr:uid="{00000000-0005-0000-0000-00008E2E0000}"/>
    <cellStyle name="Normal 3 3 26 2 2" xfId="13109" xr:uid="{00000000-0005-0000-0000-00008F2E0000}"/>
    <cellStyle name="Normal 3 3 26 2 3" xfId="13110" xr:uid="{00000000-0005-0000-0000-0000902E0000}"/>
    <cellStyle name="Normal 3 3 26 3" xfId="13111" xr:uid="{00000000-0005-0000-0000-0000912E0000}"/>
    <cellStyle name="Normal 3 3 26 4" xfId="13112" xr:uid="{00000000-0005-0000-0000-0000922E0000}"/>
    <cellStyle name="Normal 3 3 26 5" xfId="13113" xr:uid="{00000000-0005-0000-0000-0000932E0000}"/>
    <cellStyle name="Normal 3 3 26 6" xfId="13114" xr:uid="{00000000-0005-0000-0000-0000942E0000}"/>
    <cellStyle name="Normal 3 3 27" xfId="13115" xr:uid="{00000000-0005-0000-0000-0000952E0000}"/>
    <cellStyle name="Normal 3 3 27 2" xfId="13116" xr:uid="{00000000-0005-0000-0000-0000962E0000}"/>
    <cellStyle name="Normal 3 3 27 3" xfId="13117" xr:uid="{00000000-0005-0000-0000-0000972E0000}"/>
    <cellStyle name="Normal 3 3 28" xfId="13118" xr:uid="{00000000-0005-0000-0000-0000982E0000}"/>
    <cellStyle name="Normal 3 3 28 2" xfId="13119" xr:uid="{00000000-0005-0000-0000-0000992E0000}"/>
    <cellStyle name="Normal 3 3 29" xfId="13120" xr:uid="{00000000-0005-0000-0000-00009A2E0000}"/>
    <cellStyle name="Normal 3 3 3" xfId="2190" xr:uid="{00000000-0005-0000-0000-00003D080000}"/>
    <cellStyle name="Normal 3 3 3 10" xfId="13121" xr:uid="{00000000-0005-0000-0000-00009C2E0000}"/>
    <cellStyle name="Normal 3 3 3 11" xfId="13122" xr:uid="{00000000-0005-0000-0000-00009D2E0000}"/>
    <cellStyle name="Normal 3 3 3 2" xfId="13123" xr:uid="{00000000-0005-0000-0000-00009E2E0000}"/>
    <cellStyle name="Normal 3 3 3 2 10" xfId="13124" xr:uid="{00000000-0005-0000-0000-00009F2E0000}"/>
    <cellStyle name="Normal 3 3 3 2 2" xfId="13125" xr:uid="{00000000-0005-0000-0000-0000A02E0000}"/>
    <cellStyle name="Normal 3 3 3 2 2 2" xfId="13126" xr:uid="{00000000-0005-0000-0000-0000A12E0000}"/>
    <cellStyle name="Normal 3 3 3 2 2 2 2" xfId="13127" xr:uid="{00000000-0005-0000-0000-0000A22E0000}"/>
    <cellStyle name="Normal 3 3 3 2 2 2 2 2" xfId="13128" xr:uid="{00000000-0005-0000-0000-0000A32E0000}"/>
    <cellStyle name="Normal 3 3 3 2 2 2 2 2 2" xfId="13129" xr:uid="{00000000-0005-0000-0000-0000A42E0000}"/>
    <cellStyle name="Normal 3 3 3 2 2 2 2 2 3" xfId="13130" xr:uid="{00000000-0005-0000-0000-0000A52E0000}"/>
    <cellStyle name="Normal 3 3 3 2 2 2 2 3" xfId="13131" xr:uid="{00000000-0005-0000-0000-0000A62E0000}"/>
    <cellStyle name="Normal 3 3 3 2 2 2 2 4" xfId="13132" xr:uid="{00000000-0005-0000-0000-0000A72E0000}"/>
    <cellStyle name="Normal 3 3 3 2 2 2 2 5" xfId="13133" xr:uid="{00000000-0005-0000-0000-0000A82E0000}"/>
    <cellStyle name="Normal 3 3 3 2 2 2 2 6" xfId="13134" xr:uid="{00000000-0005-0000-0000-0000A92E0000}"/>
    <cellStyle name="Normal 3 3 3 2 2 2 3" xfId="13135" xr:uid="{00000000-0005-0000-0000-0000AA2E0000}"/>
    <cellStyle name="Normal 3 3 3 2 2 2 3 2" xfId="13136" xr:uid="{00000000-0005-0000-0000-0000AB2E0000}"/>
    <cellStyle name="Normal 3 3 3 2 2 2 3 2 2" xfId="13137" xr:uid="{00000000-0005-0000-0000-0000AC2E0000}"/>
    <cellStyle name="Normal 3 3 3 2 2 2 3 2 3" xfId="13138" xr:uid="{00000000-0005-0000-0000-0000AD2E0000}"/>
    <cellStyle name="Normal 3 3 3 2 2 2 3 3" xfId="13139" xr:uid="{00000000-0005-0000-0000-0000AE2E0000}"/>
    <cellStyle name="Normal 3 3 3 2 2 2 3 3 2" xfId="13140" xr:uid="{00000000-0005-0000-0000-0000AF2E0000}"/>
    <cellStyle name="Normal 3 3 3 2 2 2 3 4" xfId="13141" xr:uid="{00000000-0005-0000-0000-0000B02E0000}"/>
    <cellStyle name="Normal 3 3 3 2 2 2 4" xfId="13142" xr:uid="{00000000-0005-0000-0000-0000B12E0000}"/>
    <cellStyle name="Normal 3 3 3 2 2 2 4 2" xfId="13143" xr:uid="{00000000-0005-0000-0000-0000B22E0000}"/>
    <cellStyle name="Normal 3 3 3 2 2 2 4 3" xfId="13144" xr:uid="{00000000-0005-0000-0000-0000B32E0000}"/>
    <cellStyle name="Normal 3 3 3 2 2 2 5" xfId="13145" xr:uid="{00000000-0005-0000-0000-0000B42E0000}"/>
    <cellStyle name="Normal 3 3 3 2 2 2 6" xfId="13146" xr:uid="{00000000-0005-0000-0000-0000B52E0000}"/>
    <cellStyle name="Normal 3 3 3 2 2 2 7" xfId="13147" xr:uid="{00000000-0005-0000-0000-0000B62E0000}"/>
    <cellStyle name="Normal 3 3 3 2 2 2 8" xfId="13148" xr:uid="{00000000-0005-0000-0000-0000B72E0000}"/>
    <cellStyle name="Normal 3 3 3 2 2 3" xfId="13149" xr:uid="{00000000-0005-0000-0000-0000B82E0000}"/>
    <cellStyle name="Normal 3 3 3 2 2 3 2" xfId="13150" xr:uid="{00000000-0005-0000-0000-0000B92E0000}"/>
    <cellStyle name="Normal 3 3 3 2 2 3 2 2" xfId="13151" xr:uid="{00000000-0005-0000-0000-0000BA2E0000}"/>
    <cellStyle name="Normal 3 3 3 2 2 3 2 3" xfId="13152" xr:uid="{00000000-0005-0000-0000-0000BB2E0000}"/>
    <cellStyle name="Normal 3 3 3 2 2 3 3" xfId="13153" xr:uid="{00000000-0005-0000-0000-0000BC2E0000}"/>
    <cellStyle name="Normal 3 3 3 2 2 3 4" xfId="13154" xr:uid="{00000000-0005-0000-0000-0000BD2E0000}"/>
    <cellStyle name="Normal 3 3 3 2 2 3 5" xfId="13155" xr:uid="{00000000-0005-0000-0000-0000BE2E0000}"/>
    <cellStyle name="Normal 3 3 3 2 2 3 6" xfId="13156" xr:uid="{00000000-0005-0000-0000-0000BF2E0000}"/>
    <cellStyle name="Normal 3 3 3 2 2 4" xfId="13157" xr:uid="{00000000-0005-0000-0000-0000C02E0000}"/>
    <cellStyle name="Normal 3 3 3 2 2 4 2" xfId="13158" xr:uid="{00000000-0005-0000-0000-0000C12E0000}"/>
    <cellStyle name="Normal 3 3 3 2 2 4 2 2" xfId="13159" xr:uid="{00000000-0005-0000-0000-0000C22E0000}"/>
    <cellStyle name="Normal 3 3 3 2 2 4 2 3" xfId="13160" xr:uid="{00000000-0005-0000-0000-0000C32E0000}"/>
    <cellStyle name="Normal 3 3 3 2 2 4 3" xfId="13161" xr:uid="{00000000-0005-0000-0000-0000C42E0000}"/>
    <cellStyle name="Normal 3 3 3 2 2 4 3 2" xfId="13162" xr:uid="{00000000-0005-0000-0000-0000C52E0000}"/>
    <cellStyle name="Normal 3 3 3 2 2 4 4" xfId="13163" xr:uid="{00000000-0005-0000-0000-0000C62E0000}"/>
    <cellStyle name="Normal 3 3 3 2 2 5" xfId="13164" xr:uid="{00000000-0005-0000-0000-0000C72E0000}"/>
    <cellStyle name="Normal 3 3 3 2 2 5 2" xfId="13165" xr:uid="{00000000-0005-0000-0000-0000C82E0000}"/>
    <cellStyle name="Normal 3 3 3 2 2 5 3" xfId="13166" xr:uid="{00000000-0005-0000-0000-0000C92E0000}"/>
    <cellStyle name="Normal 3 3 3 2 2 6" xfId="13167" xr:uid="{00000000-0005-0000-0000-0000CA2E0000}"/>
    <cellStyle name="Normal 3 3 3 2 2 7" xfId="13168" xr:uid="{00000000-0005-0000-0000-0000CB2E0000}"/>
    <cellStyle name="Normal 3 3 3 2 2 8" xfId="13169" xr:uid="{00000000-0005-0000-0000-0000CC2E0000}"/>
    <cellStyle name="Normal 3 3 3 2 2 9" xfId="13170" xr:uid="{00000000-0005-0000-0000-0000CD2E0000}"/>
    <cellStyle name="Normal 3 3 3 2 3" xfId="13171" xr:uid="{00000000-0005-0000-0000-0000CE2E0000}"/>
    <cellStyle name="Normal 3 3 3 2 3 2" xfId="13172" xr:uid="{00000000-0005-0000-0000-0000CF2E0000}"/>
    <cellStyle name="Normal 3 3 3 2 3 2 2" xfId="13173" xr:uid="{00000000-0005-0000-0000-0000D02E0000}"/>
    <cellStyle name="Normal 3 3 3 2 3 2 2 2" xfId="13174" xr:uid="{00000000-0005-0000-0000-0000D12E0000}"/>
    <cellStyle name="Normal 3 3 3 2 3 2 2 3" xfId="13175" xr:uid="{00000000-0005-0000-0000-0000D22E0000}"/>
    <cellStyle name="Normal 3 3 3 2 3 2 2 4" xfId="13176" xr:uid="{00000000-0005-0000-0000-0000D32E0000}"/>
    <cellStyle name="Normal 3 3 3 2 3 2 3" xfId="13177" xr:uid="{00000000-0005-0000-0000-0000D42E0000}"/>
    <cellStyle name="Normal 3 3 3 2 3 2 4" xfId="13178" xr:uid="{00000000-0005-0000-0000-0000D52E0000}"/>
    <cellStyle name="Normal 3 3 3 2 3 2 5" xfId="13179" xr:uid="{00000000-0005-0000-0000-0000D62E0000}"/>
    <cellStyle name="Normal 3 3 3 2 3 2 6" xfId="13180" xr:uid="{00000000-0005-0000-0000-0000D72E0000}"/>
    <cellStyle name="Normal 3 3 3 2 3 3" xfId="13181" xr:uid="{00000000-0005-0000-0000-0000D82E0000}"/>
    <cellStyle name="Normal 3 3 3 2 3 3 2" xfId="13182" xr:uid="{00000000-0005-0000-0000-0000D92E0000}"/>
    <cellStyle name="Normal 3 3 3 2 3 3 2 2" xfId="13183" xr:uid="{00000000-0005-0000-0000-0000DA2E0000}"/>
    <cellStyle name="Normal 3 3 3 2 3 3 2 3" xfId="13184" xr:uid="{00000000-0005-0000-0000-0000DB2E0000}"/>
    <cellStyle name="Normal 3 3 3 2 3 3 3" xfId="13185" xr:uid="{00000000-0005-0000-0000-0000DC2E0000}"/>
    <cellStyle name="Normal 3 3 3 2 3 3 4" xfId="13186" xr:uid="{00000000-0005-0000-0000-0000DD2E0000}"/>
    <cellStyle name="Normal 3 3 3 2 3 3 5" xfId="13187" xr:uid="{00000000-0005-0000-0000-0000DE2E0000}"/>
    <cellStyle name="Normal 3 3 3 2 3 3 6" xfId="13188" xr:uid="{00000000-0005-0000-0000-0000DF2E0000}"/>
    <cellStyle name="Normal 3 3 3 2 3 4" xfId="13189" xr:uid="{00000000-0005-0000-0000-0000E02E0000}"/>
    <cellStyle name="Normal 3 3 3 2 3 4 2" xfId="13190" xr:uid="{00000000-0005-0000-0000-0000E12E0000}"/>
    <cellStyle name="Normal 3 3 3 2 3 4 3" xfId="13191" xr:uid="{00000000-0005-0000-0000-0000E22E0000}"/>
    <cellStyle name="Normal 3 3 3 2 3 5" xfId="13192" xr:uid="{00000000-0005-0000-0000-0000E32E0000}"/>
    <cellStyle name="Normal 3 3 3 2 3 6" xfId="13193" xr:uid="{00000000-0005-0000-0000-0000E42E0000}"/>
    <cellStyle name="Normal 3 3 3 2 3 7" xfId="13194" xr:uid="{00000000-0005-0000-0000-0000E52E0000}"/>
    <cellStyle name="Normal 3 3 3 2 3 8" xfId="13195" xr:uid="{00000000-0005-0000-0000-0000E62E0000}"/>
    <cellStyle name="Normal 3 3 3 2 4" xfId="13196" xr:uid="{00000000-0005-0000-0000-0000E72E0000}"/>
    <cellStyle name="Normal 3 3 3 2 4 2" xfId="13197" xr:uid="{00000000-0005-0000-0000-0000E82E0000}"/>
    <cellStyle name="Normal 3 3 3 2 4 2 2" xfId="13198" xr:uid="{00000000-0005-0000-0000-0000E92E0000}"/>
    <cellStyle name="Normal 3 3 3 2 4 2 3" xfId="13199" xr:uid="{00000000-0005-0000-0000-0000EA2E0000}"/>
    <cellStyle name="Normal 3 3 3 2 4 2 4" xfId="13200" xr:uid="{00000000-0005-0000-0000-0000EB2E0000}"/>
    <cellStyle name="Normal 3 3 3 2 4 3" xfId="13201" xr:uid="{00000000-0005-0000-0000-0000EC2E0000}"/>
    <cellStyle name="Normal 3 3 3 2 4 4" xfId="13202" xr:uid="{00000000-0005-0000-0000-0000ED2E0000}"/>
    <cellStyle name="Normal 3 3 3 2 4 5" xfId="13203" xr:uid="{00000000-0005-0000-0000-0000EE2E0000}"/>
    <cellStyle name="Normal 3 3 3 2 4 6" xfId="13204" xr:uid="{00000000-0005-0000-0000-0000EF2E0000}"/>
    <cellStyle name="Normal 3 3 3 2 5" xfId="13205" xr:uid="{00000000-0005-0000-0000-0000F02E0000}"/>
    <cellStyle name="Normal 3 3 3 2 5 2" xfId="13206" xr:uid="{00000000-0005-0000-0000-0000F12E0000}"/>
    <cellStyle name="Normal 3 3 3 2 5 2 2" xfId="13207" xr:uid="{00000000-0005-0000-0000-0000F22E0000}"/>
    <cellStyle name="Normal 3 3 3 2 5 2 3" xfId="13208" xr:uid="{00000000-0005-0000-0000-0000F32E0000}"/>
    <cellStyle name="Normal 3 3 3 2 5 3" xfId="13209" xr:uid="{00000000-0005-0000-0000-0000F42E0000}"/>
    <cellStyle name="Normal 3 3 3 2 5 4" xfId="13210" xr:uid="{00000000-0005-0000-0000-0000F52E0000}"/>
    <cellStyle name="Normal 3 3 3 2 5 5" xfId="13211" xr:uid="{00000000-0005-0000-0000-0000F62E0000}"/>
    <cellStyle name="Normal 3 3 3 2 5 6" xfId="13212" xr:uid="{00000000-0005-0000-0000-0000F72E0000}"/>
    <cellStyle name="Normal 3 3 3 2 6" xfId="13213" xr:uid="{00000000-0005-0000-0000-0000F82E0000}"/>
    <cellStyle name="Normal 3 3 3 2 6 2" xfId="13214" xr:uid="{00000000-0005-0000-0000-0000F92E0000}"/>
    <cellStyle name="Normal 3 3 3 2 6 3" xfId="13215" xr:uid="{00000000-0005-0000-0000-0000FA2E0000}"/>
    <cellStyle name="Normal 3 3 3 2 7" xfId="13216" xr:uid="{00000000-0005-0000-0000-0000FB2E0000}"/>
    <cellStyle name="Normal 3 3 3 2 8" xfId="13217" xr:uid="{00000000-0005-0000-0000-0000FC2E0000}"/>
    <cellStyle name="Normal 3 3 3 2 9" xfId="13218" xr:uid="{00000000-0005-0000-0000-0000FD2E0000}"/>
    <cellStyle name="Normal 3 3 3 3" xfId="13219" xr:uid="{00000000-0005-0000-0000-0000FE2E0000}"/>
    <cellStyle name="Normal 3 3 3 3 2" xfId="13220" xr:uid="{00000000-0005-0000-0000-0000FF2E0000}"/>
    <cellStyle name="Normal 3 3 3 3 2 2" xfId="13221" xr:uid="{00000000-0005-0000-0000-0000002F0000}"/>
    <cellStyle name="Normal 3 3 3 3 2 2 2" xfId="13222" xr:uid="{00000000-0005-0000-0000-0000012F0000}"/>
    <cellStyle name="Normal 3 3 3 3 2 2 2 2" xfId="13223" xr:uid="{00000000-0005-0000-0000-0000022F0000}"/>
    <cellStyle name="Normal 3 3 3 3 2 2 2 3" xfId="13224" xr:uid="{00000000-0005-0000-0000-0000032F0000}"/>
    <cellStyle name="Normal 3 3 3 3 2 2 3" xfId="13225" xr:uid="{00000000-0005-0000-0000-0000042F0000}"/>
    <cellStyle name="Normal 3 3 3 3 2 2 4" xfId="13226" xr:uid="{00000000-0005-0000-0000-0000052F0000}"/>
    <cellStyle name="Normal 3 3 3 3 2 2 5" xfId="13227" xr:uid="{00000000-0005-0000-0000-0000062F0000}"/>
    <cellStyle name="Normal 3 3 3 3 2 2 6" xfId="13228" xr:uid="{00000000-0005-0000-0000-0000072F0000}"/>
    <cellStyle name="Normal 3 3 3 3 2 3" xfId="13229" xr:uid="{00000000-0005-0000-0000-0000082F0000}"/>
    <cellStyle name="Normal 3 3 3 3 2 3 2" xfId="13230" xr:uid="{00000000-0005-0000-0000-0000092F0000}"/>
    <cellStyle name="Normal 3 3 3 3 2 3 2 2" xfId="13231" xr:uid="{00000000-0005-0000-0000-00000A2F0000}"/>
    <cellStyle name="Normal 3 3 3 3 2 3 2 3" xfId="13232" xr:uid="{00000000-0005-0000-0000-00000B2F0000}"/>
    <cellStyle name="Normal 3 3 3 3 2 3 3" xfId="13233" xr:uid="{00000000-0005-0000-0000-00000C2F0000}"/>
    <cellStyle name="Normal 3 3 3 3 2 3 3 2" xfId="13234" xr:uid="{00000000-0005-0000-0000-00000D2F0000}"/>
    <cellStyle name="Normal 3 3 3 3 2 3 4" xfId="13235" xr:uid="{00000000-0005-0000-0000-00000E2F0000}"/>
    <cellStyle name="Normal 3 3 3 3 2 4" xfId="13236" xr:uid="{00000000-0005-0000-0000-00000F2F0000}"/>
    <cellStyle name="Normal 3 3 3 3 2 4 2" xfId="13237" xr:uid="{00000000-0005-0000-0000-0000102F0000}"/>
    <cellStyle name="Normal 3 3 3 3 2 4 3" xfId="13238" xr:uid="{00000000-0005-0000-0000-0000112F0000}"/>
    <cellStyle name="Normal 3 3 3 3 2 5" xfId="13239" xr:uid="{00000000-0005-0000-0000-0000122F0000}"/>
    <cellStyle name="Normal 3 3 3 3 2 6" xfId="13240" xr:uid="{00000000-0005-0000-0000-0000132F0000}"/>
    <cellStyle name="Normal 3 3 3 3 2 7" xfId="13241" xr:uid="{00000000-0005-0000-0000-0000142F0000}"/>
    <cellStyle name="Normal 3 3 3 3 2 8" xfId="13242" xr:uid="{00000000-0005-0000-0000-0000152F0000}"/>
    <cellStyle name="Normal 3 3 3 3 3" xfId="13243" xr:uid="{00000000-0005-0000-0000-0000162F0000}"/>
    <cellStyle name="Normal 3 3 3 3 3 2" xfId="13244" xr:uid="{00000000-0005-0000-0000-0000172F0000}"/>
    <cellStyle name="Normal 3 3 3 3 3 2 2" xfId="13245" xr:uid="{00000000-0005-0000-0000-0000182F0000}"/>
    <cellStyle name="Normal 3 3 3 3 3 2 3" xfId="13246" xr:uid="{00000000-0005-0000-0000-0000192F0000}"/>
    <cellStyle name="Normal 3 3 3 3 3 3" xfId="13247" xr:uid="{00000000-0005-0000-0000-00001A2F0000}"/>
    <cellStyle name="Normal 3 3 3 3 3 4" xfId="13248" xr:uid="{00000000-0005-0000-0000-00001B2F0000}"/>
    <cellStyle name="Normal 3 3 3 3 3 5" xfId="13249" xr:uid="{00000000-0005-0000-0000-00001C2F0000}"/>
    <cellStyle name="Normal 3 3 3 3 3 6" xfId="13250" xr:uid="{00000000-0005-0000-0000-00001D2F0000}"/>
    <cellStyle name="Normal 3 3 3 3 4" xfId="13251" xr:uid="{00000000-0005-0000-0000-00001E2F0000}"/>
    <cellStyle name="Normal 3 3 3 3 4 2" xfId="13252" xr:uid="{00000000-0005-0000-0000-00001F2F0000}"/>
    <cellStyle name="Normal 3 3 3 3 4 2 2" xfId="13253" xr:uid="{00000000-0005-0000-0000-0000202F0000}"/>
    <cellStyle name="Normal 3 3 3 3 4 2 3" xfId="13254" xr:uid="{00000000-0005-0000-0000-0000212F0000}"/>
    <cellStyle name="Normal 3 3 3 3 4 3" xfId="13255" xr:uid="{00000000-0005-0000-0000-0000222F0000}"/>
    <cellStyle name="Normal 3 3 3 3 4 3 2" xfId="13256" xr:uid="{00000000-0005-0000-0000-0000232F0000}"/>
    <cellStyle name="Normal 3 3 3 3 4 4" xfId="13257" xr:uid="{00000000-0005-0000-0000-0000242F0000}"/>
    <cellStyle name="Normal 3 3 3 3 5" xfId="13258" xr:uid="{00000000-0005-0000-0000-0000252F0000}"/>
    <cellStyle name="Normal 3 3 3 3 5 2" xfId="13259" xr:uid="{00000000-0005-0000-0000-0000262F0000}"/>
    <cellStyle name="Normal 3 3 3 3 5 3" xfId="13260" xr:uid="{00000000-0005-0000-0000-0000272F0000}"/>
    <cellStyle name="Normal 3 3 3 3 6" xfId="13261" xr:uid="{00000000-0005-0000-0000-0000282F0000}"/>
    <cellStyle name="Normal 3 3 3 3 7" xfId="13262" xr:uid="{00000000-0005-0000-0000-0000292F0000}"/>
    <cellStyle name="Normal 3 3 3 3 8" xfId="13263" xr:uid="{00000000-0005-0000-0000-00002A2F0000}"/>
    <cellStyle name="Normal 3 3 3 3 9" xfId="13264" xr:uid="{00000000-0005-0000-0000-00002B2F0000}"/>
    <cellStyle name="Normal 3 3 3 4" xfId="13265" xr:uid="{00000000-0005-0000-0000-00002C2F0000}"/>
    <cellStyle name="Normal 3 3 3 4 2" xfId="13266" xr:uid="{00000000-0005-0000-0000-00002D2F0000}"/>
    <cellStyle name="Normal 3 3 3 4 2 2" xfId="13267" xr:uid="{00000000-0005-0000-0000-00002E2F0000}"/>
    <cellStyle name="Normal 3 3 3 4 2 2 2" xfId="13268" xr:uid="{00000000-0005-0000-0000-00002F2F0000}"/>
    <cellStyle name="Normal 3 3 3 4 2 2 3" xfId="13269" xr:uid="{00000000-0005-0000-0000-0000302F0000}"/>
    <cellStyle name="Normal 3 3 3 4 2 2 4" xfId="13270" xr:uid="{00000000-0005-0000-0000-0000312F0000}"/>
    <cellStyle name="Normal 3 3 3 4 2 3" xfId="13271" xr:uid="{00000000-0005-0000-0000-0000322F0000}"/>
    <cellStyle name="Normal 3 3 3 4 2 4" xfId="13272" xr:uid="{00000000-0005-0000-0000-0000332F0000}"/>
    <cellStyle name="Normal 3 3 3 4 2 5" xfId="13273" xr:uid="{00000000-0005-0000-0000-0000342F0000}"/>
    <cellStyle name="Normal 3 3 3 4 2 6" xfId="13274" xr:uid="{00000000-0005-0000-0000-0000352F0000}"/>
    <cellStyle name="Normal 3 3 3 4 3" xfId="13275" xr:uid="{00000000-0005-0000-0000-0000362F0000}"/>
    <cellStyle name="Normal 3 3 3 4 3 2" xfId="13276" xr:uid="{00000000-0005-0000-0000-0000372F0000}"/>
    <cellStyle name="Normal 3 3 3 4 3 2 2" xfId="13277" xr:uid="{00000000-0005-0000-0000-0000382F0000}"/>
    <cellStyle name="Normal 3 3 3 4 3 2 3" xfId="13278" xr:uid="{00000000-0005-0000-0000-0000392F0000}"/>
    <cellStyle name="Normal 3 3 3 4 3 3" xfId="13279" xr:uid="{00000000-0005-0000-0000-00003A2F0000}"/>
    <cellStyle name="Normal 3 3 3 4 3 4" xfId="13280" xr:uid="{00000000-0005-0000-0000-00003B2F0000}"/>
    <cellStyle name="Normal 3 3 3 4 3 5" xfId="13281" xr:uid="{00000000-0005-0000-0000-00003C2F0000}"/>
    <cellStyle name="Normal 3 3 3 4 3 6" xfId="13282" xr:uid="{00000000-0005-0000-0000-00003D2F0000}"/>
    <cellStyle name="Normal 3 3 3 4 4" xfId="13283" xr:uid="{00000000-0005-0000-0000-00003E2F0000}"/>
    <cellStyle name="Normal 3 3 3 4 4 2" xfId="13284" xr:uid="{00000000-0005-0000-0000-00003F2F0000}"/>
    <cellStyle name="Normal 3 3 3 4 4 3" xfId="13285" xr:uid="{00000000-0005-0000-0000-0000402F0000}"/>
    <cellStyle name="Normal 3 3 3 4 5" xfId="13286" xr:uid="{00000000-0005-0000-0000-0000412F0000}"/>
    <cellStyle name="Normal 3 3 3 4 6" xfId="13287" xr:uid="{00000000-0005-0000-0000-0000422F0000}"/>
    <cellStyle name="Normal 3 3 3 4 7" xfId="13288" xr:uid="{00000000-0005-0000-0000-0000432F0000}"/>
    <cellStyle name="Normal 3 3 3 4 8" xfId="13289" xr:uid="{00000000-0005-0000-0000-0000442F0000}"/>
    <cellStyle name="Normal 3 3 3 5" xfId="13290" xr:uid="{00000000-0005-0000-0000-0000452F0000}"/>
    <cellStyle name="Normal 3 3 3 5 2" xfId="13291" xr:uid="{00000000-0005-0000-0000-0000462F0000}"/>
    <cellStyle name="Normal 3 3 3 5 2 2" xfId="13292" xr:uid="{00000000-0005-0000-0000-0000472F0000}"/>
    <cellStyle name="Normal 3 3 3 5 3" xfId="13293" xr:uid="{00000000-0005-0000-0000-0000482F0000}"/>
    <cellStyle name="Normal 3 3 3 5 4" xfId="13294" xr:uid="{00000000-0005-0000-0000-0000492F0000}"/>
    <cellStyle name="Normal 3 3 3 5 5" xfId="13295" xr:uid="{00000000-0005-0000-0000-00004A2F0000}"/>
    <cellStyle name="Normal 3 3 3 6" xfId="13296" xr:uid="{00000000-0005-0000-0000-00004B2F0000}"/>
    <cellStyle name="Normal 3 3 3 6 2" xfId="13297" xr:uid="{00000000-0005-0000-0000-00004C2F0000}"/>
    <cellStyle name="Normal 3 3 3 6 2 2" xfId="13298" xr:uid="{00000000-0005-0000-0000-00004D2F0000}"/>
    <cellStyle name="Normal 3 3 3 6 2 3" xfId="13299" xr:uid="{00000000-0005-0000-0000-00004E2F0000}"/>
    <cellStyle name="Normal 3 3 3 6 3" xfId="13300" xr:uid="{00000000-0005-0000-0000-00004F2F0000}"/>
    <cellStyle name="Normal 3 3 3 6 4" xfId="13301" xr:uid="{00000000-0005-0000-0000-0000502F0000}"/>
    <cellStyle name="Normal 3 3 3 6 5" xfId="13302" xr:uid="{00000000-0005-0000-0000-0000512F0000}"/>
    <cellStyle name="Normal 3 3 3 6 6" xfId="13303" xr:uid="{00000000-0005-0000-0000-0000522F0000}"/>
    <cellStyle name="Normal 3 3 3 7" xfId="13304" xr:uid="{00000000-0005-0000-0000-0000532F0000}"/>
    <cellStyle name="Normal 3 3 3 7 2" xfId="13305" xr:uid="{00000000-0005-0000-0000-0000542F0000}"/>
    <cellStyle name="Normal 3 3 3 7 2 2" xfId="13306" xr:uid="{00000000-0005-0000-0000-0000552F0000}"/>
    <cellStyle name="Normal 3 3 3 7 2 3" xfId="13307" xr:uid="{00000000-0005-0000-0000-0000562F0000}"/>
    <cellStyle name="Normal 3 3 3 7 3" xfId="13308" xr:uid="{00000000-0005-0000-0000-0000572F0000}"/>
    <cellStyle name="Normal 3 3 3 7 4" xfId="13309" xr:uid="{00000000-0005-0000-0000-0000582F0000}"/>
    <cellStyle name="Normal 3 3 3 7 5" xfId="13310" xr:uid="{00000000-0005-0000-0000-0000592F0000}"/>
    <cellStyle name="Normal 3 3 3 7 6" xfId="13311" xr:uid="{00000000-0005-0000-0000-00005A2F0000}"/>
    <cellStyle name="Normal 3 3 3 8" xfId="13312" xr:uid="{00000000-0005-0000-0000-00005B2F0000}"/>
    <cellStyle name="Normal 3 3 3 8 2" xfId="13313" xr:uid="{00000000-0005-0000-0000-00005C2F0000}"/>
    <cellStyle name="Normal 3 3 3 8 3" xfId="13314" xr:uid="{00000000-0005-0000-0000-00005D2F0000}"/>
    <cellStyle name="Normal 3 3 3 9" xfId="13315" xr:uid="{00000000-0005-0000-0000-00005E2F0000}"/>
    <cellStyle name="Normal 3 3 30" xfId="5362" xr:uid="{00000000-0005-0000-0000-0000CF2C0000}"/>
    <cellStyle name="Normal 3 3 4" xfId="2191" xr:uid="{00000000-0005-0000-0000-00003E080000}"/>
    <cellStyle name="Normal 3 3 4 10" xfId="13316" xr:uid="{00000000-0005-0000-0000-0000602F0000}"/>
    <cellStyle name="Normal 3 3 4 2" xfId="13317" xr:uid="{00000000-0005-0000-0000-0000612F0000}"/>
    <cellStyle name="Normal 3 3 4 2 2" xfId="13318" xr:uid="{00000000-0005-0000-0000-0000622F0000}"/>
    <cellStyle name="Normal 3 3 4 2 2 2" xfId="13319" xr:uid="{00000000-0005-0000-0000-0000632F0000}"/>
    <cellStyle name="Normal 3 3 4 2 2 2 2" xfId="13320" xr:uid="{00000000-0005-0000-0000-0000642F0000}"/>
    <cellStyle name="Normal 3 3 4 2 2 2 2 2" xfId="13321" xr:uid="{00000000-0005-0000-0000-0000652F0000}"/>
    <cellStyle name="Normal 3 3 4 2 2 2 2 3" xfId="13322" xr:uid="{00000000-0005-0000-0000-0000662F0000}"/>
    <cellStyle name="Normal 3 3 4 2 2 2 3" xfId="13323" xr:uid="{00000000-0005-0000-0000-0000672F0000}"/>
    <cellStyle name="Normal 3 3 4 2 2 2 4" xfId="13324" xr:uid="{00000000-0005-0000-0000-0000682F0000}"/>
    <cellStyle name="Normal 3 3 4 2 2 2 5" xfId="13325" xr:uid="{00000000-0005-0000-0000-0000692F0000}"/>
    <cellStyle name="Normal 3 3 4 2 2 2 6" xfId="13326" xr:uid="{00000000-0005-0000-0000-00006A2F0000}"/>
    <cellStyle name="Normal 3 3 4 2 2 3" xfId="13327" xr:uid="{00000000-0005-0000-0000-00006B2F0000}"/>
    <cellStyle name="Normal 3 3 4 2 2 3 2" xfId="13328" xr:uid="{00000000-0005-0000-0000-00006C2F0000}"/>
    <cellStyle name="Normal 3 3 4 2 2 3 2 2" xfId="13329" xr:uid="{00000000-0005-0000-0000-00006D2F0000}"/>
    <cellStyle name="Normal 3 3 4 2 2 3 2 3" xfId="13330" xr:uid="{00000000-0005-0000-0000-00006E2F0000}"/>
    <cellStyle name="Normal 3 3 4 2 2 3 3" xfId="13331" xr:uid="{00000000-0005-0000-0000-00006F2F0000}"/>
    <cellStyle name="Normal 3 3 4 2 2 3 3 2" xfId="13332" xr:uid="{00000000-0005-0000-0000-0000702F0000}"/>
    <cellStyle name="Normal 3 3 4 2 2 3 4" xfId="13333" xr:uid="{00000000-0005-0000-0000-0000712F0000}"/>
    <cellStyle name="Normal 3 3 4 2 2 4" xfId="13334" xr:uid="{00000000-0005-0000-0000-0000722F0000}"/>
    <cellStyle name="Normal 3 3 4 2 2 4 2" xfId="13335" xr:uid="{00000000-0005-0000-0000-0000732F0000}"/>
    <cellStyle name="Normal 3 3 4 2 2 4 3" xfId="13336" xr:uid="{00000000-0005-0000-0000-0000742F0000}"/>
    <cellStyle name="Normal 3 3 4 2 2 5" xfId="13337" xr:uid="{00000000-0005-0000-0000-0000752F0000}"/>
    <cellStyle name="Normal 3 3 4 2 2 6" xfId="13338" xr:uid="{00000000-0005-0000-0000-0000762F0000}"/>
    <cellStyle name="Normal 3 3 4 2 2 7" xfId="13339" xr:uid="{00000000-0005-0000-0000-0000772F0000}"/>
    <cellStyle name="Normal 3 3 4 2 2 8" xfId="13340" xr:uid="{00000000-0005-0000-0000-0000782F0000}"/>
    <cellStyle name="Normal 3 3 4 2 3" xfId="13341" xr:uid="{00000000-0005-0000-0000-0000792F0000}"/>
    <cellStyle name="Normal 3 3 4 2 3 2" xfId="13342" xr:uid="{00000000-0005-0000-0000-00007A2F0000}"/>
    <cellStyle name="Normal 3 3 4 2 3 2 2" xfId="13343" xr:uid="{00000000-0005-0000-0000-00007B2F0000}"/>
    <cellStyle name="Normal 3 3 4 2 3 2 3" xfId="13344" xr:uid="{00000000-0005-0000-0000-00007C2F0000}"/>
    <cellStyle name="Normal 3 3 4 2 3 3" xfId="13345" xr:uid="{00000000-0005-0000-0000-00007D2F0000}"/>
    <cellStyle name="Normal 3 3 4 2 3 4" xfId="13346" xr:uid="{00000000-0005-0000-0000-00007E2F0000}"/>
    <cellStyle name="Normal 3 3 4 2 3 5" xfId="13347" xr:uid="{00000000-0005-0000-0000-00007F2F0000}"/>
    <cellStyle name="Normal 3 3 4 2 3 6" xfId="13348" xr:uid="{00000000-0005-0000-0000-0000802F0000}"/>
    <cellStyle name="Normal 3 3 4 2 4" xfId="13349" xr:uid="{00000000-0005-0000-0000-0000812F0000}"/>
    <cellStyle name="Normal 3 3 4 2 4 2" xfId="13350" xr:uid="{00000000-0005-0000-0000-0000822F0000}"/>
    <cellStyle name="Normal 3 3 4 2 4 2 2" xfId="13351" xr:uid="{00000000-0005-0000-0000-0000832F0000}"/>
    <cellStyle name="Normal 3 3 4 2 4 2 3" xfId="13352" xr:uid="{00000000-0005-0000-0000-0000842F0000}"/>
    <cellStyle name="Normal 3 3 4 2 4 3" xfId="13353" xr:uid="{00000000-0005-0000-0000-0000852F0000}"/>
    <cellStyle name="Normal 3 3 4 2 4 3 2" xfId="13354" xr:uid="{00000000-0005-0000-0000-0000862F0000}"/>
    <cellStyle name="Normal 3 3 4 2 4 4" xfId="13355" xr:uid="{00000000-0005-0000-0000-0000872F0000}"/>
    <cellStyle name="Normal 3 3 4 2 5" xfId="13356" xr:uid="{00000000-0005-0000-0000-0000882F0000}"/>
    <cellStyle name="Normal 3 3 4 2 5 2" xfId="13357" xr:uid="{00000000-0005-0000-0000-0000892F0000}"/>
    <cellStyle name="Normal 3 3 4 2 5 3" xfId="13358" xr:uid="{00000000-0005-0000-0000-00008A2F0000}"/>
    <cellStyle name="Normal 3 3 4 2 6" xfId="13359" xr:uid="{00000000-0005-0000-0000-00008B2F0000}"/>
    <cellStyle name="Normal 3 3 4 2 7" xfId="13360" xr:uid="{00000000-0005-0000-0000-00008C2F0000}"/>
    <cellStyle name="Normal 3 3 4 2 8" xfId="13361" xr:uid="{00000000-0005-0000-0000-00008D2F0000}"/>
    <cellStyle name="Normal 3 3 4 2 9" xfId="13362" xr:uid="{00000000-0005-0000-0000-00008E2F0000}"/>
    <cellStyle name="Normal 3 3 4 3" xfId="13363" xr:uid="{00000000-0005-0000-0000-00008F2F0000}"/>
    <cellStyle name="Normal 3 3 4 3 2" xfId="13364" xr:uid="{00000000-0005-0000-0000-0000902F0000}"/>
    <cellStyle name="Normal 3 3 4 3 2 2" xfId="13365" xr:uid="{00000000-0005-0000-0000-0000912F0000}"/>
    <cellStyle name="Normal 3 3 4 3 2 2 2" xfId="13366" xr:uid="{00000000-0005-0000-0000-0000922F0000}"/>
    <cellStyle name="Normal 3 3 4 3 2 2 3" xfId="13367" xr:uid="{00000000-0005-0000-0000-0000932F0000}"/>
    <cellStyle name="Normal 3 3 4 3 2 2 4" xfId="13368" xr:uid="{00000000-0005-0000-0000-0000942F0000}"/>
    <cellStyle name="Normal 3 3 4 3 2 3" xfId="13369" xr:uid="{00000000-0005-0000-0000-0000952F0000}"/>
    <cellStyle name="Normal 3 3 4 3 2 4" xfId="13370" xr:uid="{00000000-0005-0000-0000-0000962F0000}"/>
    <cellStyle name="Normal 3 3 4 3 2 5" xfId="13371" xr:uid="{00000000-0005-0000-0000-0000972F0000}"/>
    <cellStyle name="Normal 3 3 4 3 2 6" xfId="13372" xr:uid="{00000000-0005-0000-0000-0000982F0000}"/>
    <cellStyle name="Normal 3 3 4 3 3" xfId="13373" xr:uid="{00000000-0005-0000-0000-0000992F0000}"/>
    <cellStyle name="Normal 3 3 4 3 3 2" xfId="13374" xr:uid="{00000000-0005-0000-0000-00009A2F0000}"/>
    <cellStyle name="Normal 3 3 4 3 3 2 2" xfId="13375" xr:uid="{00000000-0005-0000-0000-00009B2F0000}"/>
    <cellStyle name="Normal 3 3 4 3 3 2 3" xfId="13376" xr:uid="{00000000-0005-0000-0000-00009C2F0000}"/>
    <cellStyle name="Normal 3 3 4 3 3 3" xfId="13377" xr:uid="{00000000-0005-0000-0000-00009D2F0000}"/>
    <cellStyle name="Normal 3 3 4 3 3 4" xfId="13378" xr:uid="{00000000-0005-0000-0000-00009E2F0000}"/>
    <cellStyle name="Normal 3 3 4 3 3 5" xfId="13379" xr:uid="{00000000-0005-0000-0000-00009F2F0000}"/>
    <cellStyle name="Normal 3 3 4 3 3 6" xfId="13380" xr:uid="{00000000-0005-0000-0000-0000A02F0000}"/>
    <cellStyle name="Normal 3 3 4 3 4" xfId="13381" xr:uid="{00000000-0005-0000-0000-0000A12F0000}"/>
    <cellStyle name="Normal 3 3 4 3 4 2" xfId="13382" xr:uid="{00000000-0005-0000-0000-0000A22F0000}"/>
    <cellStyle name="Normal 3 3 4 3 4 3" xfId="13383" xr:uid="{00000000-0005-0000-0000-0000A32F0000}"/>
    <cellStyle name="Normal 3 3 4 3 5" xfId="13384" xr:uid="{00000000-0005-0000-0000-0000A42F0000}"/>
    <cellStyle name="Normal 3 3 4 3 6" xfId="13385" xr:uid="{00000000-0005-0000-0000-0000A52F0000}"/>
    <cellStyle name="Normal 3 3 4 3 7" xfId="13386" xr:uid="{00000000-0005-0000-0000-0000A62F0000}"/>
    <cellStyle name="Normal 3 3 4 3 8" xfId="13387" xr:uid="{00000000-0005-0000-0000-0000A72F0000}"/>
    <cellStyle name="Normal 3 3 4 4" xfId="13388" xr:uid="{00000000-0005-0000-0000-0000A82F0000}"/>
    <cellStyle name="Normal 3 3 4 4 2" xfId="13389" xr:uid="{00000000-0005-0000-0000-0000A92F0000}"/>
    <cellStyle name="Normal 3 3 4 4 2 2" xfId="13390" xr:uid="{00000000-0005-0000-0000-0000AA2F0000}"/>
    <cellStyle name="Normal 3 3 4 4 3" xfId="13391" xr:uid="{00000000-0005-0000-0000-0000AB2F0000}"/>
    <cellStyle name="Normal 3 3 4 4 4" xfId="13392" xr:uid="{00000000-0005-0000-0000-0000AC2F0000}"/>
    <cellStyle name="Normal 3 3 4 4 5" xfId="13393" xr:uid="{00000000-0005-0000-0000-0000AD2F0000}"/>
    <cellStyle name="Normal 3 3 4 5" xfId="13394" xr:uid="{00000000-0005-0000-0000-0000AE2F0000}"/>
    <cellStyle name="Normal 3 3 4 5 2" xfId="13395" xr:uid="{00000000-0005-0000-0000-0000AF2F0000}"/>
    <cellStyle name="Normal 3 3 4 5 2 2" xfId="13396" xr:uid="{00000000-0005-0000-0000-0000B02F0000}"/>
    <cellStyle name="Normal 3 3 4 5 2 3" xfId="13397" xr:uid="{00000000-0005-0000-0000-0000B12F0000}"/>
    <cellStyle name="Normal 3 3 4 5 3" xfId="13398" xr:uid="{00000000-0005-0000-0000-0000B22F0000}"/>
    <cellStyle name="Normal 3 3 4 5 4" xfId="13399" xr:uid="{00000000-0005-0000-0000-0000B32F0000}"/>
    <cellStyle name="Normal 3 3 4 5 5" xfId="13400" xr:uid="{00000000-0005-0000-0000-0000B42F0000}"/>
    <cellStyle name="Normal 3 3 4 5 6" xfId="13401" xr:uid="{00000000-0005-0000-0000-0000B52F0000}"/>
    <cellStyle name="Normal 3 3 4 6" xfId="13402" xr:uid="{00000000-0005-0000-0000-0000B62F0000}"/>
    <cellStyle name="Normal 3 3 4 6 2" xfId="13403" xr:uid="{00000000-0005-0000-0000-0000B72F0000}"/>
    <cellStyle name="Normal 3 3 4 6 2 2" xfId="13404" xr:uid="{00000000-0005-0000-0000-0000B82F0000}"/>
    <cellStyle name="Normal 3 3 4 6 2 3" xfId="13405" xr:uid="{00000000-0005-0000-0000-0000B92F0000}"/>
    <cellStyle name="Normal 3 3 4 6 3" xfId="13406" xr:uid="{00000000-0005-0000-0000-0000BA2F0000}"/>
    <cellStyle name="Normal 3 3 4 6 4" xfId="13407" xr:uid="{00000000-0005-0000-0000-0000BB2F0000}"/>
    <cellStyle name="Normal 3 3 4 6 5" xfId="13408" xr:uid="{00000000-0005-0000-0000-0000BC2F0000}"/>
    <cellStyle name="Normal 3 3 4 6 6" xfId="13409" xr:uid="{00000000-0005-0000-0000-0000BD2F0000}"/>
    <cellStyle name="Normal 3 3 4 7" xfId="13410" xr:uid="{00000000-0005-0000-0000-0000BE2F0000}"/>
    <cellStyle name="Normal 3 3 4 7 2" xfId="13411" xr:uid="{00000000-0005-0000-0000-0000BF2F0000}"/>
    <cellStyle name="Normal 3 3 4 7 3" xfId="13412" xr:uid="{00000000-0005-0000-0000-0000C02F0000}"/>
    <cellStyle name="Normal 3 3 4 8" xfId="13413" xr:uid="{00000000-0005-0000-0000-0000C12F0000}"/>
    <cellStyle name="Normal 3 3 4 9" xfId="13414" xr:uid="{00000000-0005-0000-0000-0000C22F0000}"/>
    <cellStyle name="Normal 3 3 5" xfId="2192" xr:uid="{00000000-0005-0000-0000-00003F080000}"/>
    <cellStyle name="Normal 3 3 5 2" xfId="13415" xr:uid="{00000000-0005-0000-0000-0000C42F0000}"/>
    <cellStyle name="Normal 3 3 5 2 2" xfId="13416" xr:uid="{00000000-0005-0000-0000-0000C52F0000}"/>
    <cellStyle name="Normal 3 3 5 2 2 2" xfId="13417" xr:uid="{00000000-0005-0000-0000-0000C62F0000}"/>
    <cellStyle name="Normal 3 3 5 2 2 2 2" xfId="13418" xr:uid="{00000000-0005-0000-0000-0000C72F0000}"/>
    <cellStyle name="Normal 3 3 5 2 2 2 2 2" xfId="13419" xr:uid="{00000000-0005-0000-0000-0000C82F0000}"/>
    <cellStyle name="Normal 3 3 5 2 2 2 2 3" xfId="13420" xr:uid="{00000000-0005-0000-0000-0000C92F0000}"/>
    <cellStyle name="Normal 3 3 5 2 2 2 3" xfId="13421" xr:uid="{00000000-0005-0000-0000-0000CA2F0000}"/>
    <cellStyle name="Normal 3 3 5 2 2 2 3 2" xfId="13422" xr:uid="{00000000-0005-0000-0000-0000CB2F0000}"/>
    <cellStyle name="Normal 3 3 5 2 2 2 4" xfId="13423" xr:uid="{00000000-0005-0000-0000-0000CC2F0000}"/>
    <cellStyle name="Normal 3 3 5 2 2 3" xfId="13424" xr:uid="{00000000-0005-0000-0000-0000CD2F0000}"/>
    <cellStyle name="Normal 3 3 5 2 2 3 2" xfId="13425" xr:uid="{00000000-0005-0000-0000-0000CE2F0000}"/>
    <cellStyle name="Normal 3 3 5 2 2 3 3" xfId="13426" xr:uid="{00000000-0005-0000-0000-0000CF2F0000}"/>
    <cellStyle name="Normal 3 3 5 2 2 4" xfId="13427" xr:uid="{00000000-0005-0000-0000-0000D02F0000}"/>
    <cellStyle name="Normal 3 3 5 2 2 5" xfId="13428" xr:uid="{00000000-0005-0000-0000-0000D12F0000}"/>
    <cellStyle name="Normal 3 3 5 2 2 6" xfId="13429" xr:uid="{00000000-0005-0000-0000-0000D22F0000}"/>
    <cellStyle name="Normal 3 3 5 2 2 7" xfId="13430" xr:uid="{00000000-0005-0000-0000-0000D32F0000}"/>
    <cellStyle name="Normal 3 3 5 2 3" xfId="13431" xr:uid="{00000000-0005-0000-0000-0000D42F0000}"/>
    <cellStyle name="Normal 3 3 5 2 3 2" xfId="13432" xr:uid="{00000000-0005-0000-0000-0000D52F0000}"/>
    <cellStyle name="Normal 3 3 5 2 3 2 2" xfId="13433" xr:uid="{00000000-0005-0000-0000-0000D62F0000}"/>
    <cellStyle name="Normal 3 3 5 2 3 2 3" xfId="13434" xr:uid="{00000000-0005-0000-0000-0000D72F0000}"/>
    <cellStyle name="Normal 3 3 5 2 3 3" xfId="13435" xr:uid="{00000000-0005-0000-0000-0000D82F0000}"/>
    <cellStyle name="Normal 3 3 5 2 3 3 2" xfId="13436" xr:uid="{00000000-0005-0000-0000-0000D92F0000}"/>
    <cellStyle name="Normal 3 3 5 2 3 4" xfId="13437" xr:uid="{00000000-0005-0000-0000-0000DA2F0000}"/>
    <cellStyle name="Normal 3 3 5 2 4" xfId="13438" xr:uid="{00000000-0005-0000-0000-0000DB2F0000}"/>
    <cellStyle name="Normal 3 3 5 2 5" xfId="13439" xr:uid="{00000000-0005-0000-0000-0000DC2F0000}"/>
    <cellStyle name="Normal 3 3 5 2 6" xfId="13440" xr:uid="{00000000-0005-0000-0000-0000DD2F0000}"/>
    <cellStyle name="Normal 3 3 5 3" xfId="13441" xr:uid="{00000000-0005-0000-0000-0000DE2F0000}"/>
    <cellStyle name="Normal 3 3 5 3 2" xfId="13442" xr:uid="{00000000-0005-0000-0000-0000DF2F0000}"/>
    <cellStyle name="Normal 3 3 5 3 2 2" xfId="13443" xr:uid="{00000000-0005-0000-0000-0000E02F0000}"/>
    <cellStyle name="Normal 3 3 5 3 2 3" xfId="13444" xr:uid="{00000000-0005-0000-0000-0000E12F0000}"/>
    <cellStyle name="Normal 3 3 5 3 2 4" xfId="13445" xr:uid="{00000000-0005-0000-0000-0000E22F0000}"/>
    <cellStyle name="Normal 3 3 5 3 3" xfId="13446" xr:uid="{00000000-0005-0000-0000-0000E32F0000}"/>
    <cellStyle name="Normal 3 3 5 3 4" xfId="13447" xr:uid="{00000000-0005-0000-0000-0000E42F0000}"/>
    <cellStyle name="Normal 3 3 5 3 5" xfId="13448" xr:uid="{00000000-0005-0000-0000-0000E52F0000}"/>
    <cellStyle name="Normal 3 3 5 3 6" xfId="13449" xr:uid="{00000000-0005-0000-0000-0000E62F0000}"/>
    <cellStyle name="Normal 3 3 5 4" xfId="13450" xr:uid="{00000000-0005-0000-0000-0000E72F0000}"/>
    <cellStyle name="Normal 3 3 5 4 2" xfId="13451" xr:uid="{00000000-0005-0000-0000-0000E82F0000}"/>
    <cellStyle name="Normal 3 3 5 4 2 2" xfId="13452" xr:uid="{00000000-0005-0000-0000-0000E92F0000}"/>
    <cellStyle name="Normal 3 3 5 4 2 3" xfId="13453" xr:uid="{00000000-0005-0000-0000-0000EA2F0000}"/>
    <cellStyle name="Normal 3 3 5 4 3" xfId="13454" xr:uid="{00000000-0005-0000-0000-0000EB2F0000}"/>
    <cellStyle name="Normal 3 3 5 4 4" xfId="13455" xr:uid="{00000000-0005-0000-0000-0000EC2F0000}"/>
    <cellStyle name="Normal 3 3 5 4 5" xfId="13456" xr:uid="{00000000-0005-0000-0000-0000ED2F0000}"/>
    <cellStyle name="Normal 3 3 5 4 6" xfId="13457" xr:uid="{00000000-0005-0000-0000-0000EE2F0000}"/>
    <cellStyle name="Normal 3 3 5 5" xfId="13458" xr:uid="{00000000-0005-0000-0000-0000EF2F0000}"/>
    <cellStyle name="Normal 3 3 5 5 2" xfId="13459" xr:uid="{00000000-0005-0000-0000-0000F02F0000}"/>
    <cellStyle name="Normal 3 3 5 5 3" xfId="13460" xr:uid="{00000000-0005-0000-0000-0000F12F0000}"/>
    <cellStyle name="Normal 3 3 5 5 4" xfId="13461" xr:uid="{00000000-0005-0000-0000-0000F22F0000}"/>
    <cellStyle name="Normal 3 3 5 6" xfId="13462" xr:uid="{00000000-0005-0000-0000-0000F32F0000}"/>
    <cellStyle name="Normal 3 3 5 7" xfId="13463" xr:uid="{00000000-0005-0000-0000-0000F42F0000}"/>
    <cellStyle name="Normal 3 3 5 8" xfId="13464" xr:uid="{00000000-0005-0000-0000-0000F52F0000}"/>
    <cellStyle name="Normal 3 3 6" xfId="2193" xr:uid="{00000000-0005-0000-0000-000040080000}"/>
    <cellStyle name="Normal 3 3 6 2" xfId="13465" xr:uid="{00000000-0005-0000-0000-0000F72F0000}"/>
    <cellStyle name="Normal 3 3 6 2 2" xfId="13466" xr:uid="{00000000-0005-0000-0000-0000F82F0000}"/>
    <cellStyle name="Normal 3 3 6 2 2 2" xfId="13467" xr:uid="{00000000-0005-0000-0000-0000F92F0000}"/>
    <cellStyle name="Normal 3 3 6 2 3" xfId="13468" xr:uid="{00000000-0005-0000-0000-0000FA2F0000}"/>
    <cellStyle name="Normal 3 3 6 2 4" xfId="13469" xr:uid="{00000000-0005-0000-0000-0000FB2F0000}"/>
    <cellStyle name="Normal 3 3 6 2 5" xfId="13470" xr:uid="{00000000-0005-0000-0000-0000FC2F0000}"/>
    <cellStyle name="Normal 3 3 6 3" xfId="13471" xr:uid="{00000000-0005-0000-0000-0000FD2F0000}"/>
    <cellStyle name="Normal 3 3 6 3 2" xfId="13472" xr:uid="{00000000-0005-0000-0000-0000FE2F0000}"/>
    <cellStyle name="Normal 3 3 6 3 2 2" xfId="13473" xr:uid="{00000000-0005-0000-0000-0000FF2F0000}"/>
    <cellStyle name="Normal 3 3 6 3 2 3" xfId="13474" xr:uid="{00000000-0005-0000-0000-000000300000}"/>
    <cellStyle name="Normal 3 3 6 3 3" xfId="13475" xr:uid="{00000000-0005-0000-0000-000001300000}"/>
    <cellStyle name="Normal 3 3 6 3 4" xfId="13476" xr:uid="{00000000-0005-0000-0000-000002300000}"/>
    <cellStyle name="Normal 3 3 6 3 5" xfId="13477" xr:uid="{00000000-0005-0000-0000-000003300000}"/>
    <cellStyle name="Normal 3 3 6 3 6" xfId="13478" xr:uid="{00000000-0005-0000-0000-000004300000}"/>
    <cellStyle name="Normal 3 3 6 4" xfId="13479" xr:uid="{00000000-0005-0000-0000-000005300000}"/>
    <cellStyle name="Normal 3 3 6 4 2" xfId="13480" xr:uid="{00000000-0005-0000-0000-000006300000}"/>
    <cellStyle name="Normal 3 3 6 4 2 2" xfId="13481" xr:uid="{00000000-0005-0000-0000-000007300000}"/>
    <cellStyle name="Normal 3 3 6 4 2 3" xfId="13482" xr:uid="{00000000-0005-0000-0000-000008300000}"/>
    <cellStyle name="Normal 3 3 6 4 3" xfId="13483" xr:uid="{00000000-0005-0000-0000-000009300000}"/>
    <cellStyle name="Normal 3 3 6 4 4" xfId="13484" xr:uid="{00000000-0005-0000-0000-00000A300000}"/>
    <cellStyle name="Normal 3 3 6 4 5" xfId="13485" xr:uid="{00000000-0005-0000-0000-00000B300000}"/>
    <cellStyle name="Normal 3 3 6 4 6" xfId="13486" xr:uid="{00000000-0005-0000-0000-00000C300000}"/>
    <cellStyle name="Normal 3 3 6 5" xfId="13487" xr:uid="{00000000-0005-0000-0000-00000D300000}"/>
    <cellStyle name="Normal 3 3 6 5 2" xfId="13488" xr:uid="{00000000-0005-0000-0000-00000E300000}"/>
    <cellStyle name="Normal 3 3 6 5 3" xfId="13489" xr:uid="{00000000-0005-0000-0000-00000F300000}"/>
    <cellStyle name="Normal 3 3 6 6" xfId="13490" xr:uid="{00000000-0005-0000-0000-000010300000}"/>
    <cellStyle name="Normal 3 3 6 7" xfId="13491" xr:uid="{00000000-0005-0000-0000-000011300000}"/>
    <cellStyle name="Normal 3 3 6 8" xfId="13492" xr:uid="{00000000-0005-0000-0000-000012300000}"/>
    <cellStyle name="Normal 3 3 7" xfId="2194" xr:uid="{00000000-0005-0000-0000-000041080000}"/>
    <cellStyle name="Normal 3 3 7 2" xfId="13493" xr:uid="{00000000-0005-0000-0000-000014300000}"/>
    <cellStyle name="Normal 3 3 7 2 2" xfId="13494" xr:uid="{00000000-0005-0000-0000-000015300000}"/>
    <cellStyle name="Normal 3 3 7 3" xfId="13495" xr:uid="{00000000-0005-0000-0000-000016300000}"/>
    <cellStyle name="Normal 3 3 7 4" xfId="13496" xr:uid="{00000000-0005-0000-0000-000017300000}"/>
    <cellStyle name="Normal 3 3 7 5" xfId="13497" xr:uid="{00000000-0005-0000-0000-000018300000}"/>
    <cellStyle name="Normal 3 3 8" xfId="2195" xr:uid="{00000000-0005-0000-0000-000042080000}"/>
    <cellStyle name="Normal 3 3 8 2" xfId="13498" xr:uid="{00000000-0005-0000-0000-00001A300000}"/>
    <cellStyle name="Normal 3 3 8 3" xfId="13499" xr:uid="{00000000-0005-0000-0000-00001B300000}"/>
    <cellStyle name="Normal 3 3 9" xfId="2196" xr:uid="{00000000-0005-0000-0000-000043080000}"/>
    <cellStyle name="Normal 3 3 9 2" xfId="13500" xr:uid="{00000000-0005-0000-0000-00001D300000}"/>
    <cellStyle name="Normal 3 3 9 3" xfId="13501" xr:uid="{00000000-0005-0000-0000-00001E300000}"/>
    <cellStyle name="Normal 3 3_App b.3 Unspent_" xfId="2197" xr:uid="{00000000-0005-0000-0000-000044080000}"/>
    <cellStyle name="Normal 3 30" xfId="2198" xr:uid="{00000000-0005-0000-0000-000045080000}"/>
    <cellStyle name="Normal 3 30 10" xfId="2199" xr:uid="{00000000-0005-0000-0000-000046080000}"/>
    <cellStyle name="Normal 3 30 10 2" xfId="13502" xr:uid="{00000000-0005-0000-0000-000021300000}"/>
    <cellStyle name="Normal 3 30 10 3" xfId="13503" xr:uid="{00000000-0005-0000-0000-000022300000}"/>
    <cellStyle name="Normal 3 30 11" xfId="2200" xr:uid="{00000000-0005-0000-0000-000047080000}"/>
    <cellStyle name="Normal 3 30 11 2" xfId="13504" xr:uid="{00000000-0005-0000-0000-000024300000}"/>
    <cellStyle name="Normal 3 30 11 3" xfId="13505" xr:uid="{00000000-0005-0000-0000-000025300000}"/>
    <cellStyle name="Normal 3 30 12" xfId="2201" xr:uid="{00000000-0005-0000-0000-000048080000}"/>
    <cellStyle name="Normal 3 30 12 2" xfId="13506" xr:uid="{00000000-0005-0000-0000-000027300000}"/>
    <cellStyle name="Normal 3 30 12 3" xfId="13507" xr:uid="{00000000-0005-0000-0000-000028300000}"/>
    <cellStyle name="Normal 3 30 13" xfId="2202" xr:uid="{00000000-0005-0000-0000-000049080000}"/>
    <cellStyle name="Normal 3 30 13 2" xfId="13508" xr:uid="{00000000-0005-0000-0000-00002A300000}"/>
    <cellStyle name="Normal 3 30 13 3" xfId="13509" xr:uid="{00000000-0005-0000-0000-00002B300000}"/>
    <cellStyle name="Normal 3 30 14" xfId="2203" xr:uid="{00000000-0005-0000-0000-00004A080000}"/>
    <cellStyle name="Normal 3 30 14 2" xfId="13510" xr:uid="{00000000-0005-0000-0000-00002D300000}"/>
    <cellStyle name="Normal 3 30 14 3" xfId="13511" xr:uid="{00000000-0005-0000-0000-00002E300000}"/>
    <cellStyle name="Normal 3 30 15" xfId="2204" xr:uid="{00000000-0005-0000-0000-00004B080000}"/>
    <cellStyle name="Normal 3 30 15 2" xfId="13512" xr:uid="{00000000-0005-0000-0000-000030300000}"/>
    <cellStyle name="Normal 3 30 15 3" xfId="13513" xr:uid="{00000000-0005-0000-0000-000031300000}"/>
    <cellStyle name="Normal 3 30 16" xfId="2205" xr:uid="{00000000-0005-0000-0000-00004C080000}"/>
    <cellStyle name="Normal 3 30 16 2" xfId="13514" xr:uid="{00000000-0005-0000-0000-000033300000}"/>
    <cellStyle name="Normal 3 30 16 3" xfId="13515" xr:uid="{00000000-0005-0000-0000-000034300000}"/>
    <cellStyle name="Normal 3 30 17" xfId="2206" xr:uid="{00000000-0005-0000-0000-00004D080000}"/>
    <cellStyle name="Normal 3 30 17 2" xfId="13516" xr:uid="{00000000-0005-0000-0000-000036300000}"/>
    <cellStyle name="Normal 3 30 17 3" xfId="13517" xr:uid="{00000000-0005-0000-0000-000037300000}"/>
    <cellStyle name="Normal 3 30 18" xfId="2207" xr:uid="{00000000-0005-0000-0000-00004E080000}"/>
    <cellStyle name="Normal 3 30 18 2" xfId="13518" xr:uid="{00000000-0005-0000-0000-000039300000}"/>
    <cellStyle name="Normal 3 30 18 3" xfId="13519" xr:uid="{00000000-0005-0000-0000-00003A300000}"/>
    <cellStyle name="Normal 3 30 19" xfId="2208" xr:uid="{00000000-0005-0000-0000-00004F080000}"/>
    <cellStyle name="Normal 3 30 19 2" xfId="13520" xr:uid="{00000000-0005-0000-0000-00003C300000}"/>
    <cellStyle name="Normal 3 30 19 3" xfId="13521" xr:uid="{00000000-0005-0000-0000-00003D300000}"/>
    <cellStyle name="Normal 3 30 2" xfId="2209" xr:uid="{00000000-0005-0000-0000-000050080000}"/>
    <cellStyle name="Normal 3 30 2 2" xfId="13522" xr:uid="{00000000-0005-0000-0000-00003F300000}"/>
    <cellStyle name="Normal 3 30 2 3" xfId="13523" xr:uid="{00000000-0005-0000-0000-000040300000}"/>
    <cellStyle name="Normal 3 30 20" xfId="2210" xr:uid="{00000000-0005-0000-0000-000051080000}"/>
    <cellStyle name="Normal 3 30 20 2" xfId="13524" xr:uid="{00000000-0005-0000-0000-000042300000}"/>
    <cellStyle name="Normal 3 30 20 3" xfId="13525" xr:uid="{00000000-0005-0000-0000-000043300000}"/>
    <cellStyle name="Normal 3 30 21" xfId="2211" xr:uid="{00000000-0005-0000-0000-000052080000}"/>
    <cellStyle name="Normal 3 30 21 2" xfId="13526" xr:uid="{00000000-0005-0000-0000-000045300000}"/>
    <cellStyle name="Normal 3 30 21 3" xfId="13527" xr:uid="{00000000-0005-0000-0000-000046300000}"/>
    <cellStyle name="Normal 3 30 22" xfId="2212" xr:uid="{00000000-0005-0000-0000-000053080000}"/>
    <cellStyle name="Normal 3 30 22 2" xfId="13528" xr:uid="{00000000-0005-0000-0000-000048300000}"/>
    <cellStyle name="Normal 3 30 22 3" xfId="13529" xr:uid="{00000000-0005-0000-0000-000049300000}"/>
    <cellStyle name="Normal 3 30 23" xfId="2213" xr:uid="{00000000-0005-0000-0000-000054080000}"/>
    <cellStyle name="Normal 3 30 23 2" xfId="13530" xr:uid="{00000000-0005-0000-0000-00004B300000}"/>
    <cellStyle name="Normal 3 30 23 3" xfId="13531" xr:uid="{00000000-0005-0000-0000-00004C300000}"/>
    <cellStyle name="Normal 3 30 24" xfId="13532" xr:uid="{00000000-0005-0000-0000-00004D300000}"/>
    <cellStyle name="Normal 3 30 25" xfId="13533" xr:uid="{00000000-0005-0000-0000-00004E300000}"/>
    <cellStyle name="Normal 3 30 3" xfId="2214" xr:uid="{00000000-0005-0000-0000-000055080000}"/>
    <cellStyle name="Normal 3 30 3 2" xfId="13534" xr:uid="{00000000-0005-0000-0000-000050300000}"/>
    <cellStyle name="Normal 3 30 3 3" xfId="13535" xr:uid="{00000000-0005-0000-0000-000051300000}"/>
    <cellStyle name="Normal 3 30 4" xfId="2215" xr:uid="{00000000-0005-0000-0000-000056080000}"/>
    <cellStyle name="Normal 3 30 4 2" xfId="13536" xr:uid="{00000000-0005-0000-0000-000053300000}"/>
    <cellStyle name="Normal 3 30 4 3" xfId="13537" xr:uid="{00000000-0005-0000-0000-000054300000}"/>
    <cellStyle name="Normal 3 30 5" xfId="2216" xr:uid="{00000000-0005-0000-0000-000057080000}"/>
    <cellStyle name="Normal 3 30 5 2" xfId="13538" xr:uid="{00000000-0005-0000-0000-000056300000}"/>
    <cellStyle name="Normal 3 30 5 3" xfId="13539" xr:uid="{00000000-0005-0000-0000-000057300000}"/>
    <cellStyle name="Normal 3 30 6" xfId="2217" xr:uid="{00000000-0005-0000-0000-000058080000}"/>
    <cellStyle name="Normal 3 30 6 2" xfId="13540" xr:uid="{00000000-0005-0000-0000-000059300000}"/>
    <cellStyle name="Normal 3 30 6 3" xfId="13541" xr:uid="{00000000-0005-0000-0000-00005A300000}"/>
    <cellStyle name="Normal 3 30 7" xfId="2218" xr:uid="{00000000-0005-0000-0000-000059080000}"/>
    <cellStyle name="Normal 3 30 7 2" xfId="13542" xr:uid="{00000000-0005-0000-0000-00005C300000}"/>
    <cellStyle name="Normal 3 30 7 3" xfId="13543" xr:uid="{00000000-0005-0000-0000-00005D300000}"/>
    <cellStyle name="Normal 3 30 8" xfId="2219" xr:uid="{00000000-0005-0000-0000-00005A080000}"/>
    <cellStyle name="Normal 3 30 8 2" xfId="13544" xr:uid="{00000000-0005-0000-0000-00005F300000}"/>
    <cellStyle name="Normal 3 30 8 3" xfId="13545" xr:uid="{00000000-0005-0000-0000-000060300000}"/>
    <cellStyle name="Normal 3 30 9" xfId="2220" xr:uid="{00000000-0005-0000-0000-00005B080000}"/>
    <cellStyle name="Normal 3 30 9 2" xfId="13546" xr:uid="{00000000-0005-0000-0000-000062300000}"/>
    <cellStyle name="Normal 3 30 9 3" xfId="13547" xr:uid="{00000000-0005-0000-0000-000063300000}"/>
    <cellStyle name="Normal 3 31" xfId="2221" xr:uid="{00000000-0005-0000-0000-00005C080000}"/>
    <cellStyle name="Normal 3 31 10" xfId="2222" xr:uid="{00000000-0005-0000-0000-00005D080000}"/>
    <cellStyle name="Normal 3 31 10 2" xfId="13548" xr:uid="{00000000-0005-0000-0000-000066300000}"/>
    <cellStyle name="Normal 3 31 10 3" xfId="13549" xr:uid="{00000000-0005-0000-0000-000067300000}"/>
    <cellStyle name="Normal 3 31 11" xfId="2223" xr:uid="{00000000-0005-0000-0000-00005E080000}"/>
    <cellStyle name="Normal 3 31 11 2" xfId="13550" xr:uid="{00000000-0005-0000-0000-000069300000}"/>
    <cellStyle name="Normal 3 31 11 3" xfId="13551" xr:uid="{00000000-0005-0000-0000-00006A300000}"/>
    <cellStyle name="Normal 3 31 12" xfId="2224" xr:uid="{00000000-0005-0000-0000-00005F080000}"/>
    <cellStyle name="Normal 3 31 12 2" xfId="13552" xr:uid="{00000000-0005-0000-0000-00006C300000}"/>
    <cellStyle name="Normal 3 31 12 3" xfId="13553" xr:uid="{00000000-0005-0000-0000-00006D300000}"/>
    <cellStyle name="Normal 3 31 13" xfId="2225" xr:uid="{00000000-0005-0000-0000-000060080000}"/>
    <cellStyle name="Normal 3 31 13 2" xfId="13554" xr:uid="{00000000-0005-0000-0000-00006F300000}"/>
    <cellStyle name="Normal 3 31 13 3" xfId="13555" xr:uid="{00000000-0005-0000-0000-000070300000}"/>
    <cellStyle name="Normal 3 31 14" xfId="2226" xr:uid="{00000000-0005-0000-0000-000061080000}"/>
    <cellStyle name="Normal 3 31 14 2" xfId="13556" xr:uid="{00000000-0005-0000-0000-000072300000}"/>
    <cellStyle name="Normal 3 31 14 3" xfId="13557" xr:uid="{00000000-0005-0000-0000-000073300000}"/>
    <cellStyle name="Normal 3 31 15" xfId="2227" xr:uid="{00000000-0005-0000-0000-000062080000}"/>
    <cellStyle name="Normal 3 31 15 2" xfId="13558" xr:uid="{00000000-0005-0000-0000-000075300000}"/>
    <cellStyle name="Normal 3 31 15 3" xfId="13559" xr:uid="{00000000-0005-0000-0000-000076300000}"/>
    <cellStyle name="Normal 3 31 16" xfId="2228" xr:uid="{00000000-0005-0000-0000-000063080000}"/>
    <cellStyle name="Normal 3 31 16 2" xfId="13560" xr:uid="{00000000-0005-0000-0000-000078300000}"/>
    <cellStyle name="Normal 3 31 16 3" xfId="13561" xr:uid="{00000000-0005-0000-0000-000079300000}"/>
    <cellStyle name="Normal 3 31 17" xfId="2229" xr:uid="{00000000-0005-0000-0000-000064080000}"/>
    <cellStyle name="Normal 3 31 17 2" xfId="13562" xr:uid="{00000000-0005-0000-0000-00007B300000}"/>
    <cellStyle name="Normal 3 31 17 3" xfId="13563" xr:uid="{00000000-0005-0000-0000-00007C300000}"/>
    <cellStyle name="Normal 3 31 18" xfId="2230" xr:uid="{00000000-0005-0000-0000-000065080000}"/>
    <cellStyle name="Normal 3 31 18 2" xfId="13564" xr:uid="{00000000-0005-0000-0000-00007E300000}"/>
    <cellStyle name="Normal 3 31 18 3" xfId="13565" xr:uid="{00000000-0005-0000-0000-00007F300000}"/>
    <cellStyle name="Normal 3 31 19" xfId="2231" xr:uid="{00000000-0005-0000-0000-000066080000}"/>
    <cellStyle name="Normal 3 31 19 2" xfId="13566" xr:uid="{00000000-0005-0000-0000-000081300000}"/>
    <cellStyle name="Normal 3 31 19 3" xfId="13567" xr:uid="{00000000-0005-0000-0000-000082300000}"/>
    <cellStyle name="Normal 3 31 2" xfId="2232" xr:uid="{00000000-0005-0000-0000-000067080000}"/>
    <cellStyle name="Normal 3 31 2 2" xfId="13568" xr:uid="{00000000-0005-0000-0000-000084300000}"/>
    <cellStyle name="Normal 3 31 2 3" xfId="13569" xr:uid="{00000000-0005-0000-0000-000085300000}"/>
    <cellStyle name="Normal 3 31 20" xfId="2233" xr:uid="{00000000-0005-0000-0000-000068080000}"/>
    <cellStyle name="Normal 3 31 20 2" xfId="13570" xr:uid="{00000000-0005-0000-0000-000087300000}"/>
    <cellStyle name="Normal 3 31 20 3" xfId="13571" xr:uid="{00000000-0005-0000-0000-000088300000}"/>
    <cellStyle name="Normal 3 31 21" xfId="2234" xr:uid="{00000000-0005-0000-0000-000069080000}"/>
    <cellStyle name="Normal 3 31 21 2" xfId="13572" xr:uid="{00000000-0005-0000-0000-00008A300000}"/>
    <cellStyle name="Normal 3 31 21 3" xfId="13573" xr:uid="{00000000-0005-0000-0000-00008B300000}"/>
    <cellStyle name="Normal 3 31 22" xfId="2235" xr:uid="{00000000-0005-0000-0000-00006A080000}"/>
    <cellStyle name="Normal 3 31 22 2" xfId="13574" xr:uid="{00000000-0005-0000-0000-00008D300000}"/>
    <cellStyle name="Normal 3 31 22 3" xfId="13575" xr:uid="{00000000-0005-0000-0000-00008E300000}"/>
    <cellStyle name="Normal 3 31 23" xfId="2236" xr:uid="{00000000-0005-0000-0000-00006B080000}"/>
    <cellStyle name="Normal 3 31 23 2" xfId="13576" xr:uid="{00000000-0005-0000-0000-000090300000}"/>
    <cellStyle name="Normal 3 31 23 3" xfId="13577" xr:uid="{00000000-0005-0000-0000-000091300000}"/>
    <cellStyle name="Normal 3 31 24" xfId="13578" xr:uid="{00000000-0005-0000-0000-000092300000}"/>
    <cellStyle name="Normal 3 31 25" xfId="13579" xr:uid="{00000000-0005-0000-0000-000093300000}"/>
    <cellStyle name="Normal 3 31 3" xfId="2237" xr:uid="{00000000-0005-0000-0000-00006C080000}"/>
    <cellStyle name="Normal 3 31 3 2" xfId="13580" xr:uid="{00000000-0005-0000-0000-000095300000}"/>
    <cellStyle name="Normal 3 31 3 3" xfId="13581" xr:uid="{00000000-0005-0000-0000-000096300000}"/>
    <cellStyle name="Normal 3 31 4" xfId="2238" xr:uid="{00000000-0005-0000-0000-00006D080000}"/>
    <cellStyle name="Normal 3 31 4 2" xfId="13582" xr:uid="{00000000-0005-0000-0000-000098300000}"/>
    <cellStyle name="Normal 3 31 4 3" xfId="13583" xr:uid="{00000000-0005-0000-0000-000099300000}"/>
    <cellStyle name="Normal 3 31 5" xfId="2239" xr:uid="{00000000-0005-0000-0000-00006E080000}"/>
    <cellStyle name="Normal 3 31 5 2" xfId="13584" xr:uid="{00000000-0005-0000-0000-00009B300000}"/>
    <cellStyle name="Normal 3 31 5 3" xfId="13585" xr:uid="{00000000-0005-0000-0000-00009C300000}"/>
    <cellStyle name="Normal 3 31 6" xfId="2240" xr:uid="{00000000-0005-0000-0000-00006F080000}"/>
    <cellStyle name="Normal 3 31 6 2" xfId="13586" xr:uid="{00000000-0005-0000-0000-00009E300000}"/>
    <cellStyle name="Normal 3 31 6 3" xfId="13587" xr:uid="{00000000-0005-0000-0000-00009F300000}"/>
    <cellStyle name="Normal 3 31 7" xfId="2241" xr:uid="{00000000-0005-0000-0000-000070080000}"/>
    <cellStyle name="Normal 3 31 7 2" xfId="13588" xr:uid="{00000000-0005-0000-0000-0000A1300000}"/>
    <cellStyle name="Normal 3 31 7 3" xfId="13589" xr:uid="{00000000-0005-0000-0000-0000A2300000}"/>
    <cellStyle name="Normal 3 31 8" xfId="2242" xr:uid="{00000000-0005-0000-0000-000071080000}"/>
    <cellStyle name="Normal 3 31 8 2" xfId="13590" xr:uid="{00000000-0005-0000-0000-0000A4300000}"/>
    <cellStyle name="Normal 3 31 8 3" xfId="13591" xr:uid="{00000000-0005-0000-0000-0000A5300000}"/>
    <cellStyle name="Normal 3 31 9" xfId="2243" xr:uid="{00000000-0005-0000-0000-000072080000}"/>
    <cellStyle name="Normal 3 31 9 2" xfId="13592" xr:uid="{00000000-0005-0000-0000-0000A7300000}"/>
    <cellStyle name="Normal 3 31 9 3" xfId="13593" xr:uid="{00000000-0005-0000-0000-0000A8300000}"/>
    <cellStyle name="Normal 3 32" xfId="2244" xr:uid="{00000000-0005-0000-0000-000073080000}"/>
    <cellStyle name="Normal 3 32 10" xfId="2245" xr:uid="{00000000-0005-0000-0000-000074080000}"/>
    <cellStyle name="Normal 3 32 10 2" xfId="13595" xr:uid="{00000000-0005-0000-0000-0000AB300000}"/>
    <cellStyle name="Normal 3 32 10 3" xfId="13596" xr:uid="{00000000-0005-0000-0000-0000AC300000}"/>
    <cellStyle name="Normal 3 32 11" xfId="2246" xr:uid="{00000000-0005-0000-0000-000075080000}"/>
    <cellStyle name="Normal 3 32 11 2" xfId="13597" xr:uid="{00000000-0005-0000-0000-0000AE300000}"/>
    <cellStyle name="Normal 3 32 11 3" xfId="13598" xr:uid="{00000000-0005-0000-0000-0000AF300000}"/>
    <cellStyle name="Normal 3 32 12" xfId="2247" xr:uid="{00000000-0005-0000-0000-000076080000}"/>
    <cellStyle name="Normal 3 32 12 2" xfId="13600" xr:uid="{00000000-0005-0000-0000-0000B1300000}"/>
    <cellStyle name="Normal 3 32 12 3" xfId="13601" xr:uid="{00000000-0005-0000-0000-0000B2300000}"/>
    <cellStyle name="Normal 3 32 13" xfId="2248" xr:uid="{00000000-0005-0000-0000-000077080000}"/>
    <cellStyle name="Normal 3 32 13 2" xfId="13603" xr:uid="{00000000-0005-0000-0000-0000B4300000}"/>
    <cellStyle name="Normal 3 32 13 3" xfId="13604" xr:uid="{00000000-0005-0000-0000-0000B5300000}"/>
    <cellStyle name="Normal 3 32 14" xfId="2249" xr:uid="{00000000-0005-0000-0000-000078080000}"/>
    <cellStyle name="Normal 3 32 14 2" xfId="13605" xr:uid="{00000000-0005-0000-0000-0000B7300000}"/>
    <cellStyle name="Normal 3 32 14 3" xfId="13606" xr:uid="{00000000-0005-0000-0000-0000B8300000}"/>
    <cellStyle name="Normal 3 32 15" xfId="2250" xr:uid="{00000000-0005-0000-0000-000079080000}"/>
    <cellStyle name="Normal 3 32 15 2" xfId="13607" xr:uid="{00000000-0005-0000-0000-0000BA300000}"/>
    <cellStyle name="Normal 3 32 15 3" xfId="13608" xr:uid="{00000000-0005-0000-0000-0000BB300000}"/>
    <cellStyle name="Normal 3 32 16" xfId="2251" xr:uid="{00000000-0005-0000-0000-00007A080000}"/>
    <cellStyle name="Normal 3 32 16 2" xfId="13609" xr:uid="{00000000-0005-0000-0000-0000BD300000}"/>
    <cellStyle name="Normal 3 32 16 3" xfId="13610" xr:uid="{00000000-0005-0000-0000-0000BE300000}"/>
    <cellStyle name="Normal 3 32 17" xfId="2252" xr:uid="{00000000-0005-0000-0000-00007B080000}"/>
    <cellStyle name="Normal 3 32 17 2" xfId="13611" xr:uid="{00000000-0005-0000-0000-0000C0300000}"/>
    <cellStyle name="Normal 3 32 17 3" xfId="13612" xr:uid="{00000000-0005-0000-0000-0000C1300000}"/>
    <cellStyle name="Normal 3 32 18" xfId="2253" xr:uid="{00000000-0005-0000-0000-00007C080000}"/>
    <cellStyle name="Normal 3 32 18 2" xfId="13613" xr:uid="{00000000-0005-0000-0000-0000C3300000}"/>
    <cellStyle name="Normal 3 32 18 3" xfId="13614" xr:uid="{00000000-0005-0000-0000-0000C4300000}"/>
    <cellStyle name="Normal 3 32 19" xfId="2254" xr:uid="{00000000-0005-0000-0000-00007D080000}"/>
    <cellStyle name="Normal 3 32 19 2" xfId="13616" xr:uid="{00000000-0005-0000-0000-0000C6300000}"/>
    <cellStyle name="Normal 3 32 19 3" xfId="13617" xr:uid="{00000000-0005-0000-0000-0000C7300000}"/>
    <cellStyle name="Normal 3 32 2" xfId="2255" xr:uid="{00000000-0005-0000-0000-00007E080000}"/>
    <cellStyle name="Normal 3 32 2 2" xfId="13619" xr:uid="{00000000-0005-0000-0000-0000C9300000}"/>
    <cellStyle name="Normal 3 32 2 3" xfId="13620" xr:uid="{00000000-0005-0000-0000-0000CA300000}"/>
    <cellStyle name="Normal 3 32 20" xfId="2256" xr:uid="{00000000-0005-0000-0000-00007F080000}"/>
    <cellStyle name="Normal 3 32 20 2" xfId="13622" xr:uid="{00000000-0005-0000-0000-0000CC300000}"/>
    <cellStyle name="Normal 3 32 20 3" xfId="13623" xr:uid="{00000000-0005-0000-0000-0000CD300000}"/>
    <cellStyle name="Normal 3 32 21" xfId="2257" xr:uid="{00000000-0005-0000-0000-000080080000}"/>
    <cellStyle name="Normal 3 32 21 2" xfId="13624" xr:uid="{00000000-0005-0000-0000-0000CF300000}"/>
    <cellStyle name="Normal 3 32 21 3" xfId="13625" xr:uid="{00000000-0005-0000-0000-0000D0300000}"/>
    <cellStyle name="Normal 3 32 22" xfId="2258" xr:uid="{00000000-0005-0000-0000-000081080000}"/>
    <cellStyle name="Normal 3 32 22 2" xfId="13626" xr:uid="{00000000-0005-0000-0000-0000D2300000}"/>
    <cellStyle name="Normal 3 32 22 3" xfId="13627" xr:uid="{00000000-0005-0000-0000-0000D3300000}"/>
    <cellStyle name="Normal 3 32 23" xfId="2259" xr:uid="{00000000-0005-0000-0000-000082080000}"/>
    <cellStyle name="Normal 3 32 23 2" xfId="13628" xr:uid="{00000000-0005-0000-0000-0000D5300000}"/>
    <cellStyle name="Normal 3 32 23 3" xfId="13629" xr:uid="{00000000-0005-0000-0000-0000D6300000}"/>
    <cellStyle name="Normal 3 32 24" xfId="13630" xr:uid="{00000000-0005-0000-0000-0000D7300000}"/>
    <cellStyle name="Normal 3 32 25" xfId="13631" xr:uid="{00000000-0005-0000-0000-0000D8300000}"/>
    <cellStyle name="Normal 3 32 3" xfId="2260" xr:uid="{00000000-0005-0000-0000-000083080000}"/>
    <cellStyle name="Normal 3 32 3 2" xfId="13632" xr:uid="{00000000-0005-0000-0000-0000DA300000}"/>
    <cellStyle name="Normal 3 32 3 3" xfId="13633" xr:uid="{00000000-0005-0000-0000-0000DB300000}"/>
    <cellStyle name="Normal 3 32 4" xfId="2261" xr:uid="{00000000-0005-0000-0000-000084080000}"/>
    <cellStyle name="Normal 3 32 4 2" xfId="13634" xr:uid="{00000000-0005-0000-0000-0000DD300000}"/>
    <cellStyle name="Normal 3 32 4 3" xfId="13635" xr:uid="{00000000-0005-0000-0000-0000DE300000}"/>
    <cellStyle name="Normal 3 32 5" xfId="2262" xr:uid="{00000000-0005-0000-0000-000085080000}"/>
    <cellStyle name="Normal 3 32 5 2" xfId="13636" xr:uid="{00000000-0005-0000-0000-0000E0300000}"/>
    <cellStyle name="Normal 3 32 5 3" xfId="13637" xr:uid="{00000000-0005-0000-0000-0000E1300000}"/>
    <cellStyle name="Normal 3 32 6" xfId="2263" xr:uid="{00000000-0005-0000-0000-000086080000}"/>
    <cellStyle name="Normal 3 32 6 2" xfId="13638" xr:uid="{00000000-0005-0000-0000-0000E3300000}"/>
    <cellStyle name="Normal 3 32 6 3" xfId="13639" xr:uid="{00000000-0005-0000-0000-0000E4300000}"/>
    <cellStyle name="Normal 3 32 7" xfId="2264" xr:uid="{00000000-0005-0000-0000-000087080000}"/>
    <cellStyle name="Normal 3 32 7 2" xfId="13640" xr:uid="{00000000-0005-0000-0000-0000E6300000}"/>
    <cellStyle name="Normal 3 32 7 3" xfId="13641" xr:uid="{00000000-0005-0000-0000-0000E7300000}"/>
    <cellStyle name="Normal 3 32 8" xfId="2265" xr:uid="{00000000-0005-0000-0000-000088080000}"/>
    <cellStyle name="Normal 3 32 8 2" xfId="13642" xr:uid="{00000000-0005-0000-0000-0000E9300000}"/>
    <cellStyle name="Normal 3 32 8 3" xfId="13643" xr:uid="{00000000-0005-0000-0000-0000EA300000}"/>
    <cellStyle name="Normal 3 32 9" xfId="2266" xr:uid="{00000000-0005-0000-0000-000089080000}"/>
    <cellStyle name="Normal 3 32 9 2" xfId="13644" xr:uid="{00000000-0005-0000-0000-0000EC300000}"/>
    <cellStyle name="Normal 3 32 9 3" xfId="13645" xr:uid="{00000000-0005-0000-0000-0000ED300000}"/>
    <cellStyle name="Normal 3 33" xfId="2267" xr:uid="{00000000-0005-0000-0000-00008A080000}"/>
    <cellStyle name="Normal 3 33 10" xfId="2268" xr:uid="{00000000-0005-0000-0000-00008B080000}"/>
    <cellStyle name="Normal 3 33 10 2" xfId="13646" xr:uid="{00000000-0005-0000-0000-0000F0300000}"/>
    <cellStyle name="Normal 3 33 10 3" xfId="13647" xr:uid="{00000000-0005-0000-0000-0000F1300000}"/>
    <cellStyle name="Normal 3 33 11" xfId="2269" xr:uid="{00000000-0005-0000-0000-00008C080000}"/>
    <cellStyle name="Normal 3 33 11 2" xfId="13648" xr:uid="{00000000-0005-0000-0000-0000F3300000}"/>
    <cellStyle name="Normal 3 33 11 3" xfId="13649" xr:uid="{00000000-0005-0000-0000-0000F4300000}"/>
    <cellStyle name="Normal 3 33 12" xfId="2270" xr:uid="{00000000-0005-0000-0000-00008D080000}"/>
    <cellStyle name="Normal 3 33 12 2" xfId="13650" xr:uid="{00000000-0005-0000-0000-0000F6300000}"/>
    <cellStyle name="Normal 3 33 12 3" xfId="13651" xr:uid="{00000000-0005-0000-0000-0000F7300000}"/>
    <cellStyle name="Normal 3 33 13" xfId="2271" xr:uid="{00000000-0005-0000-0000-00008E080000}"/>
    <cellStyle name="Normal 3 33 13 2" xfId="13652" xr:uid="{00000000-0005-0000-0000-0000F9300000}"/>
    <cellStyle name="Normal 3 33 13 3" xfId="13653" xr:uid="{00000000-0005-0000-0000-0000FA300000}"/>
    <cellStyle name="Normal 3 33 14" xfId="2272" xr:uid="{00000000-0005-0000-0000-00008F080000}"/>
    <cellStyle name="Normal 3 33 14 2" xfId="13654" xr:uid="{00000000-0005-0000-0000-0000FC300000}"/>
    <cellStyle name="Normal 3 33 14 3" xfId="13655" xr:uid="{00000000-0005-0000-0000-0000FD300000}"/>
    <cellStyle name="Normal 3 33 15" xfId="2273" xr:uid="{00000000-0005-0000-0000-000090080000}"/>
    <cellStyle name="Normal 3 33 15 2" xfId="13656" xr:uid="{00000000-0005-0000-0000-0000FF300000}"/>
    <cellStyle name="Normal 3 33 15 3" xfId="13657" xr:uid="{00000000-0005-0000-0000-000000310000}"/>
    <cellStyle name="Normal 3 33 16" xfId="2274" xr:uid="{00000000-0005-0000-0000-000091080000}"/>
    <cellStyle name="Normal 3 33 16 2" xfId="13658" xr:uid="{00000000-0005-0000-0000-000002310000}"/>
    <cellStyle name="Normal 3 33 16 3" xfId="13659" xr:uid="{00000000-0005-0000-0000-000003310000}"/>
    <cellStyle name="Normal 3 33 17" xfId="2275" xr:uid="{00000000-0005-0000-0000-000092080000}"/>
    <cellStyle name="Normal 3 33 17 2" xfId="13660" xr:uid="{00000000-0005-0000-0000-000005310000}"/>
    <cellStyle name="Normal 3 33 17 3" xfId="13661" xr:uid="{00000000-0005-0000-0000-000006310000}"/>
    <cellStyle name="Normal 3 33 18" xfId="2276" xr:uid="{00000000-0005-0000-0000-000093080000}"/>
    <cellStyle name="Normal 3 33 18 2" xfId="13662" xr:uid="{00000000-0005-0000-0000-000008310000}"/>
    <cellStyle name="Normal 3 33 18 3" xfId="13663" xr:uid="{00000000-0005-0000-0000-000009310000}"/>
    <cellStyle name="Normal 3 33 19" xfId="2277" xr:uid="{00000000-0005-0000-0000-000094080000}"/>
    <cellStyle name="Normal 3 33 19 2" xfId="13664" xr:uid="{00000000-0005-0000-0000-00000B310000}"/>
    <cellStyle name="Normal 3 33 19 3" xfId="13665" xr:uid="{00000000-0005-0000-0000-00000C310000}"/>
    <cellStyle name="Normal 3 33 2" xfId="2278" xr:uid="{00000000-0005-0000-0000-000095080000}"/>
    <cellStyle name="Normal 3 33 2 2" xfId="13666" xr:uid="{00000000-0005-0000-0000-00000E310000}"/>
    <cellStyle name="Normal 3 33 2 3" xfId="13667" xr:uid="{00000000-0005-0000-0000-00000F310000}"/>
    <cellStyle name="Normal 3 33 20" xfId="2279" xr:uid="{00000000-0005-0000-0000-000096080000}"/>
    <cellStyle name="Normal 3 33 20 2" xfId="13668" xr:uid="{00000000-0005-0000-0000-000011310000}"/>
    <cellStyle name="Normal 3 33 20 3" xfId="13669" xr:uid="{00000000-0005-0000-0000-000012310000}"/>
    <cellStyle name="Normal 3 33 21" xfId="2280" xr:uid="{00000000-0005-0000-0000-000097080000}"/>
    <cellStyle name="Normal 3 33 21 2" xfId="13670" xr:uid="{00000000-0005-0000-0000-000014310000}"/>
    <cellStyle name="Normal 3 33 21 3" xfId="13671" xr:uid="{00000000-0005-0000-0000-000015310000}"/>
    <cellStyle name="Normal 3 33 22" xfId="2281" xr:uid="{00000000-0005-0000-0000-000098080000}"/>
    <cellStyle name="Normal 3 33 22 2" xfId="13672" xr:uid="{00000000-0005-0000-0000-000017310000}"/>
    <cellStyle name="Normal 3 33 22 3" xfId="13673" xr:uid="{00000000-0005-0000-0000-000018310000}"/>
    <cellStyle name="Normal 3 33 23" xfId="2282" xr:uid="{00000000-0005-0000-0000-000099080000}"/>
    <cellStyle name="Normal 3 33 23 2" xfId="13674" xr:uid="{00000000-0005-0000-0000-00001A310000}"/>
    <cellStyle name="Normal 3 33 23 3" xfId="13675" xr:uid="{00000000-0005-0000-0000-00001B310000}"/>
    <cellStyle name="Normal 3 33 24" xfId="13676" xr:uid="{00000000-0005-0000-0000-00001C310000}"/>
    <cellStyle name="Normal 3 33 25" xfId="13677" xr:uid="{00000000-0005-0000-0000-00001D310000}"/>
    <cellStyle name="Normal 3 33 3" xfId="2283" xr:uid="{00000000-0005-0000-0000-00009A080000}"/>
    <cellStyle name="Normal 3 33 3 2" xfId="13678" xr:uid="{00000000-0005-0000-0000-00001F310000}"/>
    <cellStyle name="Normal 3 33 3 3" xfId="13679" xr:uid="{00000000-0005-0000-0000-000020310000}"/>
    <cellStyle name="Normal 3 33 4" xfId="2284" xr:uid="{00000000-0005-0000-0000-00009B080000}"/>
    <cellStyle name="Normal 3 33 4 2" xfId="13680" xr:uid="{00000000-0005-0000-0000-000022310000}"/>
    <cellStyle name="Normal 3 33 4 3" xfId="13681" xr:uid="{00000000-0005-0000-0000-000023310000}"/>
    <cellStyle name="Normal 3 33 5" xfId="2285" xr:uid="{00000000-0005-0000-0000-00009C080000}"/>
    <cellStyle name="Normal 3 33 5 2" xfId="13682" xr:uid="{00000000-0005-0000-0000-000025310000}"/>
    <cellStyle name="Normal 3 33 5 3" xfId="13683" xr:uid="{00000000-0005-0000-0000-000026310000}"/>
    <cellStyle name="Normal 3 33 6" xfId="2286" xr:uid="{00000000-0005-0000-0000-00009D080000}"/>
    <cellStyle name="Normal 3 33 6 2" xfId="13684" xr:uid="{00000000-0005-0000-0000-000028310000}"/>
    <cellStyle name="Normal 3 33 6 3" xfId="13685" xr:uid="{00000000-0005-0000-0000-000029310000}"/>
    <cellStyle name="Normal 3 33 7" xfId="2287" xr:uid="{00000000-0005-0000-0000-00009E080000}"/>
    <cellStyle name="Normal 3 33 7 2" xfId="13686" xr:uid="{00000000-0005-0000-0000-00002B310000}"/>
    <cellStyle name="Normal 3 33 7 3" xfId="13687" xr:uid="{00000000-0005-0000-0000-00002C310000}"/>
    <cellStyle name="Normal 3 33 8" xfId="2288" xr:uid="{00000000-0005-0000-0000-00009F080000}"/>
    <cellStyle name="Normal 3 33 8 2" xfId="13688" xr:uid="{00000000-0005-0000-0000-00002E310000}"/>
    <cellStyle name="Normal 3 33 8 3" xfId="13689" xr:uid="{00000000-0005-0000-0000-00002F310000}"/>
    <cellStyle name="Normal 3 33 9" xfId="2289" xr:uid="{00000000-0005-0000-0000-0000A0080000}"/>
    <cellStyle name="Normal 3 33 9 2" xfId="13690" xr:uid="{00000000-0005-0000-0000-000031310000}"/>
    <cellStyle name="Normal 3 33 9 3" xfId="13691" xr:uid="{00000000-0005-0000-0000-000032310000}"/>
    <cellStyle name="Normal 3 34" xfId="2290" xr:uid="{00000000-0005-0000-0000-0000A1080000}"/>
    <cellStyle name="Normal 3 34 2" xfId="13692" xr:uid="{00000000-0005-0000-0000-000034310000}"/>
    <cellStyle name="Normal 3 34 3" xfId="13693" xr:uid="{00000000-0005-0000-0000-000035310000}"/>
    <cellStyle name="Normal 3 35" xfId="2291" xr:uid="{00000000-0005-0000-0000-0000A2080000}"/>
    <cellStyle name="Normal 3 35 2" xfId="13694" xr:uid="{00000000-0005-0000-0000-000037310000}"/>
    <cellStyle name="Normal 3 35 3" xfId="13695" xr:uid="{00000000-0005-0000-0000-000038310000}"/>
    <cellStyle name="Normal 3 36" xfId="2292" xr:uid="{00000000-0005-0000-0000-0000A3080000}"/>
    <cellStyle name="Normal 3 36 2" xfId="13696" xr:uid="{00000000-0005-0000-0000-00003A310000}"/>
    <cellStyle name="Normal 3 36 3" xfId="13697" xr:uid="{00000000-0005-0000-0000-00003B310000}"/>
    <cellStyle name="Normal 3 37" xfId="2293" xr:uid="{00000000-0005-0000-0000-0000A4080000}"/>
    <cellStyle name="Normal 3 37 2" xfId="13698" xr:uid="{00000000-0005-0000-0000-00003D310000}"/>
    <cellStyle name="Normal 3 37 3" xfId="13699" xr:uid="{00000000-0005-0000-0000-00003E310000}"/>
    <cellStyle name="Normal 3 38" xfId="2294" xr:uid="{00000000-0005-0000-0000-0000A5080000}"/>
    <cellStyle name="Normal 3 38 2" xfId="13700" xr:uid="{00000000-0005-0000-0000-000040310000}"/>
    <cellStyle name="Normal 3 38 3" xfId="13701" xr:uid="{00000000-0005-0000-0000-000041310000}"/>
    <cellStyle name="Normal 3 39" xfId="2295" xr:uid="{00000000-0005-0000-0000-0000A6080000}"/>
    <cellStyle name="Normal 3 39 2" xfId="13702" xr:uid="{00000000-0005-0000-0000-000043310000}"/>
    <cellStyle name="Normal 3 39 3" xfId="13703" xr:uid="{00000000-0005-0000-0000-000044310000}"/>
    <cellStyle name="Normal 3 4" xfId="2296" xr:uid="{00000000-0005-0000-0000-0000A7080000}"/>
    <cellStyle name="Normal 3 4 10" xfId="2297" xr:uid="{00000000-0005-0000-0000-0000A8080000}"/>
    <cellStyle name="Normal 3 4 10 2" xfId="13704" xr:uid="{00000000-0005-0000-0000-000047310000}"/>
    <cellStyle name="Normal 3 4 10 3" xfId="13705" xr:uid="{00000000-0005-0000-0000-000048310000}"/>
    <cellStyle name="Normal 3 4 11" xfId="2298" xr:uid="{00000000-0005-0000-0000-0000A9080000}"/>
    <cellStyle name="Normal 3 4 11 2" xfId="13706" xr:uid="{00000000-0005-0000-0000-00004A310000}"/>
    <cellStyle name="Normal 3 4 11 3" xfId="13707" xr:uid="{00000000-0005-0000-0000-00004B310000}"/>
    <cellStyle name="Normal 3 4 12" xfId="2299" xr:uid="{00000000-0005-0000-0000-0000AA080000}"/>
    <cellStyle name="Normal 3 4 12 2" xfId="13708" xr:uid="{00000000-0005-0000-0000-00004D310000}"/>
    <cellStyle name="Normal 3 4 12 3" xfId="13709" xr:uid="{00000000-0005-0000-0000-00004E310000}"/>
    <cellStyle name="Normal 3 4 13" xfId="2300" xr:uid="{00000000-0005-0000-0000-0000AB080000}"/>
    <cellStyle name="Normal 3 4 13 2" xfId="13710" xr:uid="{00000000-0005-0000-0000-000050310000}"/>
    <cellStyle name="Normal 3 4 13 3" xfId="13711" xr:uid="{00000000-0005-0000-0000-000051310000}"/>
    <cellStyle name="Normal 3 4 14" xfId="2301" xr:uid="{00000000-0005-0000-0000-0000AC080000}"/>
    <cellStyle name="Normal 3 4 14 2" xfId="13712" xr:uid="{00000000-0005-0000-0000-000053310000}"/>
    <cellStyle name="Normal 3 4 14 3" xfId="13713" xr:uid="{00000000-0005-0000-0000-000054310000}"/>
    <cellStyle name="Normal 3 4 15" xfId="2302" xr:uid="{00000000-0005-0000-0000-0000AD080000}"/>
    <cellStyle name="Normal 3 4 15 2" xfId="13714" xr:uid="{00000000-0005-0000-0000-000056310000}"/>
    <cellStyle name="Normal 3 4 15 3" xfId="13715" xr:uid="{00000000-0005-0000-0000-000057310000}"/>
    <cellStyle name="Normal 3 4 16" xfId="2303" xr:uid="{00000000-0005-0000-0000-0000AE080000}"/>
    <cellStyle name="Normal 3 4 16 2" xfId="13716" xr:uid="{00000000-0005-0000-0000-000059310000}"/>
    <cellStyle name="Normal 3 4 16 3" xfId="13717" xr:uid="{00000000-0005-0000-0000-00005A310000}"/>
    <cellStyle name="Normal 3 4 17" xfId="2304" xr:uid="{00000000-0005-0000-0000-0000AF080000}"/>
    <cellStyle name="Normal 3 4 17 2" xfId="13718" xr:uid="{00000000-0005-0000-0000-00005C310000}"/>
    <cellStyle name="Normal 3 4 17 3" xfId="13719" xr:uid="{00000000-0005-0000-0000-00005D310000}"/>
    <cellStyle name="Normal 3 4 18" xfId="2305" xr:uid="{00000000-0005-0000-0000-0000B0080000}"/>
    <cellStyle name="Normal 3 4 18 2" xfId="13720" xr:uid="{00000000-0005-0000-0000-00005F310000}"/>
    <cellStyle name="Normal 3 4 18 3" xfId="13721" xr:uid="{00000000-0005-0000-0000-000060310000}"/>
    <cellStyle name="Normal 3 4 19" xfId="2306" xr:uid="{00000000-0005-0000-0000-0000B1080000}"/>
    <cellStyle name="Normal 3 4 19 2" xfId="13722" xr:uid="{00000000-0005-0000-0000-000062310000}"/>
    <cellStyle name="Normal 3 4 19 3" xfId="13723" xr:uid="{00000000-0005-0000-0000-000063310000}"/>
    <cellStyle name="Normal 3 4 2" xfId="2307" xr:uid="{00000000-0005-0000-0000-0000B2080000}"/>
    <cellStyle name="Normal 3 4 2 2" xfId="13724" xr:uid="{00000000-0005-0000-0000-000065310000}"/>
    <cellStyle name="Normal 3 4 2 3" xfId="13725" xr:uid="{00000000-0005-0000-0000-000066310000}"/>
    <cellStyle name="Normal 3 4 20" xfId="2308" xr:uid="{00000000-0005-0000-0000-0000B3080000}"/>
    <cellStyle name="Normal 3 4 20 2" xfId="13726" xr:uid="{00000000-0005-0000-0000-000068310000}"/>
    <cellStyle name="Normal 3 4 20 3" xfId="13727" xr:uid="{00000000-0005-0000-0000-000069310000}"/>
    <cellStyle name="Normal 3 4 21" xfId="2309" xr:uid="{00000000-0005-0000-0000-0000B4080000}"/>
    <cellStyle name="Normal 3 4 21 2" xfId="13728" xr:uid="{00000000-0005-0000-0000-00006B310000}"/>
    <cellStyle name="Normal 3 4 21 3" xfId="13729" xr:uid="{00000000-0005-0000-0000-00006C310000}"/>
    <cellStyle name="Normal 3 4 22" xfId="2310" xr:uid="{00000000-0005-0000-0000-0000B5080000}"/>
    <cellStyle name="Normal 3 4 22 2" xfId="13730" xr:uid="{00000000-0005-0000-0000-00006E310000}"/>
    <cellStyle name="Normal 3 4 22 3" xfId="13731" xr:uid="{00000000-0005-0000-0000-00006F310000}"/>
    <cellStyle name="Normal 3 4 23" xfId="2311" xr:uid="{00000000-0005-0000-0000-0000B6080000}"/>
    <cellStyle name="Normal 3 4 23 2" xfId="13732" xr:uid="{00000000-0005-0000-0000-000071310000}"/>
    <cellStyle name="Normal 3 4 23 3" xfId="13733" xr:uid="{00000000-0005-0000-0000-000072310000}"/>
    <cellStyle name="Normal 3 4 24" xfId="13734" xr:uid="{00000000-0005-0000-0000-000073310000}"/>
    <cellStyle name="Normal 3 4 24 2" xfId="13735" xr:uid="{00000000-0005-0000-0000-000074310000}"/>
    <cellStyle name="Normal 3 4 24 3" xfId="13736" xr:uid="{00000000-0005-0000-0000-000075310000}"/>
    <cellStyle name="Normal 3 4 24 4" xfId="13737" xr:uid="{00000000-0005-0000-0000-000076310000}"/>
    <cellStyle name="Normal 3 4 25" xfId="13738" xr:uid="{00000000-0005-0000-0000-000077310000}"/>
    <cellStyle name="Normal 3 4 26" xfId="13739" xr:uid="{00000000-0005-0000-0000-000078310000}"/>
    <cellStyle name="Normal 3 4 27" xfId="5360" xr:uid="{00000000-0005-0000-0000-000045310000}"/>
    <cellStyle name="Normal 3 4 3" xfId="2312" xr:uid="{00000000-0005-0000-0000-0000B7080000}"/>
    <cellStyle name="Normal 3 4 3 2" xfId="13740" xr:uid="{00000000-0005-0000-0000-00007A310000}"/>
    <cellStyle name="Normal 3 4 3 3" xfId="13741" xr:uid="{00000000-0005-0000-0000-00007B310000}"/>
    <cellStyle name="Normal 3 4 4" xfId="2313" xr:uid="{00000000-0005-0000-0000-0000B8080000}"/>
    <cellStyle name="Normal 3 4 4 2" xfId="13742" xr:uid="{00000000-0005-0000-0000-00007D310000}"/>
    <cellStyle name="Normal 3 4 4 3" xfId="13743" xr:uid="{00000000-0005-0000-0000-00007E310000}"/>
    <cellStyle name="Normal 3 4 5" xfId="2314" xr:uid="{00000000-0005-0000-0000-0000B9080000}"/>
    <cellStyle name="Normal 3 4 5 2" xfId="13744" xr:uid="{00000000-0005-0000-0000-000080310000}"/>
    <cellStyle name="Normal 3 4 5 3" xfId="13745" xr:uid="{00000000-0005-0000-0000-000081310000}"/>
    <cellStyle name="Normal 3 4 6" xfId="2315" xr:uid="{00000000-0005-0000-0000-0000BA080000}"/>
    <cellStyle name="Normal 3 4 6 2" xfId="13746" xr:uid="{00000000-0005-0000-0000-000083310000}"/>
    <cellStyle name="Normal 3 4 6 3" xfId="13747" xr:uid="{00000000-0005-0000-0000-000084310000}"/>
    <cellStyle name="Normal 3 4 7" xfId="2316" xr:uid="{00000000-0005-0000-0000-0000BB080000}"/>
    <cellStyle name="Normal 3 4 7 2" xfId="13748" xr:uid="{00000000-0005-0000-0000-000086310000}"/>
    <cellStyle name="Normal 3 4 7 3" xfId="13749" xr:uid="{00000000-0005-0000-0000-000087310000}"/>
    <cellStyle name="Normal 3 4 8" xfId="2317" xr:uid="{00000000-0005-0000-0000-0000BC080000}"/>
    <cellStyle name="Normal 3 4 8 2" xfId="13750" xr:uid="{00000000-0005-0000-0000-000089310000}"/>
    <cellStyle name="Normal 3 4 8 3" xfId="13751" xr:uid="{00000000-0005-0000-0000-00008A310000}"/>
    <cellStyle name="Normal 3 4 9" xfId="2318" xr:uid="{00000000-0005-0000-0000-0000BD080000}"/>
    <cellStyle name="Normal 3 4 9 2" xfId="13752" xr:uid="{00000000-0005-0000-0000-00008C310000}"/>
    <cellStyle name="Normal 3 4 9 3" xfId="13753" xr:uid="{00000000-0005-0000-0000-00008D310000}"/>
    <cellStyle name="Normal 3 40" xfId="2319" xr:uid="{00000000-0005-0000-0000-0000BE080000}"/>
    <cellStyle name="Normal 3 40 2" xfId="13754" xr:uid="{00000000-0005-0000-0000-00008F310000}"/>
    <cellStyle name="Normal 3 40 3" xfId="13755" xr:uid="{00000000-0005-0000-0000-000090310000}"/>
    <cellStyle name="Normal 3 41" xfId="2320" xr:uid="{00000000-0005-0000-0000-0000BF080000}"/>
    <cellStyle name="Normal 3 41 2" xfId="13756" xr:uid="{00000000-0005-0000-0000-000092310000}"/>
    <cellStyle name="Normal 3 41 3" xfId="13757" xr:uid="{00000000-0005-0000-0000-000093310000}"/>
    <cellStyle name="Normal 3 42" xfId="2321" xr:uid="{00000000-0005-0000-0000-0000C0080000}"/>
    <cellStyle name="Normal 3 42 2" xfId="13758" xr:uid="{00000000-0005-0000-0000-000095310000}"/>
    <cellStyle name="Normal 3 42 3" xfId="13759" xr:uid="{00000000-0005-0000-0000-000096310000}"/>
    <cellStyle name="Normal 3 43" xfId="2322" xr:uid="{00000000-0005-0000-0000-0000C1080000}"/>
    <cellStyle name="Normal 3 43 2" xfId="13760" xr:uid="{00000000-0005-0000-0000-000098310000}"/>
    <cellStyle name="Normal 3 43 3" xfId="13761" xr:uid="{00000000-0005-0000-0000-000099310000}"/>
    <cellStyle name="Normal 3 44" xfId="2323" xr:uid="{00000000-0005-0000-0000-0000C2080000}"/>
    <cellStyle name="Normal 3 44 2" xfId="13762" xr:uid="{00000000-0005-0000-0000-00009B310000}"/>
    <cellStyle name="Normal 3 44 3" xfId="13763" xr:uid="{00000000-0005-0000-0000-00009C310000}"/>
    <cellStyle name="Normal 3 45" xfId="2324" xr:uid="{00000000-0005-0000-0000-0000C3080000}"/>
    <cellStyle name="Normal 3 45 2" xfId="13764" xr:uid="{00000000-0005-0000-0000-00009E310000}"/>
    <cellStyle name="Normal 3 45 3" xfId="13765" xr:uid="{00000000-0005-0000-0000-00009F310000}"/>
    <cellStyle name="Normal 3 46" xfId="2325" xr:uid="{00000000-0005-0000-0000-0000C4080000}"/>
    <cellStyle name="Normal 3 46 2" xfId="13766" xr:uid="{00000000-0005-0000-0000-0000A1310000}"/>
    <cellStyle name="Normal 3 46 3" xfId="13767" xr:uid="{00000000-0005-0000-0000-0000A2310000}"/>
    <cellStyle name="Normal 3 47" xfId="2326" xr:uid="{00000000-0005-0000-0000-0000C5080000}"/>
    <cellStyle name="Normal 3 47 2" xfId="13768" xr:uid="{00000000-0005-0000-0000-0000A4310000}"/>
    <cellStyle name="Normal 3 47 3" xfId="13769" xr:uid="{00000000-0005-0000-0000-0000A5310000}"/>
    <cellStyle name="Normal 3 48" xfId="2327" xr:uid="{00000000-0005-0000-0000-0000C6080000}"/>
    <cellStyle name="Normal 3 48 2" xfId="13770" xr:uid="{00000000-0005-0000-0000-0000A7310000}"/>
    <cellStyle name="Normal 3 48 3" xfId="13771" xr:uid="{00000000-0005-0000-0000-0000A8310000}"/>
    <cellStyle name="Normal 3 49" xfId="2328" xr:uid="{00000000-0005-0000-0000-0000C7080000}"/>
    <cellStyle name="Normal 3 49 2" xfId="13772" xr:uid="{00000000-0005-0000-0000-0000AA310000}"/>
    <cellStyle name="Normal 3 49 3" xfId="13773" xr:uid="{00000000-0005-0000-0000-0000AB310000}"/>
    <cellStyle name="Normal 3 5" xfId="2329" xr:uid="{00000000-0005-0000-0000-0000C8080000}"/>
    <cellStyle name="Normal 3 5 10" xfId="2330" xr:uid="{00000000-0005-0000-0000-0000C9080000}"/>
    <cellStyle name="Normal 3 5 10 2" xfId="13774" xr:uid="{00000000-0005-0000-0000-0000AE310000}"/>
    <cellStyle name="Normal 3 5 10 3" xfId="13775" xr:uid="{00000000-0005-0000-0000-0000AF310000}"/>
    <cellStyle name="Normal 3 5 11" xfId="2331" xr:uid="{00000000-0005-0000-0000-0000CA080000}"/>
    <cellStyle name="Normal 3 5 11 2" xfId="13776" xr:uid="{00000000-0005-0000-0000-0000B1310000}"/>
    <cellStyle name="Normal 3 5 11 3" xfId="13777" xr:uid="{00000000-0005-0000-0000-0000B2310000}"/>
    <cellStyle name="Normal 3 5 12" xfId="2332" xr:uid="{00000000-0005-0000-0000-0000CB080000}"/>
    <cellStyle name="Normal 3 5 12 2" xfId="13778" xr:uid="{00000000-0005-0000-0000-0000B4310000}"/>
    <cellStyle name="Normal 3 5 12 3" xfId="13779" xr:uid="{00000000-0005-0000-0000-0000B5310000}"/>
    <cellStyle name="Normal 3 5 13" xfId="2333" xr:uid="{00000000-0005-0000-0000-0000CC080000}"/>
    <cellStyle name="Normal 3 5 13 2" xfId="13780" xr:uid="{00000000-0005-0000-0000-0000B7310000}"/>
    <cellStyle name="Normal 3 5 13 3" xfId="13781" xr:uid="{00000000-0005-0000-0000-0000B8310000}"/>
    <cellStyle name="Normal 3 5 14" xfId="2334" xr:uid="{00000000-0005-0000-0000-0000CD080000}"/>
    <cellStyle name="Normal 3 5 14 2" xfId="13782" xr:uid="{00000000-0005-0000-0000-0000BA310000}"/>
    <cellStyle name="Normal 3 5 14 3" xfId="13783" xr:uid="{00000000-0005-0000-0000-0000BB310000}"/>
    <cellStyle name="Normal 3 5 15" xfId="2335" xr:uid="{00000000-0005-0000-0000-0000CE080000}"/>
    <cellStyle name="Normal 3 5 15 2" xfId="13784" xr:uid="{00000000-0005-0000-0000-0000BD310000}"/>
    <cellStyle name="Normal 3 5 15 3" xfId="13785" xr:uid="{00000000-0005-0000-0000-0000BE310000}"/>
    <cellStyle name="Normal 3 5 16" xfId="2336" xr:uid="{00000000-0005-0000-0000-0000CF080000}"/>
    <cellStyle name="Normal 3 5 16 2" xfId="13786" xr:uid="{00000000-0005-0000-0000-0000C0310000}"/>
    <cellStyle name="Normal 3 5 16 3" xfId="13787" xr:uid="{00000000-0005-0000-0000-0000C1310000}"/>
    <cellStyle name="Normal 3 5 17" xfId="2337" xr:uid="{00000000-0005-0000-0000-0000D0080000}"/>
    <cellStyle name="Normal 3 5 17 2" xfId="13788" xr:uid="{00000000-0005-0000-0000-0000C3310000}"/>
    <cellStyle name="Normal 3 5 17 3" xfId="13789" xr:uid="{00000000-0005-0000-0000-0000C4310000}"/>
    <cellStyle name="Normal 3 5 18" xfId="2338" xr:uid="{00000000-0005-0000-0000-0000D1080000}"/>
    <cellStyle name="Normal 3 5 18 2" xfId="13790" xr:uid="{00000000-0005-0000-0000-0000C6310000}"/>
    <cellStyle name="Normal 3 5 18 3" xfId="13791" xr:uid="{00000000-0005-0000-0000-0000C7310000}"/>
    <cellStyle name="Normal 3 5 19" xfId="2339" xr:uid="{00000000-0005-0000-0000-0000D2080000}"/>
    <cellStyle name="Normal 3 5 19 2" xfId="13792" xr:uid="{00000000-0005-0000-0000-0000C9310000}"/>
    <cellStyle name="Normal 3 5 19 3" xfId="13793" xr:uid="{00000000-0005-0000-0000-0000CA310000}"/>
    <cellStyle name="Normal 3 5 2" xfId="2340" xr:uid="{00000000-0005-0000-0000-0000D3080000}"/>
    <cellStyle name="Normal 3 5 2 2" xfId="13794" xr:uid="{00000000-0005-0000-0000-0000CC310000}"/>
    <cellStyle name="Normal 3 5 2 3" xfId="13795" xr:uid="{00000000-0005-0000-0000-0000CD310000}"/>
    <cellStyle name="Normal 3 5 20" xfId="2341" xr:uid="{00000000-0005-0000-0000-0000D4080000}"/>
    <cellStyle name="Normal 3 5 20 2" xfId="13796" xr:uid="{00000000-0005-0000-0000-0000CF310000}"/>
    <cellStyle name="Normal 3 5 20 3" xfId="13797" xr:uid="{00000000-0005-0000-0000-0000D0310000}"/>
    <cellStyle name="Normal 3 5 21" xfId="2342" xr:uid="{00000000-0005-0000-0000-0000D5080000}"/>
    <cellStyle name="Normal 3 5 21 2" xfId="13798" xr:uid="{00000000-0005-0000-0000-0000D2310000}"/>
    <cellStyle name="Normal 3 5 21 3" xfId="13799" xr:uid="{00000000-0005-0000-0000-0000D3310000}"/>
    <cellStyle name="Normal 3 5 22" xfId="2343" xr:uid="{00000000-0005-0000-0000-0000D6080000}"/>
    <cellStyle name="Normal 3 5 22 2" xfId="13800" xr:uid="{00000000-0005-0000-0000-0000D5310000}"/>
    <cellStyle name="Normal 3 5 22 3" xfId="13801" xr:uid="{00000000-0005-0000-0000-0000D6310000}"/>
    <cellStyle name="Normal 3 5 23" xfId="2344" xr:uid="{00000000-0005-0000-0000-0000D7080000}"/>
    <cellStyle name="Normal 3 5 23 2" xfId="13802" xr:uid="{00000000-0005-0000-0000-0000D8310000}"/>
    <cellStyle name="Normal 3 5 23 3" xfId="13803" xr:uid="{00000000-0005-0000-0000-0000D9310000}"/>
    <cellStyle name="Normal 3 5 24" xfId="13804" xr:uid="{00000000-0005-0000-0000-0000DA310000}"/>
    <cellStyle name="Normal 3 5 24 2" xfId="13805" xr:uid="{00000000-0005-0000-0000-0000DB310000}"/>
    <cellStyle name="Normal 3 5 24 3" xfId="13806" xr:uid="{00000000-0005-0000-0000-0000DC310000}"/>
    <cellStyle name="Normal 3 5 24 4" xfId="13807" xr:uid="{00000000-0005-0000-0000-0000DD310000}"/>
    <cellStyle name="Normal 3 5 25" xfId="13808" xr:uid="{00000000-0005-0000-0000-0000DE310000}"/>
    <cellStyle name="Normal 3 5 26" xfId="13809" xr:uid="{00000000-0005-0000-0000-0000DF310000}"/>
    <cellStyle name="Normal 3 5 3" xfId="2345" xr:uid="{00000000-0005-0000-0000-0000D8080000}"/>
    <cellStyle name="Normal 3 5 3 2" xfId="13810" xr:uid="{00000000-0005-0000-0000-0000E1310000}"/>
    <cellStyle name="Normal 3 5 3 3" xfId="13811" xr:uid="{00000000-0005-0000-0000-0000E2310000}"/>
    <cellStyle name="Normal 3 5 4" xfId="2346" xr:uid="{00000000-0005-0000-0000-0000D9080000}"/>
    <cellStyle name="Normal 3 5 4 2" xfId="13812" xr:uid="{00000000-0005-0000-0000-0000E4310000}"/>
    <cellStyle name="Normal 3 5 4 3" xfId="13813" xr:uid="{00000000-0005-0000-0000-0000E5310000}"/>
    <cellStyle name="Normal 3 5 5" xfId="2347" xr:uid="{00000000-0005-0000-0000-0000DA080000}"/>
    <cellStyle name="Normal 3 5 5 2" xfId="13814" xr:uid="{00000000-0005-0000-0000-0000E7310000}"/>
    <cellStyle name="Normal 3 5 5 3" xfId="13815" xr:uid="{00000000-0005-0000-0000-0000E8310000}"/>
    <cellStyle name="Normal 3 5 6" xfId="2348" xr:uid="{00000000-0005-0000-0000-0000DB080000}"/>
    <cellStyle name="Normal 3 5 6 2" xfId="13816" xr:uid="{00000000-0005-0000-0000-0000EA310000}"/>
    <cellStyle name="Normal 3 5 6 3" xfId="13817" xr:uid="{00000000-0005-0000-0000-0000EB310000}"/>
    <cellStyle name="Normal 3 5 7" xfId="2349" xr:uid="{00000000-0005-0000-0000-0000DC080000}"/>
    <cellStyle name="Normal 3 5 7 2" xfId="13818" xr:uid="{00000000-0005-0000-0000-0000ED310000}"/>
    <cellStyle name="Normal 3 5 7 3" xfId="13819" xr:uid="{00000000-0005-0000-0000-0000EE310000}"/>
    <cellStyle name="Normal 3 5 8" xfId="2350" xr:uid="{00000000-0005-0000-0000-0000DD080000}"/>
    <cellStyle name="Normal 3 5 8 2" xfId="13820" xr:uid="{00000000-0005-0000-0000-0000F0310000}"/>
    <cellStyle name="Normal 3 5 8 3" xfId="13821" xr:uid="{00000000-0005-0000-0000-0000F1310000}"/>
    <cellStyle name="Normal 3 5 9" xfId="2351" xr:uid="{00000000-0005-0000-0000-0000DE080000}"/>
    <cellStyle name="Normal 3 5 9 2" xfId="13822" xr:uid="{00000000-0005-0000-0000-0000F3310000}"/>
    <cellStyle name="Normal 3 5 9 3" xfId="13823" xr:uid="{00000000-0005-0000-0000-0000F4310000}"/>
    <cellStyle name="Normal 3 50" xfId="2352" xr:uid="{00000000-0005-0000-0000-0000DF080000}"/>
    <cellStyle name="Normal 3 50 2" xfId="13824" xr:uid="{00000000-0005-0000-0000-0000F6310000}"/>
    <cellStyle name="Normal 3 50 3" xfId="13825" xr:uid="{00000000-0005-0000-0000-0000F7310000}"/>
    <cellStyle name="Normal 3 51" xfId="2353" xr:uid="{00000000-0005-0000-0000-0000E0080000}"/>
    <cellStyle name="Normal 3 51 2" xfId="13826" xr:uid="{00000000-0005-0000-0000-0000F9310000}"/>
    <cellStyle name="Normal 3 51 3" xfId="13827" xr:uid="{00000000-0005-0000-0000-0000FA310000}"/>
    <cellStyle name="Normal 3 52" xfId="2354" xr:uid="{00000000-0005-0000-0000-0000E1080000}"/>
    <cellStyle name="Normal 3 52 2" xfId="13828" xr:uid="{00000000-0005-0000-0000-0000FC310000}"/>
    <cellStyle name="Normal 3 52 3" xfId="13829" xr:uid="{00000000-0005-0000-0000-0000FD310000}"/>
    <cellStyle name="Normal 3 53" xfId="2355" xr:uid="{00000000-0005-0000-0000-0000E2080000}"/>
    <cellStyle name="Normal 3 53 2" xfId="13830" xr:uid="{00000000-0005-0000-0000-0000FF310000}"/>
    <cellStyle name="Normal 3 53 3" xfId="13831" xr:uid="{00000000-0005-0000-0000-000000320000}"/>
    <cellStyle name="Normal 3 54" xfId="2356" xr:uid="{00000000-0005-0000-0000-0000E3080000}"/>
    <cellStyle name="Normal 3 54 2" xfId="13832" xr:uid="{00000000-0005-0000-0000-000002320000}"/>
    <cellStyle name="Normal 3 54 3" xfId="13833" xr:uid="{00000000-0005-0000-0000-000003320000}"/>
    <cellStyle name="Normal 3 55" xfId="2357" xr:uid="{00000000-0005-0000-0000-0000E4080000}"/>
    <cellStyle name="Normal 3 55 2" xfId="13834" xr:uid="{00000000-0005-0000-0000-000005320000}"/>
    <cellStyle name="Normal 3 55 3" xfId="13835" xr:uid="{00000000-0005-0000-0000-000006320000}"/>
    <cellStyle name="Normal 3 56" xfId="2358" xr:uid="{00000000-0005-0000-0000-0000E5080000}"/>
    <cellStyle name="Normal 3 56 2" xfId="13836" xr:uid="{00000000-0005-0000-0000-000008320000}"/>
    <cellStyle name="Normal 3 56 3" xfId="13837" xr:uid="{00000000-0005-0000-0000-000009320000}"/>
    <cellStyle name="Normal 3 57" xfId="2359" xr:uid="{00000000-0005-0000-0000-0000E6080000}"/>
    <cellStyle name="Normal 3 57 2" xfId="13838" xr:uid="{00000000-0005-0000-0000-00000B320000}"/>
    <cellStyle name="Normal 3 57 3" xfId="13839" xr:uid="{00000000-0005-0000-0000-00000C320000}"/>
    <cellStyle name="Normal 3 58" xfId="2360" xr:uid="{00000000-0005-0000-0000-0000E7080000}"/>
    <cellStyle name="Normal 3 58 2" xfId="13840" xr:uid="{00000000-0005-0000-0000-00000E320000}"/>
    <cellStyle name="Normal 3 58 3" xfId="13841" xr:uid="{00000000-0005-0000-0000-00000F320000}"/>
    <cellStyle name="Normal 3 59" xfId="2361" xr:uid="{00000000-0005-0000-0000-0000E8080000}"/>
    <cellStyle name="Normal 3 59 2" xfId="13842" xr:uid="{00000000-0005-0000-0000-000011320000}"/>
    <cellStyle name="Normal 3 59 3" xfId="13843" xr:uid="{00000000-0005-0000-0000-000012320000}"/>
    <cellStyle name="Normal 3 6" xfId="2362" xr:uid="{00000000-0005-0000-0000-0000E9080000}"/>
    <cellStyle name="Normal 3 6 10" xfId="2363" xr:uid="{00000000-0005-0000-0000-0000EA080000}"/>
    <cellStyle name="Normal 3 6 10 2" xfId="13844" xr:uid="{00000000-0005-0000-0000-000015320000}"/>
    <cellStyle name="Normal 3 6 10 3" xfId="13845" xr:uid="{00000000-0005-0000-0000-000016320000}"/>
    <cellStyle name="Normal 3 6 11" xfId="2364" xr:uid="{00000000-0005-0000-0000-0000EB080000}"/>
    <cellStyle name="Normal 3 6 11 2" xfId="13846" xr:uid="{00000000-0005-0000-0000-000018320000}"/>
    <cellStyle name="Normal 3 6 11 3" xfId="13847" xr:uid="{00000000-0005-0000-0000-000019320000}"/>
    <cellStyle name="Normal 3 6 12" xfId="2365" xr:uid="{00000000-0005-0000-0000-0000EC080000}"/>
    <cellStyle name="Normal 3 6 12 2" xfId="13848" xr:uid="{00000000-0005-0000-0000-00001B320000}"/>
    <cellStyle name="Normal 3 6 12 3" xfId="13849" xr:uid="{00000000-0005-0000-0000-00001C320000}"/>
    <cellStyle name="Normal 3 6 13" xfId="2366" xr:uid="{00000000-0005-0000-0000-0000ED080000}"/>
    <cellStyle name="Normal 3 6 13 2" xfId="13850" xr:uid="{00000000-0005-0000-0000-00001E320000}"/>
    <cellStyle name="Normal 3 6 13 3" xfId="13851" xr:uid="{00000000-0005-0000-0000-00001F320000}"/>
    <cellStyle name="Normal 3 6 14" xfId="2367" xr:uid="{00000000-0005-0000-0000-0000EE080000}"/>
    <cellStyle name="Normal 3 6 14 2" xfId="13852" xr:uid="{00000000-0005-0000-0000-000021320000}"/>
    <cellStyle name="Normal 3 6 14 3" xfId="13853" xr:uid="{00000000-0005-0000-0000-000022320000}"/>
    <cellStyle name="Normal 3 6 15" xfId="2368" xr:uid="{00000000-0005-0000-0000-0000EF080000}"/>
    <cellStyle name="Normal 3 6 15 2" xfId="13854" xr:uid="{00000000-0005-0000-0000-000024320000}"/>
    <cellStyle name="Normal 3 6 15 3" xfId="13855" xr:uid="{00000000-0005-0000-0000-000025320000}"/>
    <cellStyle name="Normal 3 6 16" xfId="2369" xr:uid="{00000000-0005-0000-0000-0000F0080000}"/>
    <cellStyle name="Normal 3 6 16 2" xfId="13856" xr:uid="{00000000-0005-0000-0000-000027320000}"/>
    <cellStyle name="Normal 3 6 16 3" xfId="13857" xr:uid="{00000000-0005-0000-0000-000028320000}"/>
    <cellStyle name="Normal 3 6 17" xfId="2370" xr:uid="{00000000-0005-0000-0000-0000F1080000}"/>
    <cellStyle name="Normal 3 6 17 2" xfId="13858" xr:uid="{00000000-0005-0000-0000-00002A320000}"/>
    <cellStyle name="Normal 3 6 17 3" xfId="13859" xr:uid="{00000000-0005-0000-0000-00002B320000}"/>
    <cellStyle name="Normal 3 6 18" xfId="2371" xr:uid="{00000000-0005-0000-0000-0000F2080000}"/>
    <cellStyle name="Normal 3 6 18 2" xfId="13860" xr:uid="{00000000-0005-0000-0000-00002D320000}"/>
    <cellStyle name="Normal 3 6 18 3" xfId="13861" xr:uid="{00000000-0005-0000-0000-00002E320000}"/>
    <cellStyle name="Normal 3 6 19" xfId="2372" xr:uid="{00000000-0005-0000-0000-0000F3080000}"/>
    <cellStyle name="Normal 3 6 19 2" xfId="13862" xr:uid="{00000000-0005-0000-0000-000030320000}"/>
    <cellStyle name="Normal 3 6 19 3" xfId="13863" xr:uid="{00000000-0005-0000-0000-000031320000}"/>
    <cellStyle name="Normal 3 6 2" xfId="2373" xr:uid="{00000000-0005-0000-0000-0000F4080000}"/>
    <cellStyle name="Normal 3 6 2 2" xfId="13864" xr:uid="{00000000-0005-0000-0000-000033320000}"/>
    <cellStyle name="Normal 3 6 2 3" xfId="13865" xr:uid="{00000000-0005-0000-0000-000034320000}"/>
    <cellStyle name="Normal 3 6 20" xfId="2374" xr:uid="{00000000-0005-0000-0000-0000F5080000}"/>
    <cellStyle name="Normal 3 6 20 2" xfId="13866" xr:uid="{00000000-0005-0000-0000-000036320000}"/>
    <cellStyle name="Normal 3 6 20 3" xfId="13867" xr:uid="{00000000-0005-0000-0000-000037320000}"/>
    <cellStyle name="Normal 3 6 21" xfId="2375" xr:uid="{00000000-0005-0000-0000-0000F6080000}"/>
    <cellStyle name="Normal 3 6 21 2" xfId="13868" xr:uid="{00000000-0005-0000-0000-000039320000}"/>
    <cellStyle name="Normal 3 6 21 3" xfId="13869" xr:uid="{00000000-0005-0000-0000-00003A320000}"/>
    <cellStyle name="Normal 3 6 22" xfId="2376" xr:uid="{00000000-0005-0000-0000-0000F7080000}"/>
    <cellStyle name="Normal 3 6 22 2" xfId="13870" xr:uid="{00000000-0005-0000-0000-00003C320000}"/>
    <cellStyle name="Normal 3 6 22 3" xfId="13871" xr:uid="{00000000-0005-0000-0000-00003D320000}"/>
    <cellStyle name="Normal 3 6 23" xfId="2377" xr:uid="{00000000-0005-0000-0000-0000F8080000}"/>
    <cellStyle name="Normal 3 6 23 2" xfId="13872" xr:uid="{00000000-0005-0000-0000-00003F320000}"/>
    <cellStyle name="Normal 3 6 23 3" xfId="13873" xr:uid="{00000000-0005-0000-0000-000040320000}"/>
    <cellStyle name="Normal 3 6 24" xfId="13874" xr:uid="{00000000-0005-0000-0000-000041320000}"/>
    <cellStyle name="Normal 3 6 25" xfId="13875" xr:uid="{00000000-0005-0000-0000-000042320000}"/>
    <cellStyle name="Normal 3 6 3" xfId="2378" xr:uid="{00000000-0005-0000-0000-0000F9080000}"/>
    <cellStyle name="Normal 3 6 3 2" xfId="13876" xr:uid="{00000000-0005-0000-0000-000044320000}"/>
    <cellStyle name="Normal 3 6 3 3" xfId="13877" xr:uid="{00000000-0005-0000-0000-000045320000}"/>
    <cellStyle name="Normal 3 6 4" xfId="2379" xr:uid="{00000000-0005-0000-0000-0000FA080000}"/>
    <cellStyle name="Normal 3 6 4 2" xfId="13878" xr:uid="{00000000-0005-0000-0000-000047320000}"/>
    <cellStyle name="Normal 3 6 4 3" xfId="13879" xr:uid="{00000000-0005-0000-0000-000048320000}"/>
    <cellStyle name="Normal 3 6 5" xfId="2380" xr:uid="{00000000-0005-0000-0000-0000FB080000}"/>
    <cellStyle name="Normal 3 6 5 2" xfId="13880" xr:uid="{00000000-0005-0000-0000-00004A320000}"/>
    <cellStyle name="Normal 3 6 5 3" xfId="13881" xr:uid="{00000000-0005-0000-0000-00004B320000}"/>
    <cellStyle name="Normal 3 6 6" xfId="2381" xr:uid="{00000000-0005-0000-0000-0000FC080000}"/>
    <cellStyle name="Normal 3 6 6 2" xfId="13882" xr:uid="{00000000-0005-0000-0000-00004D320000}"/>
    <cellStyle name="Normal 3 6 6 3" xfId="13883" xr:uid="{00000000-0005-0000-0000-00004E320000}"/>
    <cellStyle name="Normal 3 6 7" xfId="2382" xr:uid="{00000000-0005-0000-0000-0000FD080000}"/>
    <cellStyle name="Normal 3 6 7 2" xfId="13885" xr:uid="{00000000-0005-0000-0000-000050320000}"/>
    <cellStyle name="Normal 3 6 7 3" xfId="13886" xr:uid="{00000000-0005-0000-0000-000051320000}"/>
    <cellStyle name="Normal 3 6 8" xfId="2383" xr:uid="{00000000-0005-0000-0000-0000FE080000}"/>
    <cellStyle name="Normal 3 6 8 2" xfId="13887" xr:uid="{00000000-0005-0000-0000-000053320000}"/>
    <cellStyle name="Normal 3 6 8 3" xfId="13888" xr:uid="{00000000-0005-0000-0000-000054320000}"/>
    <cellStyle name="Normal 3 6 9" xfId="2384" xr:uid="{00000000-0005-0000-0000-0000FF080000}"/>
    <cellStyle name="Normal 3 6 9 2" xfId="13889" xr:uid="{00000000-0005-0000-0000-000056320000}"/>
    <cellStyle name="Normal 3 6 9 3" xfId="13890" xr:uid="{00000000-0005-0000-0000-000057320000}"/>
    <cellStyle name="Normal 3 60" xfId="2385" xr:uid="{00000000-0005-0000-0000-000000090000}"/>
    <cellStyle name="Normal 3 60 2" xfId="13891" xr:uid="{00000000-0005-0000-0000-000059320000}"/>
    <cellStyle name="Normal 3 60 3" xfId="13892" xr:uid="{00000000-0005-0000-0000-00005A320000}"/>
    <cellStyle name="Normal 3 61" xfId="2386" xr:uid="{00000000-0005-0000-0000-000001090000}"/>
    <cellStyle name="Normal 3 61 2" xfId="13893" xr:uid="{00000000-0005-0000-0000-00005C320000}"/>
    <cellStyle name="Normal 3 61 3" xfId="13894" xr:uid="{00000000-0005-0000-0000-00005D320000}"/>
    <cellStyle name="Normal 3 62" xfId="2387" xr:uid="{00000000-0005-0000-0000-000002090000}"/>
    <cellStyle name="Normal 3 62 2" xfId="13895" xr:uid="{00000000-0005-0000-0000-00005F320000}"/>
    <cellStyle name="Normal 3 62 3" xfId="13896" xr:uid="{00000000-0005-0000-0000-000060320000}"/>
    <cellStyle name="Normal 3 63" xfId="2388" xr:uid="{00000000-0005-0000-0000-000003090000}"/>
    <cellStyle name="Normal 3 63 2" xfId="13897" xr:uid="{00000000-0005-0000-0000-000062320000}"/>
    <cellStyle name="Normal 3 63 3" xfId="13898" xr:uid="{00000000-0005-0000-0000-000063320000}"/>
    <cellStyle name="Normal 3 64" xfId="2389" xr:uid="{00000000-0005-0000-0000-000004090000}"/>
    <cellStyle name="Normal 3 64 2" xfId="13899" xr:uid="{00000000-0005-0000-0000-000065320000}"/>
    <cellStyle name="Normal 3 64 3" xfId="13900" xr:uid="{00000000-0005-0000-0000-000066320000}"/>
    <cellStyle name="Normal 3 65" xfId="2390" xr:uid="{00000000-0005-0000-0000-000005090000}"/>
    <cellStyle name="Normal 3 65 2" xfId="13901" xr:uid="{00000000-0005-0000-0000-000068320000}"/>
    <cellStyle name="Normal 3 65 3" xfId="13902" xr:uid="{00000000-0005-0000-0000-000069320000}"/>
    <cellStyle name="Normal 3 66" xfId="13903" xr:uid="{00000000-0005-0000-0000-00006A320000}"/>
    <cellStyle name="Normal 3 66 2" xfId="13904" xr:uid="{00000000-0005-0000-0000-00006B320000}"/>
    <cellStyle name="Normal 3 66 2 2" xfId="13905" xr:uid="{00000000-0005-0000-0000-00006C320000}"/>
    <cellStyle name="Normal 3 66 2 3" xfId="13906" xr:uid="{00000000-0005-0000-0000-00006D320000}"/>
    <cellStyle name="Normal 3 66 2 4" xfId="13907" xr:uid="{00000000-0005-0000-0000-00006E320000}"/>
    <cellStyle name="Normal 3 66 3" xfId="13908" xr:uid="{00000000-0005-0000-0000-00006F320000}"/>
    <cellStyle name="Normal 3 66 4" xfId="13909" xr:uid="{00000000-0005-0000-0000-000070320000}"/>
    <cellStyle name="Normal 3 66 5" xfId="13910" xr:uid="{00000000-0005-0000-0000-000071320000}"/>
    <cellStyle name="Normal 3 66 6" xfId="13911" xr:uid="{00000000-0005-0000-0000-000072320000}"/>
    <cellStyle name="Normal 3 67" xfId="13912" xr:uid="{00000000-0005-0000-0000-000073320000}"/>
    <cellStyle name="Normal 3 67 2" xfId="13913" xr:uid="{00000000-0005-0000-0000-000074320000}"/>
    <cellStyle name="Normal 3 67 2 2" xfId="13914" xr:uid="{00000000-0005-0000-0000-000075320000}"/>
    <cellStyle name="Normal 3 67 3" xfId="13915" xr:uid="{00000000-0005-0000-0000-000076320000}"/>
    <cellStyle name="Normal 3 68" xfId="13916" xr:uid="{00000000-0005-0000-0000-000077320000}"/>
    <cellStyle name="Normal 3 68 2" xfId="13917" xr:uid="{00000000-0005-0000-0000-000078320000}"/>
    <cellStyle name="Normal 3 69" xfId="13918" xr:uid="{00000000-0005-0000-0000-000079320000}"/>
    <cellStyle name="Normal 3 69 2" xfId="13919" xr:uid="{00000000-0005-0000-0000-00007A320000}"/>
    <cellStyle name="Normal 3 7" xfId="2391" xr:uid="{00000000-0005-0000-0000-000006090000}"/>
    <cellStyle name="Normal 3 7 10" xfId="2392" xr:uid="{00000000-0005-0000-0000-000007090000}"/>
    <cellStyle name="Normal 3 7 10 2" xfId="13920" xr:uid="{00000000-0005-0000-0000-00007D320000}"/>
    <cellStyle name="Normal 3 7 10 3" xfId="13921" xr:uid="{00000000-0005-0000-0000-00007E320000}"/>
    <cellStyle name="Normal 3 7 11" xfId="2393" xr:uid="{00000000-0005-0000-0000-000008090000}"/>
    <cellStyle name="Normal 3 7 11 2" xfId="13922" xr:uid="{00000000-0005-0000-0000-000080320000}"/>
    <cellStyle name="Normal 3 7 11 3" xfId="13923" xr:uid="{00000000-0005-0000-0000-000081320000}"/>
    <cellStyle name="Normal 3 7 12" xfId="2394" xr:uid="{00000000-0005-0000-0000-000009090000}"/>
    <cellStyle name="Normal 3 7 12 2" xfId="13924" xr:uid="{00000000-0005-0000-0000-000083320000}"/>
    <cellStyle name="Normal 3 7 12 3" xfId="13925" xr:uid="{00000000-0005-0000-0000-000084320000}"/>
    <cellStyle name="Normal 3 7 13" xfId="2395" xr:uid="{00000000-0005-0000-0000-00000A090000}"/>
    <cellStyle name="Normal 3 7 13 2" xfId="13926" xr:uid="{00000000-0005-0000-0000-000086320000}"/>
    <cellStyle name="Normal 3 7 13 3" xfId="13927" xr:uid="{00000000-0005-0000-0000-000087320000}"/>
    <cellStyle name="Normal 3 7 14" xfId="2396" xr:uid="{00000000-0005-0000-0000-00000B090000}"/>
    <cellStyle name="Normal 3 7 14 2" xfId="13928" xr:uid="{00000000-0005-0000-0000-000089320000}"/>
    <cellStyle name="Normal 3 7 14 3" xfId="13929" xr:uid="{00000000-0005-0000-0000-00008A320000}"/>
    <cellStyle name="Normal 3 7 15" xfId="2397" xr:uid="{00000000-0005-0000-0000-00000C090000}"/>
    <cellStyle name="Normal 3 7 15 2" xfId="13930" xr:uid="{00000000-0005-0000-0000-00008C320000}"/>
    <cellStyle name="Normal 3 7 15 3" xfId="13931" xr:uid="{00000000-0005-0000-0000-00008D320000}"/>
    <cellStyle name="Normal 3 7 16" xfId="2398" xr:uid="{00000000-0005-0000-0000-00000D090000}"/>
    <cellStyle name="Normal 3 7 16 2" xfId="13932" xr:uid="{00000000-0005-0000-0000-00008F320000}"/>
    <cellStyle name="Normal 3 7 16 3" xfId="13933" xr:uid="{00000000-0005-0000-0000-000090320000}"/>
    <cellStyle name="Normal 3 7 17" xfId="2399" xr:uid="{00000000-0005-0000-0000-00000E090000}"/>
    <cellStyle name="Normal 3 7 17 2" xfId="13934" xr:uid="{00000000-0005-0000-0000-000092320000}"/>
    <cellStyle name="Normal 3 7 17 3" xfId="13935" xr:uid="{00000000-0005-0000-0000-000093320000}"/>
    <cellStyle name="Normal 3 7 18" xfId="2400" xr:uid="{00000000-0005-0000-0000-00000F090000}"/>
    <cellStyle name="Normal 3 7 18 2" xfId="13936" xr:uid="{00000000-0005-0000-0000-000095320000}"/>
    <cellStyle name="Normal 3 7 18 3" xfId="13937" xr:uid="{00000000-0005-0000-0000-000096320000}"/>
    <cellStyle name="Normal 3 7 19" xfId="2401" xr:uid="{00000000-0005-0000-0000-000010090000}"/>
    <cellStyle name="Normal 3 7 19 2" xfId="13938" xr:uid="{00000000-0005-0000-0000-000098320000}"/>
    <cellStyle name="Normal 3 7 19 3" xfId="13939" xr:uid="{00000000-0005-0000-0000-000099320000}"/>
    <cellStyle name="Normal 3 7 2" xfId="2402" xr:uid="{00000000-0005-0000-0000-000011090000}"/>
    <cellStyle name="Normal 3 7 2 2" xfId="13940" xr:uid="{00000000-0005-0000-0000-00009B320000}"/>
    <cellStyle name="Normal 3 7 2 3" xfId="13941" xr:uid="{00000000-0005-0000-0000-00009C320000}"/>
    <cellStyle name="Normal 3 7 20" xfId="2403" xr:uid="{00000000-0005-0000-0000-000012090000}"/>
    <cellStyle name="Normal 3 7 20 2" xfId="13942" xr:uid="{00000000-0005-0000-0000-00009E320000}"/>
    <cellStyle name="Normal 3 7 20 3" xfId="13943" xr:uid="{00000000-0005-0000-0000-00009F320000}"/>
    <cellStyle name="Normal 3 7 21" xfId="2404" xr:uid="{00000000-0005-0000-0000-000013090000}"/>
    <cellStyle name="Normal 3 7 21 2" xfId="13944" xr:uid="{00000000-0005-0000-0000-0000A1320000}"/>
    <cellStyle name="Normal 3 7 21 3" xfId="13945" xr:uid="{00000000-0005-0000-0000-0000A2320000}"/>
    <cellStyle name="Normal 3 7 22" xfId="2405" xr:uid="{00000000-0005-0000-0000-000014090000}"/>
    <cellStyle name="Normal 3 7 22 2" xfId="13946" xr:uid="{00000000-0005-0000-0000-0000A4320000}"/>
    <cellStyle name="Normal 3 7 22 3" xfId="13947" xr:uid="{00000000-0005-0000-0000-0000A5320000}"/>
    <cellStyle name="Normal 3 7 23" xfId="2406" xr:uid="{00000000-0005-0000-0000-000015090000}"/>
    <cellStyle name="Normal 3 7 23 2" xfId="13948" xr:uid="{00000000-0005-0000-0000-0000A7320000}"/>
    <cellStyle name="Normal 3 7 23 3" xfId="13949" xr:uid="{00000000-0005-0000-0000-0000A8320000}"/>
    <cellStyle name="Normal 3 7 24" xfId="13950" xr:uid="{00000000-0005-0000-0000-0000A9320000}"/>
    <cellStyle name="Normal 3 7 24 2" xfId="13951" xr:uid="{00000000-0005-0000-0000-0000AA320000}"/>
    <cellStyle name="Normal 3 7 25" xfId="13952" xr:uid="{00000000-0005-0000-0000-0000AB320000}"/>
    <cellStyle name="Normal 3 7 3" xfId="2407" xr:uid="{00000000-0005-0000-0000-000016090000}"/>
    <cellStyle name="Normal 3 7 3 2" xfId="13953" xr:uid="{00000000-0005-0000-0000-0000AD320000}"/>
    <cellStyle name="Normal 3 7 3 3" xfId="13954" xr:uid="{00000000-0005-0000-0000-0000AE320000}"/>
    <cellStyle name="Normal 3 7 4" xfId="2408" xr:uid="{00000000-0005-0000-0000-000017090000}"/>
    <cellStyle name="Normal 3 7 4 2" xfId="13955" xr:uid="{00000000-0005-0000-0000-0000B0320000}"/>
    <cellStyle name="Normal 3 7 4 3" xfId="13956" xr:uid="{00000000-0005-0000-0000-0000B1320000}"/>
    <cellStyle name="Normal 3 7 5" xfId="2409" xr:uid="{00000000-0005-0000-0000-000018090000}"/>
    <cellStyle name="Normal 3 7 5 2" xfId="13957" xr:uid="{00000000-0005-0000-0000-0000B3320000}"/>
    <cellStyle name="Normal 3 7 5 3" xfId="13958" xr:uid="{00000000-0005-0000-0000-0000B4320000}"/>
    <cellStyle name="Normal 3 7 6" xfId="2410" xr:uid="{00000000-0005-0000-0000-000019090000}"/>
    <cellStyle name="Normal 3 7 6 2" xfId="13959" xr:uid="{00000000-0005-0000-0000-0000B6320000}"/>
    <cellStyle name="Normal 3 7 6 3" xfId="13960" xr:uid="{00000000-0005-0000-0000-0000B7320000}"/>
    <cellStyle name="Normal 3 7 7" xfId="2411" xr:uid="{00000000-0005-0000-0000-00001A090000}"/>
    <cellStyle name="Normal 3 7 7 2" xfId="13961" xr:uid="{00000000-0005-0000-0000-0000B9320000}"/>
    <cellStyle name="Normal 3 7 7 3" xfId="13962" xr:uid="{00000000-0005-0000-0000-0000BA320000}"/>
    <cellStyle name="Normal 3 7 8" xfId="2412" xr:uid="{00000000-0005-0000-0000-00001B090000}"/>
    <cellStyle name="Normal 3 7 8 2" xfId="13963" xr:uid="{00000000-0005-0000-0000-0000BC320000}"/>
    <cellStyle name="Normal 3 7 8 3" xfId="13964" xr:uid="{00000000-0005-0000-0000-0000BD320000}"/>
    <cellStyle name="Normal 3 7 9" xfId="2413" xr:uid="{00000000-0005-0000-0000-00001C090000}"/>
    <cellStyle name="Normal 3 7 9 2" xfId="13965" xr:uid="{00000000-0005-0000-0000-0000BF320000}"/>
    <cellStyle name="Normal 3 7 9 3" xfId="13966" xr:uid="{00000000-0005-0000-0000-0000C0320000}"/>
    <cellStyle name="Normal 3 70" xfId="13967" xr:uid="{00000000-0005-0000-0000-0000C1320000}"/>
    <cellStyle name="Normal 3 70 2" xfId="13968" xr:uid="{00000000-0005-0000-0000-0000C2320000}"/>
    <cellStyle name="Normal 3 71" xfId="13969" xr:uid="{00000000-0005-0000-0000-0000C3320000}"/>
    <cellStyle name="Normal 3 71 2" xfId="13970" xr:uid="{00000000-0005-0000-0000-0000C4320000}"/>
    <cellStyle name="Normal 3 72" xfId="13971" xr:uid="{00000000-0005-0000-0000-0000C5320000}"/>
    <cellStyle name="Normal 3 72 2" xfId="13972" xr:uid="{00000000-0005-0000-0000-0000C6320000}"/>
    <cellStyle name="Normal 3 73" xfId="13973" xr:uid="{00000000-0005-0000-0000-0000C7320000}"/>
    <cellStyle name="Normal 3 74" xfId="13974" xr:uid="{00000000-0005-0000-0000-0000C8320000}"/>
    <cellStyle name="Normal 3 75" xfId="13975" xr:uid="{00000000-0005-0000-0000-0000C9320000}"/>
    <cellStyle name="Normal 3 76" xfId="13976" xr:uid="{00000000-0005-0000-0000-0000CA320000}"/>
    <cellStyle name="Normal 3 77" xfId="13977" xr:uid="{00000000-0005-0000-0000-0000CB320000}"/>
    <cellStyle name="Normal 3 78" xfId="13978" xr:uid="{00000000-0005-0000-0000-0000CC320000}"/>
    <cellStyle name="Normal 3 79" xfId="13979" xr:uid="{00000000-0005-0000-0000-0000CD320000}"/>
    <cellStyle name="Normal 3 8" xfId="2414" xr:uid="{00000000-0005-0000-0000-00001D090000}"/>
    <cellStyle name="Normal 3 8 10" xfId="2415" xr:uid="{00000000-0005-0000-0000-00001E090000}"/>
    <cellStyle name="Normal 3 8 10 2" xfId="13980" xr:uid="{00000000-0005-0000-0000-0000D0320000}"/>
    <cellStyle name="Normal 3 8 10 3" xfId="13981" xr:uid="{00000000-0005-0000-0000-0000D1320000}"/>
    <cellStyle name="Normal 3 8 11" xfId="2416" xr:uid="{00000000-0005-0000-0000-00001F090000}"/>
    <cellStyle name="Normal 3 8 11 2" xfId="13982" xr:uid="{00000000-0005-0000-0000-0000D3320000}"/>
    <cellStyle name="Normal 3 8 11 3" xfId="13983" xr:uid="{00000000-0005-0000-0000-0000D4320000}"/>
    <cellStyle name="Normal 3 8 12" xfId="2417" xr:uid="{00000000-0005-0000-0000-000020090000}"/>
    <cellStyle name="Normal 3 8 12 2" xfId="13984" xr:uid="{00000000-0005-0000-0000-0000D6320000}"/>
    <cellStyle name="Normal 3 8 12 3" xfId="13985" xr:uid="{00000000-0005-0000-0000-0000D7320000}"/>
    <cellStyle name="Normal 3 8 13" xfId="2418" xr:uid="{00000000-0005-0000-0000-000021090000}"/>
    <cellStyle name="Normal 3 8 13 2" xfId="13986" xr:uid="{00000000-0005-0000-0000-0000D9320000}"/>
    <cellStyle name="Normal 3 8 13 3" xfId="13987" xr:uid="{00000000-0005-0000-0000-0000DA320000}"/>
    <cellStyle name="Normal 3 8 14" xfId="2419" xr:uid="{00000000-0005-0000-0000-000022090000}"/>
    <cellStyle name="Normal 3 8 14 2" xfId="13988" xr:uid="{00000000-0005-0000-0000-0000DC320000}"/>
    <cellStyle name="Normal 3 8 14 3" xfId="13989" xr:uid="{00000000-0005-0000-0000-0000DD320000}"/>
    <cellStyle name="Normal 3 8 15" xfId="2420" xr:uid="{00000000-0005-0000-0000-000023090000}"/>
    <cellStyle name="Normal 3 8 15 2" xfId="13990" xr:uid="{00000000-0005-0000-0000-0000DF320000}"/>
    <cellStyle name="Normal 3 8 15 3" xfId="13991" xr:uid="{00000000-0005-0000-0000-0000E0320000}"/>
    <cellStyle name="Normal 3 8 16" xfId="2421" xr:uid="{00000000-0005-0000-0000-000024090000}"/>
    <cellStyle name="Normal 3 8 16 2" xfId="13992" xr:uid="{00000000-0005-0000-0000-0000E2320000}"/>
    <cellStyle name="Normal 3 8 16 3" xfId="13993" xr:uid="{00000000-0005-0000-0000-0000E3320000}"/>
    <cellStyle name="Normal 3 8 17" xfId="2422" xr:uid="{00000000-0005-0000-0000-000025090000}"/>
    <cellStyle name="Normal 3 8 17 2" xfId="13994" xr:uid="{00000000-0005-0000-0000-0000E5320000}"/>
    <cellStyle name="Normal 3 8 17 3" xfId="13995" xr:uid="{00000000-0005-0000-0000-0000E6320000}"/>
    <cellStyle name="Normal 3 8 18" xfId="2423" xr:uid="{00000000-0005-0000-0000-000026090000}"/>
    <cellStyle name="Normal 3 8 18 2" xfId="13996" xr:uid="{00000000-0005-0000-0000-0000E8320000}"/>
    <cellStyle name="Normal 3 8 18 3" xfId="13997" xr:uid="{00000000-0005-0000-0000-0000E9320000}"/>
    <cellStyle name="Normal 3 8 19" xfId="2424" xr:uid="{00000000-0005-0000-0000-000027090000}"/>
    <cellStyle name="Normal 3 8 19 2" xfId="13998" xr:uid="{00000000-0005-0000-0000-0000EB320000}"/>
    <cellStyle name="Normal 3 8 19 3" xfId="13999" xr:uid="{00000000-0005-0000-0000-0000EC320000}"/>
    <cellStyle name="Normal 3 8 2" xfId="2425" xr:uid="{00000000-0005-0000-0000-000028090000}"/>
    <cellStyle name="Normal 3 8 2 2" xfId="14000" xr:uid="{00000000-0005-0000-0000-0000EE320000}"/>
    <cellStyle name="Normal 3 8 2 3" xfId="14001" xr:uid="{00000000-0005-0000-0000-0000EF320000}"/>
    <cellStyle name="Normal 3 8 20" xfId="2426" xr:uid="{00000000-0005-0000-0000-000029090000}"/>
    <cellStyle name="Normal 3 8 20 2" xfId="14002" xr:uid="{00000000-0005-0000-0000-0000F1320000}"/>
    <cellStyle name="Normal 3 8 20 3" xfId="14003" xr:uid="{00000000-0005-0000-0000-0000F2320000}"/>
    <cellStyle name="Normal 3 8 21" xfId="2427" xr:uid="{00000000-0005-0000-0000-00002A090000}"/>
    <cellStyle name="Normal 3 8 21 2" xfId="14004" xr:uid="{00000000-0005-0000-0000-0000F4320000}"/>
    <cellStyle name="Normal 3 8 21 3" xfId="14005" xr:uid="{00000000-0005-0000-0000-0000F5320000}"/>
    <cellStyle name="Normal 3 8 22" xfId="2428" xr:uid="{00000000-0005-0000-0000-00002B090000}"/>
    <cellStyle name="Normal 3 8 22 2" xfId="14006" xr:uid="{00000000-0005-0000-0000-0000F7320000}"/>
    <cellStyle name="Normal 3 8 22 3" xfId="14007" xr:uid="{00000000-0005-0000-0000-0000F8320000}"/>
    <cellStyle name="Normal 3 8 23" xfId="2429" xr:uid="{00000000-0005-0000-0000-00002C090000}"/>
    <cellStyle name="Normal 3 8 23 2" xfId="14008" xr:uid="{00000000-0005-0000-0000-0000FA320000}"/>
    <cellStyle name="Normal 3 8 23 3" xfId="14009" xr:uid="{00000000-0005-0000-0000-0000FB320000}"/>
    <cellStyle name="Normal 3 8 24" xfId="14010" xr:uid="{00000000-0005-0000-0000-0000FC320000}"/>
    <cellStyle name="Normal 3 8 25" xfId="14011" xr:uid="{00000000-0005-0000-0000-0000FD320000}"/>
    <cellStyle name="Normal 3 8 3" xfId="2430" xr:uid="{00000000-0005-0000-0000-00002D090000}"/>
    <cellStyle name="Normal 3 8 3 2" xfId="14012" xr:uid="{00000000-0005-0000-0000-0000FF320000}"/>
    <cellStyle name="Normal 3 8 3 3" xfId="14013" xr:uid="{00000000-0005-0000-0000-000000330000}"/>
    <cellStyle name="Normal 3 8 4" xfId="2431" xr:uid="{00000000-0005-0000-0000-00002E090000}"/>
    <cellStyle name="Normal 3 8 4 2" xfId="14014" xr:uid="{00000000-0005-0000-0000-000002330000}"/>
    <cellStyle name="Normal 3 8 4 3" xfId="14015" xr:uid="{00000000-0005-0000-0000-000003330000}"/>
    <cellStyle name="Normal 3 8 5" xfId="2432" xr:uid="{00000000-0005-0000-0000-00002F090000}"/>
    <cellStyle name="Normal 3 8 5 2" xfId="14016" xr:uid="{00000000-0005-0000-0000-000005330000}"/>
    <cellStyle name="Normal 3 8 5 3" xfId="14017" xr:uid="{00000000-0005-0000-0000-000006330000}"/>
    <cellStyle name="Normal 3 8 6" xfId="2433" xr:uid="{00000000-0005-0000-0000-000030090000}"/>
    <cellStyle name="Normal 3 8 6 2" xfId="14018" xr:uid="{00000000-0005-0000-0000-000008330000}"/>
    <cellStyle name="Normal 3 8 6 3" xfId="14019" xr:uid="{00000000-0005-0000-0000-000009330000}"/>
    <cellStyle name="Normal 3 8 7" xfId="2434" xr:uid="{00000000-0005-0000-0000-000031090000}"/>
    <cellStyle name="Normal 3 8 7 2" xfId="14020" xr:uid="{00000000-0005-0000-0000-00000B330000}"/>
    <cellStyle name="Normal 3 8 7 3" xfId="14021" xr:uid="{00000000-0005-0000-0000-00000C330000}"/>
    <cellStyle name="Normal 3 8 8" xfId="2435" xr:uid="{00000000-0005-0000-0000-000032090000}"/>
    <cellStyle name="Normal 3 8 8 2" xfId="14022" xr:uid="{00000000-0005-0000-0000-00000E330000}"/>
    <cellStyle name="Normal 3 8 8 3" xfId="14023" xr:uid="{00000000-0005-0000-0000-00000F330000}"/>
    <cellStyle name="Normal 3 8 9" xfId="2436" xr:uid="{00000000-0005-0000-0000-000033090000}"/>
    <cellStyle name="Normal 3 8 9 2" xfId="14024" xr:uid="{00000000-0005-0000-0000-000011330000}"/>
    <cellStyle name="Normal 3 8 9 3" xfId="14025" xr:uid="{00000000-0005-0000-0000-000012330000}"/>
    <cellStyle name="Normal 3 80" xfId="14026" xr:uid="{00000000-0005-0000-0000-000013330000}"/>
    <cellStyle name="Normal 3 81" xfId="14027" xr:uid="{00000000-0005-0000-0000-000014330000}"/>
    <cellStyle name="Normal 3 82" xfId="14028" xr:uid="{00000000-0005-0000-0000-000015330000}"/>
    <cellStyle name="Normal 3 83" xfId="14029" xr:uid="{00000000-0005-0000-0000-000016330000}"/>
    <cellStyle name="Normal 3 84" xfId="14030" xr:uid="{00000000-0005-0000-0000-000017330000}"/>
    <cellStyle name="Normal 3 85" xfId="14031" xr:uid="{00000000-0005-0000-0000-000018330000}"/>
    <cellStyle name="Normal 3 86" xfId="14032" xr:uid="{00000000-0005-0000-0000-000019330000}"/>
    <cellStyle name="Normal 3 87" xfId="14033" xr:uid="{00000000-0005-0000-0000-00001A330000}"/>
    <cellStyle name="Normal 3 88" xfId="14034" xr:uid="{00000000-0005-0000-0000-00001B330000}"/>
    <cellStyle name="Normal 3 89" xfId="14035" xr:uid="{00000000-0005-0000-0000-00001C330000}"/>
    <cellStyle name="Normal 3 9" xfId="2437" xr:uid="{00000000-0005-0000-0000-000034090000}"/>
    <cellStyle name="Normal 3 9 10" xfId="2438" xr:uid="{00000000-0005-0000-0000-000035090000}"/>
    <cellStyle name="Normal 3 9 10 2" xfId="14036" xr:uid="{00000000-0005-0000-0000-00001F330000}"/>
    <cellStyle name="Normal 3 9 10 3" xfId="14037" xr:uid="{00000000-0005-0000-0000-000020330000}"/>
    <cellStyle name="Normal 3 9 11" xfId="2439" xr:uid="{00000000-0005-0000-0000-000036090000}"/>
    <cellStyle name="Normal 3 9 11 2" xfId="14038" xr:uid="{00000000-0005-0000-0000-000022330000}"/>
    <cellStyle name="Normal 3 9 11 3" xfId="14039" xr:uid="{00000000-0005-0000-0000-000023330000}"/>
    <cellStyle name="Normal 3 9 12" xfId="2440" xr:uid="{00000000-0005-0000-0000-000037090000}"/>
    <cellStyle name="Normal 3 9 12 2" xfId="14040" xr:uid="{00000000-0005-0000-0000-000025330000}"/>
    <cellStyle name="Normal 3 9 12 3" xfId="14041" xr:uid="{00000000-0005-0000-0000-000026330000}"/>
    <cellStyle name="Normal 3 9 13" xfId="2441" xr:uid="{00000000-0005-0000-0000-000038090000}"/>
    <cellStyle name="Normal 3 9 13 2" xfId="14042" xr:uid="{00000000-0005-0000-0000-000028330000}"/>
    <cellStyle name="Normal 3 9 13 3" xfId="14043" xr:uid="{00000000-0005-0000-0000-000029330000}"/>
    <cellStyle name="Normal 3 9 14" xfId="2442" xr:uid="{00000000-0005-0000-0000-000039090000}"/>
    <cellStyle name="Normal 3 9 14 2" xfId="14044" xr:uid="{00000000-0005-0000-0000-00002B330000}"/>
    <cellStyle name="Normal 3 9 14 3" xfId="14045" xr:uid="{00000000-0005-0000-0000-00002C330000}"/>
    <cellStyle name="Normal 3 9 15" xfId="2443" xr:uid="{00000000-0005-0000-0000-00003A090000}"/>
    <cellStyle name="Normal 3 9 15 2" xfId="14046" xr:uid="{00000000-0005-0000-0000-00002E330000}"/>
    <cellStyle name="Normal 3 9 15 3" xfId="14047" xr:uid="{00000000-0005-0000-0000-00002F330000}"/>
    <cellStyle name="Normal 3 9 16" xfId="2444" xr:uid="{00000000-0005-0000-0000-00003B090000}"/>
    <cellStyle name="Normal 3 9 16 2" xfId="14048" xr:uid="{00000000-0005-0000-0000-000031330000}"/>
    <cellStyle name="Normal 3 9 16 3" xfId="14049" xr:uid="{00000000-0005-0000-0000-000032330000}"/>
    <cellStyle name="Normal 3 9 17" xfId="2445" xr:uid="{00000000-0005-0000-0000-00003C090000}"/>
    <cellStyle name="Normal 3 9 17 2" xfId="14050" xr:uid="{00000000-0005-0000-0000-000034330000}"/>
    <cellStyle name="Normal 3 9 17 3" xfId="14051" xr:uid="{00000000-0005-0000-0000-000035330000}"/>
    <cellStyle name="Normal 3 9 18" xfId="2446" xr:uid="{00000000-0005-0000-0000-00003D090000}"/>
    <cellStyle name="Normal 3 9 18 2" xfId="14052" xr:uid="{00000000-0005-0000-0000-000037330000}"/>
    <cellStyle name="Normal 3 9 18 3" xfId="14053" xr:uid="{00000000-0005-0000-0000-000038330000}"/>
    <cellStyle name="Normal 3 9 19" xfId="2447" xr:uid="{00000000-0005-0000-0000-00003E090000}"/>
    <cellStyle name="Normal 3 9 19 2" xfId="14054" xr:uid="{00000000-0005-0000-0000-00003A330000}"/>
    <cellStyle name="Normal 3 9 19 3" xfId="14055" xr:uid="{00000000-0005-0000-0000-00003B330000}"/>
    <cellStyle name="Normal 3 9 2" xfId="2448" xr:uid="{00000000-0005-0000-0000-00003F090000}"/>
    <cellStyle name="Normal 3 9 2 2" xfId="14056" xr:uid="{00000000-0005-0000-0000-00003D330000}"/>
    <cellStyle name="Normal 3 9 2 3" xfId="14057" xr:uid="{00000000-0005-0000-0000-00003E330000}"/>
    <cellStyle name="Normal 3 9 20" xfId="2449" xr:uid="{00000000-0005-0000-0000-000040090000}"/>
    <cellStyle name="Normal 3 9 20 2" xfId="14058" xr:uid="{00000000-0005-0000-0000-000040330000}"/>
    <cellStyle name="Normal 3 9 20 3" xfId="14059" xr:uid="{00000000-0005-0000-0000-000041330000}"/>
    <cellStyle name="Normal 3 9 21" xfId="2450" xr:uid="{00000000-0005-0000-0000-000041090000}"/>
    <cellStyle name="Normal 3 9 21 2" xfId="14060" xr:uid="{00000000-0005-0000-0000-000043330000}"/>
    <cellStyle name="Normal 3 9 21 3" xfId="14061" xr:uid="{00000000-0005-0000-0000-000044330000}"/>
    <cellStyle name="Normal 3 9 22" xfId="2451" xr:uid="{00000000-0005-0000-0000-000042090000}"/>
    <cellStyle name="Normal 3 9 22 2" xfId="14062" xr:uid="{00000000-0005-0000-0000-000046330000}"/>
    <cellStyle name="Normal 3 9 22 3" xfId="14063" xr:uid="{00000000-0005-0000-0000-000047330000}"/>
    <cellStyle name="Normal 3 9 23" xfId="2452" xr:uid="{00000000-0005-0000-0000-000043090000}"/>
    <cellStyle name="Normal 3 9 23 2" xfId="14064" xr:uid="{00000000-0005-0000-0000-000049330000}"/>
    <cellStyle name="Normal 3 9 23 3" xfId="14065" xr:uid="{00000000-0005-0000-0000-00004A330000}"/>
    <cellStyle name="Normal 3 9 24" xfId="14066" xr:uid="{00000000-0005-0000-0000-00004B330000}"/>
    <cellStyle name="Normal 3 9 25" xfId="14067" xr:uid="{00000000-0005-0000-0000-00004C330000}"/>
    <cellStyle name="Normal 3 9 3" xfId="2453" xr:uid="{00000000-0005-0000-0000-000044090000}"/>
    <cellStyle name="Normal 3 9 3 2" xfId="14068" xr:uid="{00000000-0005-0000-0000-00004E330000}"/>
    <cellStyle name="Normal 3 9 3 3" xfId="14069" xr:uid="{00000000-0005-0000-0000-00004F330000}"/>
    <cellStyle name="Normal 3 9 4" xfId="2454" xr:uid="{00000000-0005-0000-0000-000045090000}"/>
    <cellStyle name="Normal 3 9 4 2" xfId="14070" xr:uid="{00000000-0005-0000-0000-000051330000}"/>
    <cellStyle name="Normal 3 9 4 3" xfId="14071" xr:uid="{00000000-0005-0000-0000-000052330000}"/>
    <cellStyle name="Normal 3 9 5" xfId="2455" xr:uid="{00000000-0005-0000-0000-000046090000}"/>
    <cellStyle name="Normal 3 9 5 2" xfId="14072" xr:uid="{00000000-0005-0000-0000-000054330000}"/>
    <cellStyle name="Normal 3 9 5 3" xfId="14073" xr:uid="{00000000-0005-0000-0000-000055330000}"/>
    <cellStyle name="Normal 3 9 6" xfId="2456" xr:uid="{00000000-0005-0000-0000-000047090000}"/>
    <cellStyle name="Normal 3 9 6 2" xfId="14074" xr:uid="{00000000-0005-0000-0000-000057330000}"/>
    <cellStyle name="Normal 3 9 6 3" xfId="14075" xr:uid="{00000000-0005-0000-0000-000058330000}"/>
    <cellStyle name="Normal 3 9 7" xfId="2457" xr:uid="{00000000-0005-0000-0000-000048090000}"/>
    <cellStyle name="Normal 3 9 7 2" xfId="14076" xr:uid="{00000000-0005-0000-0000-00005A330000}"/>
    <cellStyle name="Normal 3 9 7 3" xfId="14077" xr:uid="{00000000-0005-0000-0000-00005B330000}"/>
    <cellStyle name="Normal 3 9 8" xfId="2458" xr:uid="{00000000-0005-0000-0000-000049090000}"/>
    <cellStyle name="Normal 3 9 8 2" xfId="14078" xr:uid="{00000000-0005-0000-0000-00005D330000}"/>
    <cellStyle name="Normal 3 9 8 3" xfId="14079" xr:uid="{00000000-0005-0000-0000-00005E330000}"/>
    <cellStyle name="Normal 3 9 9" xfId="2459" xr:uid="{00000000-0005-0000-0000-00004A090000}"/>
    <cellStyle name="Normal 3 9 9 2" xfId="14080" xr:uid="{00000000-0005-0000-0000-000060330000}"/>
    <cellStyle name="Normal 3 9 9 3" xfId="14081" xr:uid="{00000000-0005-0000-0000-000061330000}"/>
    <cellStyle name="Normal 3 90" xfId="14082" xr:uid="{00000000-0005-0000-0000-000062330000}"/>
    <cellStyle name="Normal 3 91" xfId="14083" xr:uid="{00000000-0005-0000-0000-000063330000}"/>
    <cellStyle name="Normal 3 92" xfId="14084" xr:uid="{00000000-0005-0000-0000-000064330000}"/>
    <cellStyle name="Normal 3 93" xfId="14085" xr:uid="{00000000-0005-0000-0000-000065330000}"/>
    <cellStyle name="Normal 3 94" xfId="14086" xr:uid="{00000000-0005-0000-0000-000066330000}"/>
    <cellStyle name="Normal 3 95" xfId="14087" xr:uid="{00000000-0005-0000-0000-000067330000}"/>
    <cellStyle name="Normal 3 96" xfId="14088" xr:uid="{00000000-0005-0000-0000-000068330000}"/>
    <cellStyle name="Normal 3 97" xfId="14089" xr:uid="{00000000-0005-0000-0000-000069330000}"/>
    <cellStyle name="Normal 3 98" xfId="14090" xr:uid="{00000000-0005-0000-0000-00006A330000}"/>
    <cellStyle name="Normal 3 99" xfId="14091" xr:uid="{00000000-0005-0000-0000-00006B330000}"/>
    <cellStyle name="Normal 3_Commitments" xfId="14092" xr:uid="{00000000-0005-0000-0000-00006C330000}"/>
    <cellStyle name="Normal 30" xfId="2919" xr:uid="{00000000-0005-0000-0000-00004C090000}"/>
    <cellStyle name="Normal 30 2" xfId="14093" xr:uid="{00000000-0005-0000-0000-00006E330000}"/>
    <cellStyle name="Normal 30 3" xfId="30" xr:uid="{00000000-0005-0000-0000-000020000000}"/>
    <cellStyle name="Normal 30 3 2" xfId="132" xr:uid="{00000000-0005-0000-0000-000020000000}"/>
    <cellStyle name="Normal 30 3 3" xfId="14094" xr:uid="{00000000-0005-0000-0000-00006F330000}"/>
    <cellStyle name="Normal 30 4" xfId="14095" xr:uid="{00000000-0005-0000-0000-000070330000}"/>
    <cellStyle name="Normal 30 5" xfId="14096" xr:uid="{00000000-0005-0000-0000-000071330000}"/>
    <cellStyle name="Normal 30 6" xfId="5359" xr:uid="{00000000-0005-0000-0000-00006D330000}"/>
    <cellStyle name="Normal 31" xfId="2918" xr:uid="{00000000-0005-0000-0000-00004D090000}"/>
    <cellStyle name="Normal 31 2" xfId="14097" xr:uid="{00000000-0005-0000-0000-000073330000}"/>
    <cellStyle name="Normal 31 3" xfId="14098" xr:uid="{00000000-0005-0000-0000-000074330000}"/>
    <cellStyle name="Normal 31 4" xfId="14099" xr:uid="{00000000-0005-0000-0000-000075330000}"/>
    <cellStyle name="Normal 31 5" xfId="14100" xr:uid="{00000000-0005-0000-0000-000076330000}"/>
    <cellStyle name="Normal 31 6" xfId="5358" xr:uid="{00000000-0005-0000-0000-000072330000}"/>
    <cellStyle name="Normal 32" xfId="2996" xr:uid="{00000000-0005-0000-0000-00004E090000}"/>
    <cellStyle name="Normal 32 2" xfId="14101" xr:uid="{00000000-0005-0000-0000-000078330000}"/>
    <cellStyle name="Normal 32 3" xfId="14102" xr:uid="{00000000-0005-0000-0000-000079330000}"/>
    <cellStyle name="Normal 32 4" xfId="14103" xr:uid="{00000000-0005-0000-0000-00007A330000}"/>
    <cellStyle name="Normal 32 5" xfId="14104" xr:uid="{00000000-0005-0000-0000-00007B330000}"/>
    <cellStyle name="Normal 32 6" xfId="5357" xr:uid="{00000000-0005-0000-0000-000077330000}"/>
    <cellStyle name="Normal 33" xfId="2993" xr:uid="{00000000-0005-0000-0000-00004F090000}"/>
    <cellStyle name="Normal 33 2" xfId="14105" xr:uid="{00000000-0005-0000-0000-00007D330000}"/>
    <cellStyle name="Normal 33 2 2" xfId="14106" xr:uid="{00000000-0005-0000-0000-00007E330000}"/>
    <cellStyle name="Normal 33 2 3" xfId="14107" xr:uid="{00000000-0005-0000-0000-00007F330000}"/>
    <cellStyle name="Normal 33 3" xfId="46" xr:uid="{00000000-0005-0000-0000-000021000000}"/>
    <cellStyle name="Normal 33 3 2" xfId="148" xr:uid="{00000000-0005-0000-0000-000021000000}"/>
    <cellStyle name="Normal 33 3 3" xfId="14108" xr:uid="{00000000-0005-0000-0000-000080330000}"/>
    <cellStyle name="Normal 33 4" xfId="14109" xr:uid="{00000000-0005-0000-0000-000081330000}"/>
    <cellStyle name="Normal 33 5" xfId="14110" xr:uid="{00000000-0005-0000-0000-000082330000}"/>
    <cellStyle name="Normal 33 6" xfId="14111" xr:uid="{00000000-0005-0000-0000-000083330000}"/>
    <cellStyle name="Normal 33 7" xfId="5356" xr:uid="{00000000-0005-0000-0000-00007C330000}"/>
    <cellStyle name="Normal 34" xfId="2992" xr:uid="{00000000-0005-0000-0000-000050090000}"/>
    <cellStyle name="Normal 34 2" xfId="14112" xr:uid="{00000000-0005-0000-0000-000085330000}"/>
    <cellStyle name="Normal 34 3" xfId="47" xr:uid="{00000000-0005-0000-0000-000022000000}"/>
    <cellStyle name="Normal 34 3 2" xfId="149" xr:uid="{00000000-0005-0000-0000-000022000000}"/>
    <cellStyle name="Normal 34 3 3" xfId="14113" xr:uid="{00000000-0005-0000-0000-000086330000}"/>
    <cellStyle name="Normal 34 4" xfId="14114" xr:uid="{00000000-0005-0000-0000-000087330000}"/>
    <cellStyle name="Normal 34 5" xfId="14115" xr:uid="{00000000-0005-0000-0000-000088330000}"/>
    <cellStyle name="Normal 34 6" xfId="5355" xr:uid="{00000000-0005-0000-0000-000084330000}"/>
    <cellStyle name="Normal 344" xfId="20602" xr:uid="{16D015BF-9FCD-4422-99DC-5E95A755F9A1}"/>
    <cellStyle name="Normal 344 6" xfId="20569" xr:uid="{C796EF72-A3AD-49B7-A90F-CDCDC6477B26}"/>
    <cellStyle name="Normal 35" xfId="2989" xr:uid="{00000000-0005-0000-0000-000051090000}"/>
    <cellStyle name="Normal 35 2" xfId="14116" xr:uid="{00000000-0005-0000-0000-00008A330000}"/>
    <cellStyle name="Normal 35 3" xfId="48" xr:uid="{00000000-0005-0000-0000-000023000000}"/>
    <cellStyle name="Normal 35 3 2" xfId="150" xr:uid="{00000000-0005-0000-0000-000023000000}"/>
    <cellStyle name="Normal 35 3 3" xfId="14117" xr:uid="{00000000-0005-0000-0000-00008B330000}"/>
    <cellStyle name="Normal 35 4" xfId="14118" xr:uid="{00000000-0005-0000-0000-00008C330000}"/>
    <cellStyle name="Normal 35 5" xfId="14119" xr:uid="{00000000-0005-0000-0000-00008D330000}"/>
    <cellStyle name="Normal 35 6" xfId="5354" xr:uid="{00000000-0005-0000-0000-000089330000}"/>
    <cellStyle name="Normal 36" xfId="2986" xr:uid="{00000000-0005-0000-0000-000052090000}"/>
    <cellStyle name="Normal 36 2" xfId="14120" xr:uid="{00000000-0005-0000-0000-00008F330000}"/>
    <cellStyle name="Normal 36 3" xfId="14121" xr:uid="{00000000-0005-0000-0000-000090330000}"/>
    <cellStyle name="Normal 36 4" xfId="14122" xr:uid="{00000000-0005-0000-0000-000091330000}"/>
    <cellStyle name="Normal 36 5" xfId="14123" xr:uid="{00000000-0005-0000-0000-000092330000}"/>
    <cellStyle name="Normal 36 6" xfId="5353" xr:uid="{00000000-0005-0000-0000-00008E330000}"/>
    <cellStyle name="Normal 37" xfId="2983" xr:uid="{00000000-0005-0000-0000-000053090000}"/>
    <cellStyle name="Normal 37 2" xfId="14124" xr:uid="{00000000-0005-0000-0000-000094330000}"/>
    <cellStyle name="Normal 37 3" xfId="14125" xr:uid="{00000000-0005-0000-0000-000095330000}"/>
    <cellStyle name="Normal 37 4" xfId="14126" xr:uid="{00000000-0005-0000-0000-000096330000}"/>
    <cellStyle name="Normal 37 5" xfId="14127" xr:uid="{00000000-0005-0000-0000-000097330000}"/>
    <cellStyle name="Normal 37 6" xfId="5352" xr:uid="{00000000-0005-0000-0000-000093330000}"/>
    <cellStyle name="Normal 38" xfId="2980" xr:uid="{00000000-0005-0000-0000-000054090000}"/>
    <cellStyle name="Normal 38 2" xfId="14128" xr:uid="{00000000-0005-0000-0000-000099330000}"/>
    <cellStyle name="Normal 38 3" xfId="32" xr:uid="{00000000-0005-0000-0000-000024000000}"/>
    <cellStyle name="Normal 38 3 2" xfId="134" xr:uid="{00000000-0005-0000-0000-000024000000}"/>
    <cellStyle name="Normal 38 3 3" xfId="14129" xr:uid="{00000000-0005-0000-0000-00009A330000}"/>
    <cellStyle name="Normal 38 4" xfId="14130" xr:uid="{00000000-0005-0000-0000-00009B330000}"/>
    <cellStyle name="Normal 38 5" xfId="14131" xr:uid="{00000000-0005-0000-0000-00009C330000}"/>
    <cellStyle name="Normal 38 6" xfId="5351" xr:uid="{00000000-0005-0000-0000-000098330000}"/>
    <cellStyle name="Normal 39" xfId="2977" xr:uid="{00000000-0005-0000-0000-000055090000}"/>
    <cellStyle name="Normal 39 2" xfId="14132" xr:uid="{00000000-0005-0000-0000-00009E330000}"/>
    <cellStyle name="Normal 39 2 2" xfId="14133" xr:uid="{00000000-0005-0000-0000-00009F330000}"/>
    <cellStyle name="Normal 39 2 2 2" xfId="14134" xr:uid="{00000000-0005-0000-0000-0000A0330000}"/>
    <cellStyle name="Normal 39 2 3" xfId="14135" xr:uid="{00000000-0005-0000-0000-0000A1330000}"/>
    <cellStyle name="Normal 39 3" xfId="33" xr:uid="{00000000-0005-0000-0000-000025000000}"/>
    <cellStyle name="Normal 39 3 2" xfId="135" xr:uid="{00000000-0005-0000-0000-000025000000}"/>
    <cellStyle name="Normal 39 3 3" xfId="14136" xr:uid="{00000000-0005-0000-0000-0000A2330000}"/>
    <cellStyle name="Normal 39 4" xfId="14137" xr:uid="{00000000-0005-0000-0000-0000A3330000}"/>
    <cellStyle name="Normal 39 5" xfId="14138" xr:uid="{00000000-0005-0000-0000-0000A4330000}"/>
    <cellStyle name="Normal 39 6" xfId="14139" xr:uid="{00000000-0005-0000-0000-0000A5330000}"/>
    <cellStyle name="Normal 39 7" xfId="5350" xr:uid="{00000000-0005-0000-0000-00009D330000}"/>
    <cellStyle name="Normal 4" xfId="2460" xr:uid="{00000000-0005-0000-0000-000056090000}"/>
    <cellStyle name="Normal 4 10" xfId="14140" xr:uid="{00000000-0005-0000-0000-0000A7330000}"/>
    <cellStyle name="Normal 4 10 2" xfId="14141" xr:uid="{00000000-0005-0000-0000-0000A8330000}"/>
    <cellStyle name="Normal 4 10 2 2" xfId="14142" xr:uid="{00000000-0005-0000-0000-0000A9330000}"/>
    <cellStyle name="Normal 4 10 2 2 2" xfId="14143" xr:uid="{00000000-0005-0000-0000-0000AA330000}"/>
    <cellStyle name="Normal 4 10 2 2 3" xfId="14144" xr:uid="{00000000-0005-0000-0000-0000AB330000}"/>
    <cellStyle name="Normal 4 10 2 3" xfId="14145" xr:uid="{00000000-0005-0000-0000-0000AC330000}"/>
    <cellStyle name="Normal 4 10 2 4" xfId="14146" xr:uid="{00000000-0005-0000-0000-0000AD330000}"/>
    <cellStyle name="Normal 4 10 2 5" xfId="14147" xr:uid="{00000000-0005-0000-0000-0000AE330000}"/>
    <cellStyle name="Normal 4 10 2 6" xfId="14148" xr:uid="{00000000-0005-0000-0000-0000AF330000}"/>
    <cellStyle name="Normal 4 10 3" xfId="14149" xr:uid="{00000000-0005-0000-0000-0000B0330000}"/>
    <cellStyle name="Normal 4 10 3 2" xfId="14150" xr:uid="{00000000-0005-0000-0000-0000B1330000}"/>
    <cellStyle name="Normal 4 10 3 3" xfId="14151" xr:uid="{00000000-0005-0000-0000-0000B2330000}"/>
    <cellStyle name="Normal 4 10 4" xfId="14152" xr:uid="{00000000-0005-0000-0000-0000B3330000}"/>
    <cellStyle name="Normal 4 10 5" xfId="14153" xr:uid="{00000000-0005-0000-0000-0000B4330000}"/>
    <cellStyle name="Normal 4 10 6" xfId="14154" xr:uid="{00000000-0005-0000-0000-0000B5330000}"/>
    <cellStyle name="Normal 4 10 7" xfId="14155" xr:uid="{00000000-0005-0000-0000-0000B6330000}"/>
    <cellStyle name="Normal 4 11" xfId="14156" xr:uid="{00000000-0005-0000-0000-0000B7330000}"/>
    <cellStyle name="Normal 4 11 2" xfId="14157" xr:uid="{00000000-0005-0000-0000-0000B8330000}"/>
    <cellStyle name="Normal 4 11 2 2" xfId="14158" xr:uid="{00000000-0005-0000-0000-0000B9330000}"/>
    <cellStyle name="Normal 4 11 2 2 2" xfId="14159" xr:uid="{00000000-0005-0000-0000-0000BA330000}"/>
    <cellStyle name="Normal 4 11 2 2 3" xfId="14160" xr:uid="{00000000-0005-0000-0000-0000BB330000}"/>
    <cellStyle name="Normal 4 11 2 3" xfId="14161" xr:uid="{00000000-0005-0000-0000-0000BC330000}"/>
    <cellStyle name="Normal 4 11 2 4" xfId="14162" xr:uid="{00000000-0005-0000-0000-0000BD330000}"/>
    <cellStyle name="Normal 4 11 2 5" xfId="14163" xr:uid="{00000000-0005-0000-0000-0000BE330000}"/>
    <cellStyle name="Normal 4 11 2 6" xfId="14164" xr:uid="{00000000-0005-0000-0000-0000BF330000}"/>
    <cellStyle name="Normal 4 11 3" xfId="14165" xr:uid="{00000000-0005-0000-0000-0000C0330000}"/>
    <cellStyle name="Normal 4 11 3 2" xfId="14166" xr:uid="{00000000-0005-0000-0000-0000C1330000}"/>
    <cellStyle name="Normal 4 11 3 3" xfId="14167" xr:uid="{00000000-0005-0000-0000-0000C2330000}"/>
    <cellStyle name="Normal 4 11 4" xfId="14168" xr:uid="{00000000-0005-0000-0000-0000C3330000}"/>
    <cellStyle name="Normal 4 11 5" xfId="14169" xr:uid="{00000000-0005-0000-0000-0000C4330000}"/>
    <cellStyle name="Normal 4 11 6" xfId="14170" xr:uid="{00000000-0005-0000-0000-0000C5330000}"/>
    <cellStyle name="Normal 4 11 7" xfId="14171" xr:uid="{00000000-0005-0000-0000-0000C6330000}"/>
    <cellStyle name="Normal 4 12" xfId="14172" xr:uid="{00000000-0005-0000-0000-0000C7330000}"/>
    <cellStyle name="Normal 4 12 2" xfId="14173" xr:uid="{00000000-0005-0000-0000-0000C8330000}"/>
    <cellStyle name="Normal 4 12 2 2" xfId="14174" xr:uid="{00000000-0005-0000-0000-0000C9330000}"/>
    <cellStyle name="Normal 4 12 2 2 2" xfId="14175" xr:uid="{00000000-0005-0000-0000-0000CA330000}"/>
    <cellStyle name="Normal 4 12 2 2 3" xfId="14176" xr:uid="{00000000-0005-0000-0000-0000CB330000}"/>
    <cellStyle name="Normal 4 12 2 3" xfId="14177" xr:uid="{00000000-0005-0000-0000-0000CC330000}"/>
    <cellStyle name="Normal 4 12 2 4" xfId="14178" xr:uid="{00000000-0005-0000-0000-0000CD330000}"/>
    <cellStyle name="Normal 4 12 2 5" xfId="14179" xr:uid="{00000000-0005-0000-0000-0000CE330000}"/>
    <cellStyle name="Normal 4 12 2 6" xfId="14180" xr:uid="{00000000-0005-0000-0000-0000CF330000}"/>
    <cellStyle name="Normal 4 12 3" xfId="14181" xr:uid="{00000000-0005-0000-0000-0000D0330000}"/>
    <cellStyle name="Normal 4 12 3 2" xfId="14182" xr:uid="{00000000-0005-0000-0000-0000D1330000}"/>
    <cellStyle name="Normal 4 12 3 3" xfId="14183" xr:uid="{00000000-0005-0000-0000-0000D2330000}"/>
    <cellStyle name="Normal 4 12 4" xfId="14184" xr:uid="{00000000-0005-0000-0000-0000D3330000}"/>
    <cellStyle name="Normal 4 12 5" xfId="14185" xr:uid="{00000000-0005-0000-0000-0000D4330000}"/>
    <cellStyle name="Normal 4 12 6" xfId="14186" xr:uid="{00000000-0005-0000-0000-0000D5330000}"/>
    <cellStyle name="Normal 4 12 7" xfId="14187" xr:uid="{00000000-0005-0000-0000-0000D6330000}"/>
    <cellStyle name="Normal 4 13" xfId="14188" xr:uid="{00000000-0005-0000-0000-0000D7330000}"/>
    <cellStyle name="Normal 4 13 2" xfId="14189" xr:uid="{00000000-0005-0000-0000-0000D8330000}"/>
    <cellStyle name="Normal 4 13 2 2" xfId="14190" xr:uid="{00000000-0005-0000-0000-0000D9330000}"/>
    <cellStyle name="Normal 4 13 2 3" xfId="14191" xr:uid="{00000000-0005-0000-0000-0000DA330000}"/>
    <cellStyle name="Normal 4 13 3" xfId="14192" xr:uid="{00000000-0005-0000-0000-0000DB330000}"/>
    <cellStyle name="Normal 4 13 4" xfId="14193" xr:uid="{00000000-0005-0000-0000-0000DC330000}"/>
    <cellStyle name="Normal 4 13 5" xfId="14194" xr:uid="{00000000-0005-0000-0000-0000DD330000}"/>
    <cellStyle name="Normal 4 13 6" xfId="14195" xr:uid="{00000000-0005-0000-0000-0000DE330000}"/>
    <cellStyle name="Normal 4 14" xfId="14196" xr:uid="{00000000-0005-0000-0000-0000DF330000}"/>
    <cellStyle name="Normal 4 14 2" xfId="14197" xr:uid="{00000000-0005-0000-0000-0000E0330000}"/>
    <cellStyle name="Normal 4 14 2 2" xfId="14198" xr:uid="{00000000-0005-0000-0000-0000E1330000}"/>
    <cellStyle name="Normal 4 14 2 3" xfId="14199" xr:uid="{00000000-0005-0000-0000-0000E2330000}"/>
    <cellStyle name="Normal 4 14 3" xfId="14200" xr:uid="{00000000-0005-0000-0000-0000E3330000}"/>
    <cellStyle name="Normal 4 14 4" xfId="14201" xr:uid="{00000000-0005-0000-0000-0000E4330000}"/>
    <cellStyle name="Normal 4 14 5" xfId="14202" xr:uid="{00000000-0005-0000-0000-0000E5330000}"/>
    <cellStyle name="Normal 4 14 6" xfId="14203" xr:uid="{00000000-0005-0000-0000-0000E6330000}"/>
    <cellStyle name="Normal 4 15" xfId="14204" xr:uid="{00000000-0005-0000-0000-0000E7330000}"/>
    <cellStyle name="Normal 4 15 2" xfId="14205" xr:uid="{00000000-0005-0000-0000-0000E8330000}"/>
    <cellStyle name="Normal 4 15 2 2" xfId="14206" xr:uid="{00000000-0005-0000-0000-0000E9330000}"/>
    <cellStyle name="Normal 4 15 2 3" xfId="14207" xr:uid="{00000000-0005-0000-0000-0000EA330000}"/>
    <cellStyle name="Normal 4 15 3" xfId="14208" xr:uid="{00000000-0005-0000-0000-0000EB330000}"/>
    <cellStyle name="Normal 4 15 3 2" xfId="14209" xr:uid="{00000000-0005-0000-0000-0000EC330000}"/>
    <cellStyle name="Normal 4 15 4" xfId="14210" xr:uid="{00000000-0005-0000-0000-0000ED330000}"/>
    <cellStyle name="Normal 4 16" xfId="14211" xr:uid="{00000000-0005-0000-0000-0000EE330000}"/>
    <cellStyle name="Normal 4 16 2" xfId="14212" xr:uid="{00000000-0005-0000-0000-0000EF330000}"/>
    <cellStyle name="Normal 4 16 3" xfId="14213" xr:uid="{00000000-0005-0000-0000-0000F0330000}"/>
    <cellStyle name="Normal 4 17" xfId="14214" xr:uid="{00000000-0005-0000-0000-0000F1330000}"/>
    <cellStyle name="Normal 4 17 2" xfId="14215" xr:uid="{00000000-0005-0000-0000-0000F2330000}"/>
    <cellStyle name="Normal 4 17 3" xfId="14216" xr:uid="{00000000-0005-0000-0000-0000F3330000}"/>
    <cellStyle name="Normal 4 18" xfId="14217" xr:uid="{00000000-0005-0000-0000-0000F4330000}"/>
    <cellStyle name="Normal 4 18 2" xfId="14218" xr:uid="{00000000-0005-0000-0000-0000F5330000}"/>
    <cellStyle name="Normal 4 19" xfId="14219" xr:uid="{00000000-0005-0000-0000-0000F6330000}"/>
    <cellStyle name="Normal 4 2" xfId="2461" xr:uid="{00000000-0005-0000-0000-000057090000}"/>
    <cellStyle name="Normal 4 2 10" xfId="14220" xr:uid="{00000000-0005-0000-0000-0000F8330000}"/>
    <cellStyle name="Normal 4 2 11" xfId="14221" xr:uid="{00000000-0005-0000-0000-0000F9330000}"/>
    <cellStyle name="Normal 4 2 12" xfId="14222" xr:uid="{00000000-0005-0000-0000-0000FA330000}"/>
    <cellStyle name="Normal 4 2 13" xfId="14223" xr:uid="{00000000-0005-0000-0000-0000FB330000}"/>
    <cellStyle name="Normal 4 2 2" xfId="2462" xr:uid="{00000000-0005-0000-0000-000058090000}"/>
    <cellStyle name="Normal 4 2 2 2" xfId="14224" xr:uid="{00000000-0005-0000-0000-0000FD330000}"/>
    <cellStyle name="Normal 4 2 2 2 2" xfId="14225" xr:uid="{00000000-0005-0000-0000-0000FE330000}"/>
    <cellStyle name="Normal 4 2 2 3" xfId="14226" xr:uid="{00000000-0005-0000-0000-0000FF330000}"/>
    <cellStyle name="Normal 4 2 2 3 2" xfId="14227" xr:uid="{00000000-0005-0000-0000-000000340000}"/>
    <cellStyle name="Normal 4 2 2 4" xfId="14228" xr:uid="{00000000-0005-0000-0000-000001340000}"/>
    <cellStyle name="Normal 4 2 2 5" xfId="14229" xr:uid="{00000000-0005-0000-0000-000002340000}"/>
    <cellStyle name="Normal 4 2 2 6" xfId="14230" xr:uid="{00000000-0005-0000-0000-000003340000}"/>
    <cellStyle name="Normal 4 2 3" xfId="2890" xr:uid="{00000000-0005-0000-0000-000059090000}"/>
    <cellStyle name="Normal 4 2 3 2" xfId="14232" xr:uid="{00000000-0005-0000-0000-000005340000}"/>
    <cellStyle name="Normal 4 2 3 2 2" xfId="14233" xr:uid="{00000000-0005-0000-0000-000006340000}"/>
    <cellStyle name="Normal 4 2 3 2 2 2" xfId="14234" xr:uid="{00000000-0005-0000-0000-000007340000}"/>
    <cellStyle name="Normal 4 2 3 2 2 3" xfId="14235" xr:uid="{00000000-0005-0000-0000-000008340000}"/>
    <cellStyle name="Normal 4 2 3 2 3" xfId="14236" xr:uid="{00000000-0005-0000-0000-000009340000}"/>
    <cellStyle name="Normal 4 2 3 2 4" xfId="14237" xr:uid="{00000000-0005-0000-0000-00000A340000}"/>
    <cellStyle name="Normal 4 2 3 2 5" xfId="14238" xr:uid="{00000000-0005-0000-0000-00000B340000}"/>
    <cellStyle name="Normal 4 2 3 3" xfId="14239" xr:uid="{00000000-0005-0000-0000-00000C340000}"/>
    <cellStyle name="Normal 4 2 3 3 2" xfId="14240" xr:uid="{00000000-0005-0000-0000-00000D340000}"/>
    <cellStyle name="Normal 4 2 3 3 3" xfId="14241" xr:uid="{00000000-0005-0000-0000-00000E340000}"/>
    <cellStyle name="Normal 4 2 3 4" xfId="14242" xr:uid="{00000000-0005-0000-0000-00000F340000}"/>
    <cellStyle name="Normal 4 2 3 5" xfId="14243" xr:uid="{00000000-0005-0000-0000-000010340000}"/>
    <cellStyle name="Normal 4 2 3 6" xfId="14244" xr:uid="{00000000-0005-0000-0000-000011340000}"/>
    <cellStyle name="Normal 4 2 3 7" xfId="14245" xr:uid="{00000000-0005-0000-0000-000012340000}"/>
    <cellStyle name="Normal 4 2 3 8" xfId="14231" xr:uid="{00000000-0005-0000-0000-000004340000}"/>
    <cellStyle name="Normal 4 2 4" xfId="2948" xr:uid="{00000000-0005-0000-0000-00005A090000}"/>
    <cellStyle name="Normal 4 2 4 2" xfId="14247" xr:uid="{00000000-0005-0000-0000-000014340000}"/>
    <cellStyle name="Normal 4 2 4 2 2" xfId="14248" xr:uid="{00000000-0005-0000-0000-000015340000}"/>
    <cellStyle name="Normal 4 2 4 3" xfId="14249" xr:uid="{00000000-0005-0000-0000-000016340000}"/>
    <cellStyle name="Normal 4 2 4 4" xfId="14250" xr:uid="{00000000-0005-0000-0000-000017340000}"/>
    <cellStyle name="Normal 4 2 4 5" xfId="14251" xr:uid="{00000000-0005-0000-0000-000018340000}"/>
    <cellStyle name="Normal 4 2 4 6" xfId="14246" xr:uid="{00000000-0005-0000-0000-000013340000}"/>
    <cellStyle name="Normal 4 2 5" xfId="14252" xr:uid="{00000000-0005-0000-0000-000019340000}"/>
    <cellStyle name="Normal 4 2 5 2" xfId="14253" xr:uid="{00000000-0005-0000-0000-00001A340000}"/>
    <cellStyle name="Normal 4 2 5 2 2" xfId="14254" xr:uid="{00000000-0005-0000-0000-00001B340000}"/>
    <cellStyle name="Normal 4 2 5 3" xfId="14255" xr:uid="{00000000-0005-0000-0000-00001C340000}"/>
    <cellStyle name="Normal 4 2 5 4" xfId="14256" xr:uid="{00000000-0005-0000-0000-00001D340000}"/>
    <cellStyle name="Normal 4 2 5 5" xfId="14257" xr:uid="{00000000-0005-0000-0000-00001E340000}"/>
    <cellStyle name="Normal 4 2 6" xfId="14258" xr:uid="{00000000-0005-0000-0000-00001F340000}"/>
    <cellStyle name="Normal 4 2 6 2" xfId="14259" xr:uid="{00000000-0005-0000-0000-000020340000}"/>
    <cellStyle name="Normal 4 2 6 3" xfId="14260" xr:uid="{00000000-0005-0000-0000-000021340000}"/>
    <cellStyle name="Normal 4 2 7" xfId="14261" xr:uid="{00000000-0005-0000-0000-000022340000}"/>
    <cellStyle name="Normal 4 2 7 2" xfId="14262" xr:uid="{00000000-0005-0000-0000-000023340000}"/>
    <cellStyle name="Normal 4 2 8" xfId="14263" xr:uid="{00000000-0005-0000-0000-000024340000}"/>
    <cellStyle name="Normal 4 2 9" xfId="14264" xr:uid="{00000000-0005-0000-0000-000025340000}"/>
    <cellStyle name="Normal 4 2_App b.3 Unspent_" xfId="2463" xr:uid="{00000000-0005-0000-0000-00005B090000}"/>
    <cellStyle name="Normal 4 3" xfId="2464" xr:uid="{00000000-0005-0000-0000-00005C090000}"/>
    <cellStyle name="Normal 4 3 2" xfId="14265" xr:uid="{00000000-0005-0000-0000-000027340000}"/>
    <cellStyle name="Normal 4 3 2 2" xfId="14266" xr:uid="{00000000-0005-0000-0000-000028340000}"/>
    <cellStyle name="Normal 4 3 2 2 2" xfId="14267" xr:uid="{00000000-0005-0000-0000-000029340000}"/>
    <cellStyle name="Normal 4 3 2 2 2 2" xfId="14268" xr:uid="{00000000-0005-0000-0000-00002A340000}"/>
    <cellStyle name="Normal 4 3 2 2 2 3" xfId="14269" xr:uid="{00000000-0005-0000-0000-00002B340000}"/>
    <cellStyle name="Normal 4 3 2 2 2 4" xfId="14270" xr:uid="{00000000-0005-0000-0000-00002C340000}"/>
    <cellStyle name="Normal 4 3 2 2 3" xfId="14271" xr:uid="{00000000-0005-0000-0000-00002D340000}"/>
    <cellStyle name="Normal 4 3 2 2 4" xfId="14272" xr:uid="{00000000-0005-0000-0000-00002E340000}"/>
    <cellStyle name="Normal 4 3 2 2 5" xfId="14273" xr:uid="{00000000-0005-0000-0000-00002F340000}"/>
    <cellStyle name="Normal 4 3 2 2 6" xfId="14274" xr:uid="{00000000-0005-0000-0000-000030340000}"/>
    <cellStyle name="Normal 4 3 2 3" xfId="14275" xr:uid="{00000000-0005-0000-0000-000031340000}"/>
    <cellStyle name="Normal 4 3 2 3 2" xfId="14276" xr:uid="{00000000-0005-0000-0000-000032340000}"/>
    <cellStyle name="Normal 4 3 2 3 3" xfId="14277" xr:uid="{00000000-0005-0000-0000-000033340000}"/>
    <cellStyle name="Normal 4 3 2 4" xfId="14278" xr:uid="{00000000-0005-0000-0000-000034340000}"/>
    <cellStyle name="Normal 4 3 2 4 2" xfId="14279" xr:uid="{00000000-0005-0000-0000-000035340000}"/>
    <cellStyle name="Normal 4 3 2 5" xfId="14280" xr:uid="{00000000-0005-0000-0000-000036340000}"/>
    <cellStyle name="Normal 4 3 3" xfId="14281" xr:uid="{00000000-0005-0000-0000-000037340000}"/>
    <cellStyle name="Normal 4 3 3 2" xfId="14282" xr:uid="{00000000-0005-0000-0000-000038340000}"/>
    <cellStyle name="Normal 4 3 3 3" xfId="14283" xr:uid="{00000000-0005-0000-0000-000039340000}"/>
    <cellStyle name="Normal 4 3 4" xfId="14284" xr:uid="{00000000-0005-0000-0000-00003A340000}"/>
    <cellStyle name="Normal 4 3 4 2" xfId="14285" xr:uid="{00000000-0005-0000-0000-00003B340000}"/>
    <cellStyle name="Normal 4 3 5" xfId="14286" xr:uid="{00000000-0005-0000-0000-00003C340000}"/>
    <cellStyle name="Normal 4 3 6" xfId="14287" xr:uid="{00000000-0005-0000-0000-00003D340000}"/>
    <cellStyle name="Normal 4 4" xfId="2465" xr:uid="{00000000-0005-0000-0000-00005D090000}"/>
    <cellStyle name="Normal 4 4 10" xfId="14288" xr:uid="{00000000-0005-0000-0000-00003F340000}"/>
    <cellStyle name="Normal 4 4 2" xfId="2891" xr:uid="{00000000-0005-0000-0000-00005E090000}"/>
    <cellStyle name="Normal 4 4 2 2" xfId="14290" xr:uid="{00000000-0005-0000-0000-000041340000}"/>
    <cellStyle name="Normal 4 4 2 3" xfId="14291" xr:uid="{00000000-0005-0000-0000-000042340000}"/>
    <cellStyle name="Normal 4 4 2 4" xfId="14289" xr:uid="{00000000-0005-0000-0000-000040340000}"/>
    <cellStyle name="Normal 4 4 3" xfId="2949" xr:uid="{00000000-0005-0000-0000-00005F090000}"/>
    <cellStyle name="Normal 4 4 3 2" xfId="14292" xr:uid="{00000000-0005-0000-0000-000043340000}"/>
    <cellStyle name="Normal 4 4 4" xfId="14293" xr:uid="{00000000-0005-0000-0000-000044340000}"/>
    <cellStyle name="Normal 4 4 4 2" xfId="14294" xr:uid="{00000000-0005-0000-0000-000045340000}"/>
    <cellStyle name="Normal 4 4 5" xfId="14295" xr:uid="{00000000-0005-0000-0000-000046340000}"/>
    <cellStyle name="Normal 4 4 5 2" xfId="14296" xr:uid="{00000000-0005-0000-0000-000047340000}"/>
    <cellStyle name="Normal 4 4 6" xfId="14297" xr:uid="{00000000-0005-0000-0000-000048340000}"/>
    <cellStyle name="Normal 4 4 7" xfId="14298" xr:uid="{00000000-0005-0000-0000-000049340000}"/>
    <cellStyle name="Normal 4 4 8" xfId="14299" xr:uid="{00000000-0005-0000-0000-00004A340000}"/>
    <cellStyle name="Normal 4 4 9" xfId="14300" xr:uid="{00000000-0005-0000-0000-00004B340000}"/>
    <cellStyle name="Normal 4 5" xfId="2466" xr:uid="{00000000-0005-0000-0000-000060090000}"/>
    <cellStyle name="Normal 4 5 2" xfId="14301" xr:uid="{00000000-0005-0000-0000-00004D340000}"/>
    <cellStyle name="Normal 4 5 2 2" xfId="14302" xr:uid="{00000000-0005-0000-0000-00004E340000}"/>
    <cellStyle name="Normal 4 5 3" xfId="14303" xr:uid="{00000000-0005-0000-0000-00004F340000}"/>
    <cellStyle name="Normal 4 5 4" xfId="14304" xr:uid="{00000000-0005-0000-0000-000050340000}"/>
    <cellStyle name="Normal 4 6" xfId="14305" xr:uid="{00000000-0005-0000-0000-000051340000}"/>
    <cellStyle name="Normal 4 6 10" xfId="14306" xr:uid="{00000000-0005-0000-0000-000052340000}"/>
    <cellStyle name="Normal 4 6 11" xfId="14307" xr:uid="{00000000-0005-0000-0000-000053340000}"/>
    <cellStyle name="Normal 4 6 2" xfId="14308" xr:uid="{00000000-0005-0000-0000-000054340000}"/>
    <cellStyle name="Normal 4 6 2 10" xfId="14309" xr:uid="{00000000-0005-0000-0000-000055340000}"/>
    <cellStyle name="Normal 4 6 2 2" xfId="14310" xr:uid="{00000000-0005-0000-0000-000056340000}"/>
    <cellStyle name="Normal 4 6 2 2 2" xfId="14311" xr:uid="{00000000-0005-0000-0000-000057340000}"/>
    <cellStyle name="Normal 4 6 2 2 2 2" xfId="14312" xr:uid="{00000000-0005-0000-0000-000058340000}"/>
    <cellStyle name="Normal 4 6 2 2 2 2 2" xfId="14313" xr:uid="{00000000-0005-0000-0000-000059340000}"/>
    <cellStyle name="Normal 4 6 2 2 2 2 2 2" xfId="14314" xr:uid="{00000000-0005-0000-0000-00005A340000}"/>
    <cellStyle name="Normal 4 6 2 2 2 2 2 3" xfId="14315" xr:uid="{00000000-0005-0000-0000-00005B340000}"/>
    <cellStyle name="Normal 4 6 2 2 2 2 3" xfId="14316" xr:uid="{00000000-0005-0000-0000-00005C340000}"/>
    <cellStyle name="Normal 4 6 2 2 2 2 4" xfId="14317" xr:uid="{00000000-0005-0000-0000-00005D340000}"/>
    <cellStyle name="Normal 4 6 2 2 2 2 5" xfId="14318" xr:uid="{00000000-0005-0000-0000-00005E340000}"/>
    <cellStyle name="Normal 4 6 2 2 2 2 6" xfId="14319" xr:uid="{00000000-0005-0000-0000-00005F340000}"/>
    <cellStyle name="Normal 4 6 2 2 2 3" xfId="14320" xr:uid="{00000000-0005-0000-0000-000060340000}"/>
    <cellStyle name="Normal 4 6 2 2 2 3 2" xfId="14321" xr:uid="{00000000-0005-0000-0000-000061340000}"/>
    <cellStyle name="Normal 4 6 2 2 2 3 2 2" xfId="14322" xr:uid="{00000000-0005-0000-0000-000062340000}"/>
    <cellStyle name="Normal 4 6 2 2 2 3 2 3" xfId="14323" xr:uid="{00000000-0005-0000-0000-000063340000}"/>
    <cellStyle name="Normal 4 6 2 2 2 3 3" xfId="14324" xr:uid="{00000000-0005-0000-0000-000064340000}"/>
    <cellStyle name="Normal 4 6 2 2 2 3 3 2" xfId="14325" xr:uid="{00000000-0005-0000-0000-000065340000}"/>
    <cellStyle name="Normal 4 6 2 2 2 3 4" xfId="14326" xr:uid="{00000000-0005-0000-0000-000066340000}"/>
    <cellStyle name="Normal 4 6 2 2 2 4" xfId="14327" xr:uid="{00000000-0005-0000-0000-000067340000}"/>
    <cellStyle name="Normal 4 6 2 2 2 4 2" xfId="14328" xr:uid="{00000000-0005-0000-0000-000068340000}"/>
    <cellStyle name="Normal 4 6 2 2 2 4 3" xfId="14329" xr:uid="{00000000-0005-0000-0000-000069340000}"/>
    <cellStyle name="Normal 4 6 2 2 2 5" xfId="14330" xr:uid="{00000000-0005-0000-0000-00006A340000}"/>
    <cellStyle name="Normal 4 6 2 2 2 6" xfId="14331" xr:uid="{00000000-0005-0000-0000-00006B340000}"/>
    <cellStyle name="Normal 4 6 2 2 2 7" xfId="14332" xr:uid="{00000000-0005-0000-0000-00006C340000}"/>
    <cellStyle name="Normal 4 6 2 2 2 8" xfId="14333" xr:uid="{00000000-0005-0000-0000-00006D340000}"/>
    <cellStyle name="Normal 4 6 2 2 3" xfId="14334" xr:uid="{00000000-0005-0000-0000-00006E340000}"/>
    <cellStyle name="Normal 4 6 2 2 3 2" xfId="14335" xr:uid="{00000000-0005-0000-0000-00006F340000}"/>
    <cellStyle name="Normal 4 6 2 2 3 2 2" xfId="14336" xr:uid="{00000000-0005-0000-0000-000070340000}"/>
    <cellStyle name="Normal 4 6 2 2 3 2 3" xfId="14337" xr:uid="{00000000-0005-0000-0000-000071340000}"/>
    <cellStyle name="Normal 4 6 2 2 3 3" xfId="14338" xr:uid="{00000000-0005-0000-0000-000072340000}"/>
    <cellStyle name="Normal 4 6 2 2 3 4" xfId="14339" xr:uid="{00000000-0005-0000-0000-000073340000}"/>
    <cellStyle name="Normal 4 6 2 2 3 5" xfId="14340" xr:uid="{00000000-0005-0000-0000-000074340000}"/>
    <cellStyle name="Normal 4 6 2 2 3 6" xfId="14341" xr:uid="{00000000-0005-0000-0000-000075340000}"/>
    <cellStyle name="Normal 4 6 2 2 4" xfId="14342" xr:uid="{00000000-0005-0000-0000-000076340000}"/>
    <cellStyle name="Normal 4 6 2 2 4 2" xfId="14343" xr:uid="{00000000-0005-0000-0000-000077340000}"/>
    <cellStyle name="Normal 4 6 2 2 4 2 2" xfId="14344" xr:uid="{00000000-0005-0000-0000-000078340000}"/>
    <cellStyle name="Normal 4 6 2 2 4 2 3" xfId="14345" xr:uid="{00000000-0005-0000-0000-000079340000}"/>
    <cellStyle name="Normal 4 6 2 2 4 3" xfId="14346" xr:uid="{00000000-0005-0000-0000-00007A340000}"/>
    <cellStyle name="Normal 4 6 2 2 4 3 2" xfId="14347" xr:uid="{00000000-0005-0000-0000-00007B340000}"/>
    <cellStyle name="Normal 4 6 2 2 4 4" xfId="14348" xr:uid="{00000000-0005-0000-0000-00007C340000}"/>
    <cellStyle name="Normal 4 6 2 2 5" xfId="14349" xr:uid="{00000000-0005-0000-0000-00007D340000}"/>
    <cellStyle name="Normal 4 6 2 2 5 2" xfId="14350" xr:uid="{00000000-0005-0000-0000-00007E340000}"/>
    <cellStyle name="Normal 4 6 2 2 5 3" xfId="14351" xr:uid="{00000000-0005-0000-0000-00007F340000}"/>
    <cellStyle name="Normal 4 6 2 2 6" xfId="14352" xr:uid="{00000000-0005-0000-0000-000080340000}"/>
    <cellStyle name="Normal 4 6 2 2 7" xfId="14353" xr:uid="{00000000-0005-0000-0000-000081340000}"/>
    <cellStyle name="Normal 4 6 2 2 8" xfId="14354" xr:uid="{00000000-0005-0000-0000-000082340000}"/>
    <cellStyle name="Normal 4 6 2 2 9" xfId="14355" xr:uid="{00000000-0005-0000-0000-000083340000}"/>
    <cellStyle name="Normal 4 6 2 3" xfId="14356" xr:uid="{00000000-0005-0000-0000-000084340000}"/>
    <cellStyle name="Normal 4 6 2 3 2" xfId="14357" xr:uid="{00000000-0005-0000-0000-000085340000}"/>
    <cellStyle name="Normal 4 6 2 3 2 2" xfId="14358" xr:uid="{00000000-0005-0000-0000-000086340000}"/>
    <cellStyle name="Normal 4 6 2 3 2 2 2" xfId="14359" xr:uid="{00000000-0005-0000-0000-000087340000}"/>
    <cellStyle name="Normal 4 6 2 3 2 2 3" xfId="14360" xr:uid="{00000000-0005-0000-0000-000088340000}"/>
    <cellStyle name="Normal 4 6 2 3 2 2 4" xfId="14361" xr:uid="{00000000-0005-0000-0000-000089340000}"/>
    <cellStyle name="Normal 4 6 2 3 2 3" xfId="14362" xr:uid="{00000000-0005-0000-0000-00008A340000}"/>
    <cellStyle name="Normal 4 6 2 3 2 4" xfId="14363" xr:uid="{00000000-0005-0000-0000-00008B340000}"/>
    <cellStyle name="Normal 4 6 2 3 2 5" xfId="14364" xr:uid="{00000000-0005-0000-0000-00008C340000}"/>
    <cellStyle name="Normal 4 6 2 3 2 6" xfId="14365" xr:uid="{00000000-0005-0000-0000-00008D340000}"/>
    <cellStyle name="Normal 4 6 2 3 3" xfId="14366" xr:uid="{00000000-0005-0000-0000-00008E340000}"/>
    <cellStyle name="Normal 4 6 2 3 3 2" xfId="14367" xr:uid="{00000000-0005-0000-0000-00008F340000}"/>
    <cellStyle name="Normal 4 6 2 3 3 2 2" xfId="14368" xr:uid="{00000000-0005-0000-0000-000090340000}"/>
    <cellStyle name="Normal 4 6 2 3 3 2 3" xfId="14369" xr:uid="{00000000-0005-0000-0000-000091340000}"/>
    <cellStyle name="Normal 4 6 2 3 3 3" xfId="14370" xr:uid="{00000000-0005-0000-0000-000092340000}"/>
    <cellStyle name="Normal 4 6 2 3 3 4" xfId="14371" xr:uid="{00000000-0005-0000-0000-000093340000}"/>
    <cellStyle name="Normal 4 6 2 3 3 5" xfId="14372" xr:uid="{00000000-0005-0000-0000-000094340000}"/>
    <cellStyle name="Normal 4 6 2 3 3 6" xfId="14373" xr:uid="{00000000-0005-0000-0000-000095340000}"/>
    <cellStyle name="Normal 4 6 2 3 4" xfId="14374" xr:uid="{00000000-0005-0000-0000-000096340000}"/>
    <cellStyle name="Normal 4 6 2 3 4 2" xfId="14375" xr:uid="{00000000-0005-0000-0000-000097340000}"/>
    <cellStyle name="Normal 4 6 2 3 4 3" xfId="14376" xr:uid="{00000000-0005-0000-0000-000098340000}"/>
    <cellStyle name="Normal 4 6 2 3 5" xfId="14377" xr:uid="{00000000-0005-0000-0000-000099340000}"/>
    <cellStyle name="Normal 4 6 2 3 6" xfId="14378" xr:uid="{00000000-0005-0000-0000-00009A340000}"/>
    <cellStyle name="Normal 4 6 2 3 7" xfId="14379" xr:uid="{00000000-0005-0000-0000-00009B340000}"/>
    <cellStyle name="Normal 4 6 2 3 8" xfId="14380" xr:uid="{00000000-0005-0000-0000-00009C340000}"/>
    <cellStyle name="Normal 4 6 2 4" xfId="14381" xr:uid="{00000000-0005-0000-0000-00009D340000}"/>
    <cellStyle name="Normal 4 6 2 4 2" xfId="14382" xr:uid="{00000000-0005-0000-0000-00009E340000}"/>
    <cellStyle name="Normal 4 6 2 4 2 2" xfId="14383" xr:uid="{00000000-0005-0000-0000-00009F340000}"/>
    <cellStyle name="Normal 4 6 2 4 2 3" xfId="14384" xr:uid="{00000000-0005-0000-0000-0000A0340000}"/>
    <cellStyle name="Normal 4 6 2 4 2 4" xfId="14385" xr:uid="{00000000-0005-0000-0000-0000A1340000}"/>
    <cellStyle name="Normal 4 6 2 4 3" xfId="14386" xr:uid="{00000000-0005-0000-0000-0000A2340000}"/>
    <cellStyle name="Normal 4 6 2 4 4" xfId="14387" xr:uid="{00000000-0005-0000-0000-0000A3340000}"/>
    <cellStyle name="Normal 4 6 2 4 5" xfId="14388" xr:uid="{00000000-0005-0000-0000-0000A4340000}"/>
    <cellStyle name="Normal 4 6 2 4 6" xfId="14389" xr:uid="{00000000-0005-0000-0000-0000A5340000}"/>
    <cellStyle name="Normal 4 6 2 5" xfId="14390" xr:uid="{00000000-0005-0000-0000-0000A6340000}"/>
    <cellStyle name="Normal 4 6 2 5 2" xfId="14391" xr:uid="{00000000-0005-0000-0000-0000A7340000}"/>
    <cellStyle name="Normal 4 6 2 5 2 2" xfId="14392" xr:uid="{00000000-0005-0000-0000-0000A8340000}"/>
    <cellStyle name="Normal 4 6 2 5 2 3" xfId="14393" xr:uid="{00000000-0005-0000-0000-0000A9340000}"/>
    <cellStyle name="Normal 4 6 2 5 3" xfId="14394" xr:uid="{00000000-0005-0000-0000-0000AA340000}"/>
    <cellStyle name="Normal 4 6 2 5 4" xfId="14395" xr:uid="{00000000-0005-0000-0000-0000AB340000}"/>
    <cellStyle name="Normal 4 6 2 5 5" xfId="14396" xr:uid="{00000000-0005-0000-0000-0000AC340000}"/>
    <cellStyle name="Normal 4 6 2 5 6" xfId="14397" xr:uid="{00000000-0005-0000-0000-0000AD340000}"/>
    <cellStyle name="Normal 4 6 2 6" xfId="14398" xr:uid="{00000000-0005-0000-0000-0000AE340000}"/>
    <cellStyle name="Normal 4 6 2 6 2" xfId="14399" xr:uid="{00000000-0005-0000-0000-0000AF340000}"/>
    <cellStyle name="Normal 4 6 2 6 3" xfId="14400" xr:uid="{00000000-0005-0000-0000-0000B0340000}"/>
    <cellStyle name="Normal 4 6 2 7" xfId="14401" xr:uid="{00000000-0005-0000-0000-0000B1340000}"/>
    <cellStyle name="Normal 4 6 2 8" xfId="14402" xr:uid="{00000000-0005-0000-0000-0000B2340000}"/>
    <cellStyle name="Normal 4 6 2 9" xfId="14403" xr:uid="{00000000-0005-0000-0000-0000B3340000}"/>
    <cellStyle name="Normal 4 6 3" xfId="14404" xr:uid="{00000000-0005-0000-0000-0000B4340000}"/>
    <cellStyle name="Normal 4 6 3 2" xfId="14405" xr:uid="{00000000-0005-0000-0000-0000B5340000}"/>
    <cellStyle name="Normal 4 6 3 2 2" xfId="14406" xr:uid="{00000000-0005-0000-0000-0000B6340000}"/>
    <cellStyle name="Normal 4 6 3 2 2 2" xfId="14407" xr:uid="{00000000-0005-0000-0000-0000B7340000}"/>
    <cellStyle name="Normal 4 6 3 2 2 2 2" xfId="14408" xr:uid="{00000000-0005-0000-0000-0000B8340000}"/>
    <cellStyle name="Normal 4 6 3 2 2 2 3" xfId="14409" xr:uid="{00000000-0005-0000-0000-0000B9340000}"/>
    <cellStyle name="Normal 4 6 3 2 2 3" xfId="14410" xr:uid="{00000000-0005-0000-0000-0000BA340000}"/>
    <cellStyle name="Normal 4 6 3 2 2 4" xfId="14411" xr:uid="{00000000-0005-0000-0000-0000BB340000}"/>
    <cellStyle name="Normal 4 6 3 2 2 5" xfId="14412" xr:uid="{00000000-0005-0000-0000-0000BC340000}"/>
    <cellStyle name="Normal 4 6 3 2 2 6" xfId="14413" xr:uid="{00000000-0005-0000-0000-0000BD340000}"/>
    <cellStyle name="Normal 4 6 3 2 3" xfId="14414" xr:uid="{00000000-0005-0000-0000-0000BE340000}"/>
    <cellStyle name="Normal 4 6 3 2 3 2" xfId="14415" xr:uid="{00000000-0005-0000-0000-0000BF340000}"/>
    <cellStyle name="Normal 4 6 3 2 3 2 2" xfId="14416" xr:uid="{00000000-0005-0000-0000-0000C0340000}"/>
    <cellStyle name="Normal 4 6 3 2 3 2 3" xfId="14417" xr:uid="{00000000-0005-0000-0000-0000C1340000}"/>
    <cellStyle name="Normal 4 6 3 2 3 3" xfId="14418" xr:uid="{00000000-0005-0000-0000-0000C2340000}"/>
    <cellStyle name="Normal 4 6 3 2 3 3 2" xfId="14419" xr:uid="{00000000-0005-0000-0000-0000C3340000}"/>
    <cellStyle name="Normal 4 6 3 2 3 4" xfId="14420" xr:uid="{00000000-0005-0000-0000-0000C4340000}"/>
    <cellStyle name="Normal 4 6 3 2 4" xfId="14421" xr:uid="{00000000-0005-0000-0000-0000C5340000}"/>
    <cellStyle name="Normal 4 6 3 2 4 2" xfId="14422" xr:uid="{00000000-0005-0000-0000-0000C6340000}"/>
    <cellStyle name="Normal 4 6 3 2 4 3" xfId="14423" xr:uid="{00000000-0005-0000-0000-0000C7340000}"/>
    <cellStyle name="Normal 4 6 3 2 5" xfId="14424" xr:uid="{00000000-0005-0000-0000-0000C8340000}"/>
    <cellStyle name="Normal 4 6 3 2 6" xfId="14425" xr:uid="{00000000-0005-0000-0000-0000C9340000}"/>
    <cellStyle name="Normal 4 6 3 2 7" xfId="14426" xr:uid="{00000000-0005-0000-0000-0000CA340000}"/>
    <cellStyle name="Normal 4 6 3 2 8" xfId="14427" xr:uid="{00000000-0005-0000-0000-0000CB340000}"/>
    <cellStyle name="Normal 4 6 3 3" xfId="14428" xr:uid="{00000000-0005-0000-0000-0000CC340000}"/>
    <cellStyle name="Normal 4 6 3 3 2" xfId="14429" xr:uid="{00000000-0005-0000-0000-0000CD340000}"/>
    <cellStyle name="Normal 4 6 3 3 2 2" xfId="14430" xr:uid="{00000000-0005-0000-0000-0000CE340000}"/>
    <cellStyle name="Normal 4 6 3 3 2 3" xfId="14431" xr:uid="{00000000-0005-0000-0000-0000CF340000}"/>
    <cellStyle name="Normal 4 6 3 3 3" xfId="14432" xr:uid="{00000000-0005-0000-0000-0000D0340000}"/>
    <cellStyle name="Normal 4 6 3 3 4" xfId="14433" xr:uid="{00000000-0005-0000-0000-0000D1340000}"/>
    <cellStyle name="Normal 4 6 3 3 5" xfId="14434" xr:uid="{00000000-0005-0000-0000-0000D2340000}"/>
    <cellStyle name="Normal 4 6 3 3 6" xfId="14435" xr:uid="{00000000-0005-0000-0000-0000D3340000}"/>
    <cellStyle name="Normal 4 6 3 4" xfId="14436" xr:uid="{00000000-0005-0000-0000-0000D4340000}"/>
    <cellStyle name="Normal 4 6 3 4 2" xfId="14437" xr:uid="{00000000-0005-0000-0000-0000D5340000}"/>
    <cellStyle name="Normal 4 6 3 4 2 2" xfId="14438" xr:uid="{00000000-0005-0000-0000-0000D6340000}"/>
    <cellStyle name="Normal 4 6 3 4 2 3" xfId="14439" xr:uid="{00000000-0005-0000-0000-0000D7340000}"/>
    <cellStyle name="Normal 4 6 3 4 3" xfId="14440" xr:uid="{00000000-0005-0000-0000-0000D8340000}"/>
    <cellStyle name="Normal 4 6 3 4 3 2" xfId="14441" xr:uid="{00000000-0005-0000-0000-0000D9340000}"/>
    <cellStyle name="Normal 4 6 3 4 4" xfId="14442" xr:uid="{00000000-0005-0000-0000-0000DA340000}"/>
    <cellStyle name="Normal 4 6 3 5" xfId="14443" xr:uid="{00000000-0005-0000-0000-0000DB340000}"/>
    <cellStyle name="Normal 4 6 3 5 2" xfId="14444" xr:uid="{00000000-0005-0000-0000-0000DC340000}"/>
    <cellStyle name="Normal 4 6 3 5 3" xfId="14445" xr:uid="{00000000-0005-0000-0000-0000DD340000}"/>
    <cellStyle name="Normal 4 6 3 6" xfId="14446" xr:uid="{00000000-0005-0000-0000-0000DE340000}"/>
    <cellStyle name="Normal 4 6 3 7" xfId="14447" xr:uid="{00000000-0005-0000-0000-0000DF340000}"/>
    <cellStyle name="Normal 4 6 3 8" xfId="14448" xr:uid="{00000000-0005-0000-0000-0000E0340000}"/>
    <cellStyle name="Normal 4 6 3 9" xfId="14449" xr:uid="{00000000-0005-0000-0000-0000E1340000}"/>
    <cellStyle name="Normal 4 6 4" xfId="14450" xr:uid="{00000000-0005-0000-0000-0000E2340000}"/>
    <cellStyle name="Normal 4 6 4 2" xfId="14451" xr:uid="{00000000-0005-0000-0000-0000E3340000}"/>
    <cellStyle name="Normal 4 6 4 2 2" xfId="14452" xr:uid="{00000000-0005-0000-0000-0000E4340000}"/>
    <cellStyle name="Normal 4 6 4 2 2 2" xfId="14453" xr:uid="{00000000-0005-0000-0000-0000E5340000}"/>
    <cellStyle name="Normal 4 6 4 2 2 3" xfId="14454" xr:uid="{00000000-0005-0000-0000-0000E6340000}"/>
    <cellStyle name="Normal 4 6 4 2 2 4" xfId="14455" xr:uid="{00000000-0005-0000-0000-0000E7340000}"/>
    <cellStyle name="Normal 4 6 4 2 3" xfId="14456" xr:uid="{00000000-0005-0000-0000-0000E8340000}"/>
    <cellStyle name="Normal 4 6 4 2 4" xfId="14457" xr:uid="{00000000-0005-0000-0000-0000E9340000}"/>
    <cellStyle name="Normal 4 6 4 2 5" xfId="14458" xr:uid="{00000000-0005-0000-0000-0000EA340000}"/>
    <cellStyle name="Normal 4 6 4 2 6" xfId="14459" xr:uid="{00000000-0005-0000-0000-0000EB340000}"/>
    <cellStyle name="Normal 4 6 4 3" xfId="14460" xr:uid="{00000000-0005-0000-0000-0000EC340000}"/>
    <cellStyle name="Normal 4 6 4 3 2" xfId="14461" xr:uid="{00000000-0005-0000-0000-0000ED340000}"/>
    <cellStyle name="Normal 4 6 4 3 2 2" xfId="14462" xr:uid="{00000000-0005-0000-0000-0000EE340000}"/>
    <cellStyle name="Normal 4 6 4 3 2 3" xfId="14463" xr:uid="{00000000-0005-0000-0000-0000EF340000}"/>
    <cellStyle name="Normal 4 6 4 3 3" xfId="14464" xr:uid="{00000000-0005-0000-0000-0000F0340000}"/>
    <cellStyle name="Normal 4 6 4 3 4" xfId="14465" xr:uid="{00000000-0005-0000-0000-0000F1340000}"/>
    <cellStyle name="Normal 4 6 4 3 5" xfId="14466" xr:uid="{00000000-0005-0000-0000-0000F2340000}"/>
    <cellStyle name="Normal 4 6 4 3 6" xfId="14467" xr:uid="{00000000-0005-0000-0000-0000F3340000}"/>
    <cellStyle name="Normal 4 6 4 4" xfId="14468" xr:uid="{00000000-0005-0000-0000-0000F4340000}"/>
    <cellStyle name="Normal 4 6 4 4 2" xfId="14469" xr:uid="{00000000-0005-0000-0000-0000F5340000}"/>
    <cellStyle name="Normal 4 6 4 4 3" xfId="14470" xr:uid="{00000000-0005-0000-0000-0000F6340000}"/>
    <cellStyle name="Normal 4 6 4 5" xfId="14471" xr:uid="{00000000-0005-0000-0000-0000F7340000}"/>
    <cellStyle name="Normal 4 6 4 6" xfId="14472" xr:uid="{00000000-0005-0000-0000-0000F8340000}"/>
    <cellStyle name="Normal 4 6 4 7" xfId="14473" xr:uid="{00000000-0005-0000-0000-0000F9340000}"/>
    <cellStyle name="Normal 4 6 4 8" xfId="14474" xr:uid="{00000000-0005-0000-0000-0000FA340000}"/>
    <cellStyle name="Normal 4 6 5" xfId="14475" xr:uid="{00000000-0005-0000-0000-0000FB340000}"/>
    <cellStyle name="Normal 4 6 5 2" xfId="14476" xr:uid="{00000000-0005-0000-0000-0000FC340000}"/>
    <cellStyle name="Normal 4 6 5 2 2" xfId="14477" xr:uid="{00000000-0005-0000-0000-0000FD340000}"/>
    <cellStyle name="Normal 4 6 5 2 3" xfId="14478" xr:uid="{00000000-0005-0000-0000-0000FE340000}"/>
    <cellStyle name="Normal 4 6 5 2 4" xfId="14479" xr:uid="{00000000-0005-0000-0000-0000FF340000}"/>
    <cellStyle name="Normal 4 6 5 3" xfId="14480" xr:uid="{00000000-0005-0000-0000-000000350000}"/>
    <cellStyle name="Normal 4 6 5 4" xfId="14481" xr:uid="{00000000-0005-0000-0000-000001350000}"/>
    <cellStyle name="Normal 4 6 5 5" xfId="14482" xr:uid="{00000000-0005-0000-0000-000002350000}"/>
    <cellStyle name="Normal 4 6 5 6" xfId="14483" xr:uid="{00000000-0005-0000-0000-000003350000}"/>
    <cellStyle name="Normal 4 6 6" xfId="14484" xr:uid="{00000000-0005-0000-0000-000004350000}"/>
    <cellStyle name="Normal 4 6 6 2" xfId="14485" xr:uid="{00000000-0005-0000-0000-000005350000}"/>
    <cellStyle name="Normal 4 6 6 2 2" xfId="14486" xr:uid="{00000000-0005-0000-0000-000006350000}"/>
    <cellStyle name="Normal 4 6 6 2 3" xfId="14487" xr:uid="{00000000-0005-0000-0000-000007350000}"/>
    <cellStyle name="Normal 4 6 6 3" xfId="14488" xr:uid="{00000000-0005-0000-0000-000008350000}"/>
    <cellStyle name="Normal 4 6 6 4" xfId="14489" xr:uid="{00000000-0005-0000-0000-000009350000}"/>
    <cellStyle name="Normal 4 6 6 5" xfId="14490" xr:uid="{00000000-0005-0000-0000-00000A350000}"/>
    <cellStyle name="Normal 4 6 6 6" xfId="14491" xr:uid="{00000000-0005-0000-0000-00000B350000}"/>
    <cellStyle name="Normal 4 6 7" xfId="14492" xr:uid="{00000000-0005-0000-0000-00000C350000}"/>
    <cellStyle name="Normal 4 6 7 2" xfId="14493" xr:uid="{00000000-0005-0000-0000-00000D350000}"/>
    <cellStyle name="Normal 4 6 7 3" xfId="14494" xr:uid="{00000000-0005-0000-0000-00000E350000}"/>
    <cellStyle name="Normal 4 6 8" xfId="14495" xr:uid="{00000000-0005-0000-0000-00000F350000}"/>
    <cellStyle name="Normal 4 6 9" xfId="14496" xr:uid="{00000000-0005-0000-0000-000010350000}"/>
    <cellStyle name="Normal 4 7" xfId="14497" xr:uid="{00000000-0005-0000-0000-000011350000}"/>
    <cellStyle name="Normal 4 7 10" xfId="14498" xr:uid="{00000000-0005-0000-0000-000012350000}"/>
    <cellStyle name="Normal 4 7 2" xfId="14499" xr:uid="{00000000-0005-0000-0000-000013350000}"/>
    <cellStyle name="Normal 4 7 2 2" xfId="14500" xr:uid="{00000000-0005-0000-0000-000014350000}"/>
    <cellStyle name="Normal 4 7 2 2 2" xfId="14501" xr:uid="{00000000-0005-0000-0000-000015350000}"/>
    <cellStyle name="Normal 4 7 2 2 2 2" xfId="14502" xr:uid="{00000000-0005-0000-0000-000016350000}"/>
    <cellStyle name="Normal 4 7 2 2 2 2 2" xfId="14503" xr:uid="{00000000-0005-0000-0000-000017350000}"/>
    <cellStyle name="Normal 4 7 2 2 2 2 3" xfId="14504" xr:uid="{00000000-0005-0000-0000-000018350000}"/>
    <cellStyle name="Normal 4 7 2 2 2 3" xfId="14505" xr:uid="{00000000-0005-0000-0000-000019350000}"/>
    <cellStyle name="Normal 4 7 2 2 2 4" xfId="14506" xr:uid="{00000000-0005-0000-0000-00001A350000}"/>
    <cellStyle name="Normal 4 7 2 2 2 5" xfId="14507" xr:uid="{00000000-0005-0000-0000-00001B350000}"/>
    <cellStyle name="Normal 4 7 2 2 2 6" xfId="14508" xr:uid="{00000000-0005-0000-0000-00001C350000}"/>
    <cellStyle name="Normal 4 7 2 2 3" xfId="14509" xr:uid="{00000000-0005-0000-0000-00001D350000}"/>
    <cellStyle name="Normal 4 7 2 2 3 2" xfId="14510" xr:uid="{00000000-0005-0000-0000-00001E350000}"/>
    <cellStyle name="Normal 4 7 2 2 3 2 2" xfId="14511" xr:uid="{00000000-0005-0000-0000-00001F350000}"/>
    <cellStyle name="Normal 4 7 2 2 3 2 3" xfId="14512" xr:uid="{00000000-0005-0000-0000-000020350000}"/>
    <cellStyle name="Normal 4 7 2 2 3 3" xfId="14513" xr:uid="{00000000-0005-0000-0000-000021350000}"/>
    <cellStyle name="Normal 4 7 2 2 3 3 2" xfId="14514" xr:uid="{00000000-0005-0000-0000-000022350000}"/>
    <cellStyle name="Normal 4 7 2 2 3 4" xfId="14515" xr:uid="{00000000-0005-0000-0000-000023350000}"/>
    <cellStyle name="Normal 4 7 2 2 4" xfId="14516" xr:uid="{00000000-0005-0000-0000-000024350000}"/>
    <cellStyle name="Normal 4 7 2 2 4 2" xfId="14517" xr:uid="{00000000-0005-0000-0000-000025350000}"/>
    <cellStyle name="Normal 4 7 2 2 4 3" xfId="14518" xr:uid="{00000000-0005-0000-0000-000026350000}"/>
    <cellStyle name="Normal 4 7 2 2 5" xfId="14519" xr:uid="{00000000-0005-0000-0000-000027350000}"/>
    <cellStyle name="Normal 4 7 2 2 6" xfId="14520" xr:uid="{00000000-0005-0000-0000-000028350000}"/>
    <cellStyle name="Normal 4 7 2 2 7" xfId="14521" xr:uid="{00000000-0005-0000-0000-000029350000}"/>
    <cellStyle name="Normal 4 7 2 2 8" xfId="14522" xr:uid="{00000000-0005-0000-0000-00002A350000}"/>
    <cellStyle name="Normal 4 7 2 3" xfId="14523" xr:uid="{00000000-0005-0000-0000-00002B350000}"/>
    <cellStyle name="Normal 4 7 2 3 2" xfId="14524" xr:uid="{00000000-0005-0000-0000-00002C350000}"/>
    <cellStyle name="Normal 4 7 2 3 2 2" xfId="14525" xr:uid="{00000000-0005-0000-0000-00002D350000}"/>
    <cellStyle name="Normal 4 7 2 3 2 3" xfId="14526" xr:uid="{00000000-0005-0000-0000-00002E350000}"/>
    <cellStyle name="Normal 4 7 2 3 3" xfId="14527" xr:uid="{00000000-0005-0000-0000-00002F350000}"/>
    <cellStyle name="Normal 4 7 2 3 4" xfId="14528" xr:uid="{00000000-0005-0000-0000-000030350000}"/>
    <cellStyle name="Normal 4 7 2 3 5" xfId="14529" xr:uid="{00000000-0005-0000-0000-000031350000}"/>
    <cellStyle name="Normal 4 7 2 3 6" xfId="14530" xr:uid="{00000000-0005-0000-0000-000032350000}"/>
    <cellStyle name="Normal 4 7 2 4" xfId="14531" xr:uid="{00000000-0005-0000-0000-000033350000}"/>
    <cellStyle name="Normal 4 7 2 4 2" xfId="14532" xr:uid="{00000000-0005-0000-0000-000034350000}"/>
    <cellStyle name="Normal 4 7 2 4 2 2" xfId="14533" xr:uid="{00000000-0005-0000-0000-000035350000}"/>
    <cellStyle name="Normal 4 7 2 4 2 3" xfId="14534" xr:uid="{00000000-0005-0000-0000-000036350000}"/>
    <cellStyle name="Normal 4 7 2 4 3" xfId="14535" xr:uid="{00000000-0005-0000-0000-000037350000}"/>
    <cellStyle name="Normal 4 7 2 4 3 2" xfId="14536" xr:uid="{00000000-0005-0000-0000-000038350000}"/>
    <cellStyle name="Normal 4 7 2 4 4" xfId="14537" xr:uid="{00000000-0005-0000-0000-000039350000}"/>
    <cellStyle name="Normal 4 7 2 5" xfId="14538" xr:uid="{00000000-0005-0000-0000-00003A350000}"/>
    <cellStyle name="Normal 4 7 2 5 2" xfId="14539" xr:uid="{00000000-0005-0000-0000-00003B350000}"/>
    <cellStyle name="Normal 4 7 2 5 3" xfId="14540" xr:uid="{00000000-0005-0000-0000-00003C350000}"/>
    <cellStyle name="Normal 4 7 2 6" xfId="14541" xr:uid="{00000000-0005-0000-0000-00003D350000}"/>
    <cellStyle name="Normal 4 7 2 7" xfId="14542" xr:uid="{00000000-0005-0000-0000-00003E350000}"/>
    <cellStyle name="Normal 4 7 2 8" xfId="14543" xr:uid="{00000000-0005-0000-0000-00003F350000}"/>
    <cellStyle name="Normal 4 7 2 9" xfId="14544" xr:uid="{00000000-0005-0000-0000-000040350000}"/>
    <cellStyle name="Normal 4 7 3" xfId="14545" xr:uid="{00000000-0005-0000-0000-000041350000}"/>
    <cellStyle name="Normal 4 7 3 2" xfId="14546" xr:uid="{00000000-0005-0000-0000-000042350000}"/>
    <cellStyle name="Normal 4 7 3 2 2" xfId="14547" xr:uid="{00000000-0005-0000-0000-000043350000}"/>
    <cellStyle name="Normal 4 7 3 2 2 2" xfId="14548" xr:uid="{00000000-0005-0000-0000-000044350000}"/>
    <cellStyle name="Normal 4 7 3 2 2 3" xfId="14549" xr:uid="{00000000-0005-0000-0000-000045350000}"/>
    <cellStyle name="Normal 4 7 3 2 2 4" xfId="14550" xr:uid="{00000000-0005-0000-0000-000046350000}"/>
    <cellStyle name="Normal 4 7 3 2 3" xfId="14551" xr:uid="{00000000-0005-0000-0000-000047350000}"/>
    <cellStyle name="Normal 4 7 3 2 4" xfId="14552" xr:uid="{00000000-0005-0000-0000-000048350000}"/>
    <cellStyle name="Normal 4 7 3 2 5" xfId="14553" xr:uid="{00000000-0005-0000-0000-000049350000}"/>
    <cellStyle name="Normal 4 7 3 2 6" xfId="14554" xr:uid="{00000000-0005-0000-0000-00004A350000}"/>
    <cellStyle name="Normal 4 7 3 3" xfId="14555" xr:uid="{00000000-0005-0000-0000-00004B350000}"/>
    <cellStyle name="Normal 4 7 3 3 2" xfId="14556" xr:uid="{00000000-0005-0000-0000-00004C350000}"/>
    <cellStyle name="Normal 4 7 3 3 2 2" xfId="14557" xr:uid="{00000000-0005-0000-0000-00004D350000}"/>
    <cellStyle name="Normal 4 7 3 3 2 3" xfId="14558" xr:uid="{00000000-0005-0000-0000-00004E350000}"/>
    <cellStyle name="Normal 4 7 3 3 3" xfId="14559" xr:uid="{00000000-0005-0000-0000-00004F350000}"/>
    <cellStyle name="Normal 4 7 3 3 4" xfId="14560" xr:uid="{00000000-0005-0000-0000-000050350000}"/>
    <cellStyle name="Normal 4 7 3 3 5" xfId="14561" xr:uid="{00000000-0005-0000-0000-000051350000}"/>
    <cellStyle name="Normal 4 7 3 3 6" xfId="14562" xr:uid="{00000000-0005-0000-0000-000052350000}"/>
    <cellStyle name="Normal 4 7 3 4" xfId="14563" xr:uid="{00000000-0005-0000-0000-000053350000}"/>
    <cellStyle name="Normal 4 7 3 4 2" xfId="14564" xr:uid="{00000000-0005-0000-0000-000054350000}"/>
    <cellStyle name="Normal 4 7 3 4 3" xfId="14565" xr:uid="{00000000-0005-0000-0000-000055350000}"/>
    <cellStyle name="Normal 4 7 3 5" xfId="14566" xr:uid="{00000000-0005-0000-0000-000056350000}"/>
    <cellStyle name="Normal 4 7 3 6" xfId="14567" xr:uid="{00000000-0005-0000-0000-000057350000}"/>
    <cellStyle name="Normal 4 7 3 7" xfId="14568" xr:uid="{00000000-0005-0000-0000-000058350000}"/>
    <cellStyle name="Normal 4 7 3 8" xfId="14569" xr:uid="{00000000-0005-0000-0000-000059350000}"/>
    <cellStyle name="Normal 4 7 4" xfId="14570" xr:uid="{00000000-0005-0000-0000-00005A350000}"/>
    <cellStyle name="Normal 4 7 4 2" xfId="14571" xr:uid="{00000000-0005-0000-0000-00005B350000}"/>
    <cellStyle name="Normal 4 7 4 2 2" xfId="14572" xr:uid="{00000000-0005-0000-0000-00005C350000}"/>
    <cellStyle name="Normal 4 7 4 2 3" xfId="14573" xr:uid="{00000000-0005-0000-0000-00005D350000}"/>
    <cellStyle name="Normal 4 7 4 2 4" xfId="14574" xr:uid="{00000000-0005-0000-0000-00005E350000}"/>
    <cellStyle name="Normal 4 7 4 3" xfId="14575" xr:uid="{00000000-0005-0000-0000-00005F350000}"/>
    <cellStyle name="Normal 4 7 4 4" xfId="14576" xr:uid="{00000000-0005-0000-0000-000060350000}"/>
    <cellStyle name="Normal 4 7 4 5" xfId="14577" xr:uid="{00000000-0005-0000-0000-000061350000}"/>
    <cellStyle name="Normal 4 7 4 6" xfId="14578" xr:uid="{00000000-0005-0000-0000-000062350000}"/>
    <cellStyle name="Normal 4 7 5" xfId="14579" xr:uid="{00000000-0005-0000-0000-000063350000}"/>
    <cellStyle name="Normal 4 7 5 2" xfId="14580" xr:uid="{00000000-0005-0000-0000-000064350000}"/>
    <cellStyle name="Normal 4 7 5 2 2" xfId="14581" xr:uid="{00000000-0005-0000-0000-000065350000}"/>
    <cellStyle name="Normal 4 7 5 2 3" xfId="14582" xr:uid="{00000000-0005-0000-0000-000066350000}"/>
    <cellStyle name="Normal 4 7 5 3" xfId="14583" xr:uid="{00000000-0005-0000-0000-000067350000}"/>
    <cellStyle name="Normal 4 7 5 4" xfId="14584" xr:uid="{00000000-0005-0000-0000-000068350000}"/>
    <cellStyle name="Normal 4 7 5 5" xfId="14585" xr:uid="{00000000-0005-0000-0000-000069350000}"/>
    <cellStyle name="Normal 4 7 5 6" xfId="14586" xr:uid="{00000000-0005-0000-0000-00006A350000}"/>
    <cellStyle name="Normal 4 7 6" xfId="14587" xr:uid="{00000000-0005-0000-0000-00006B350000}"/>
    <cellStyle name="Normal 4 7 6 2" xfId="14588" xr:uid="{00000000-0005-0000-0000-00006C350000}"/>
    <cellStyle name="Normal 4 7 6 3" xfId="14589" xr:uid="{00000000-0005-0000-0000-00006D350000}"/>
    <cellStyle name="Normal 4 7 7" xfId="14590" xr:uid="{00000000-0005-0000-0000-00006E350000}"/>
    <cellStyle name="Normal 4 7 7 2" xfId="14591" xr:uid="{00000000-0005-0000-0000-00006F350000}"/>
    <cellStyle name="Normal 4 7 8" xfId="14592" xr:uid="{00000000-0005-0000-0000-000070350000}"/>
    <cellStyle name="Normal 4 7 9" xfId="14593" xr:uid="{00000000-0005-0000-0000-000071350000}"/>
    <cellStyle name="Normal 4 8" xfId="14594" xr:uid="{00000000-0005-0000-0000-000072350000}"/>
    <cellStyle name="Normal 4 8 2" xfId="14595" xr:uid="{00000000-0005-0000-0000-000073350000}"/>
    <cellStyle name="Normal 4 8 2 2" xfId="14596" xr:uid="{00000000-0005-0000-0000-000074350000}"/>
    <cellStyle name="Normal 4 8 2 2 2" xfId="14597" xr:uid="{00000000-0005-0000-0000-000075350000}"/>
    <cellStyle name="Normal 4 8 2 2 2 2" xfId="14598" xr:uid="{00000000-0005-0000-0000-000076350000}"/>
    <cellStyle name="Normal 4 8 2 2 2 3" xfId="14599" xr:uid="{00000000-0005-0000-0000-000077350000}"/>
    <cellStyle name="Normal 4 8 2 2 3" xfId="14600" xr:uid="{00000000-0005-0000-0000-000078350000}"/>
    <cellStyle name="Normal 4 8 2 2 4" xfId="14601" xr:uid="{00000000-0005-0000-0000-000079350000}"/>
    <cellStyle name="Normal 4 8 2 2 5" xfId="14602" xr:uid="{00000000-0005-0000-0000-00007A350000}"/>
    <cellStyle name="Normal 4 8 2 2 6" xfId="14603" xr:uid="{00000000-0005-0000-0000-00007B350000}"/>
    <cellStyle name="Normal 4 8 2 3" xfId="14604" xr:uid="{00000000-0005-0000-0000-00007C350000}"/>
    <cellStyle name="Normal 4 8 2 3 2" xfId="14605" xr:uid="{00000000-0005-0000-0000-00007D350000}"/>
    <cellStyle name="Normal 4 8 2 3 2 2" xfId="14606" xr:uid="{00000000-0005-0000-0000-00007E350000}"/>
    <cellStyle name="Normal 4 8 2 3 2 3" xfId="14607" xr:uid="{00000000-0005-0000-0000-00007F350000}"/>
    <cellStyle name="Normal 4 8 2 3 3" xfId="14608" xr:uid="{00000000-0005-0000-0000-000080350000}"/>
    <cellStyle name="Normal 4 8 2 3 3 2" xfId="14609" xr:uid="{00000000-0005-0000-0000-000081350000}"/>
    <cellStyle name="Normal 4 8 2 3 4" xfId="14610" xr:uid="{00000000-0005-0000-0000-000082350000}"/>
    <cellStyle name="Normal 4 8 2 4" xfId="14611" xr:uid="{00000000-0005-0000-0000-000083350000}"/>
    <cellStyle name="Normal 4 8 2 4 2" xfId="14612" xr:uid="{00000000-0005-0000-0000-000084350000}"/>
    <cellStyle name="Normal 4 8 2 4 3" xfId="14613" xr:uid="{00000000-0005-0000-0000-000085350000}"/>
    <cellStyle name="Normal 4 8 2 5" xfId="14614" xr:uid="{00000000-0005-0000-0000-000086350000}"/>
    <cellStyle name="Normal 4 8 2 5 2" xfId="14615" xr:uid="{00000000-0005-0000-0000-000087350000}"/>
    <cellStyle name="Normal 4 8 2 6" xfId="14616" xr:uid="{00000000-0005-0000-0000-000088350000}"/>
    <cellStyle name="Normal 4 8 2 7" xfId="14617" xr:uid="{00000000-0005-0000-0000-000089350000}"/>
    <cellStyle name="Normal 4 8 2 8" xfId="14618" xr:uid="{00000000-0005-0000-0000-00008A350000}"/>
    <cellStyle name="Normal 4 8 3" xfId="14619" xr:uid="{00000000-0005-0000-0000-00008B350000}"/>
    <cellStyle name="Normal 4 8 3 2" xfId="14620" xr:uid="{00000000-0005-0000-0000-00008C350000}"/>
    <cellStyle name="Normal 4 8 3 2 2" xfId="14621" xr:uid="{00000000-0005-0000-0000-00008D350000}"/>
    <cellStyle name="Normal 4 8 3 2 3" xfId="14622" xr:uid="{00000000-0005-0000-0000-00008E350000}"/>
    <cellStyle name="Normal 4 8 3 2 4" xfId="14623" xr:uid="{00000000-0005-0000-0000-00008F350000}"/>
    <cellStyle name="Normal 4 8 3 3" xfId="14624" xr:uid="{00000000-0005-0000-0000-000090350000}"/>
    <cellStyle name="Normal 4 8 3 4" xfId="14625" xr:uid="{00000000-0005-0000-0000-000091350000}"/>
    <cellStyle name="Normal 4 8 3 5" xfId="14626" xr:uid="{00000000-0005-0000-0000-000092350000}"/>
    <cellStyle name="Normal 4 8 3 6" xfId="14627" xr:uid="{00000000-0005-0000-0000-000093350000}"/>
    <cellStyle name="Normal 4 8 4" xfId="14628" xr:uid="{00000000-0005-0000-0000-000094350000}"/>
    <cellStyle name="Normal 4 8 4 2" xfId="14629" xr:uid="{00000000-0005-0000-0000-000095350000}"/>
    <cellStyle name="Normal 4 8 4 2 2" xfId="14630" xr:uid="{00000000-0005-0000-0000-000096350000}"/>
    <cellStyle name="Normal 4 8 4 2 3" xfId="14631" xr:uid="{00000000-0005-0000-0000-000097350000}"/>
    <cellStyle name="Normal 4 8 4 3" xfId="14632" xr:uid="{00000000-0005-0000-0000-000098350000}"/>
    <cellStyle name="Normal 4 8 4 3 2" xfId="14633" xr:uid="{00000000-0005-0000-0000-000099350000}"/>
    <cellStyle name="Normal 4 8 4 4" xfId="14634" xr:uid="{00000000-0005-0000-0000-00009A350000}"/>
    <cellStyle name="Normal 4 8 5" xfId="14635" xr:uid="{00000000-0005-0000-0000-00009B350000}"/>
    <cellStyle name="Normal 4 8 5 2" xfId="14636" xr:uid="{00000000-0005-0000-0000-00009C350000}"/>
    <cellStyle name="Normal 4 8 5 3" xfId="14637" xr:uid="{00000000-0005-0000-0000-00009D350000}"/>
    <cellStyle name="Normal 4 8 6" xfId="14638" xr:uid="{00000000-0005-0000-0000-00009E350000}"/>
    <cellStyle name="Normal 4 8 6 2" xfId="14639" xr:uid="{00000000-0005-0000-0000-00009F350000}"/>
    <cellStyle name="Normal 4 8 7" xfId="14640" xr:uid="{00000000-0005-0000-0000-0000A0350000}"/>
    <cellStyle name="Normal 4 8 8" xfId="14641" xr:uid="{00000000-0005-0000-0000-0000A1350000}"/>
    <cellStyle name="Normal 4 8 9" xfId="14642" xr:uid="{00000000-0005-0000-0000-0000A2350000}"/>
    <cellStyle name="Normal 4 9" xfId="14643" xr:uid="{00000000-0005-0000-0000-0000A3350000}"/>
    <cellStyle name="Normal 4 9 2" xfId="14644" xr:uid="{00000000-0005-0000-0000-0000A4350000}"/>
    <cellStyle name="Normal 4 9 2 2" xfId="14645" xr:uid="{00000000-0005-0000-0000-0000A5350000}"/>
    <cellStyle name="Normal 4 9 2 2 2" xfId="14646" xr:uid="{00000000-0005-0000-0000-0000A6350000}"/>
    <cellStyle name="Normal 4 9 2 2 3" xfId="14647" xr:uid="{00000000-0005-0000-0000-0000A7350000}"/>
    <cellStyle name="Normal 4 9 2 2 4" xfId="14648" xr:uid="{00000000-0005-0000-0000-0000A8350000}"/>
    <cellStyle name="Normal 4 9 2 3" xfId="14649" xr:uid="{00000000-0005-0000-0000-0000A9350000}"/>
    <cellStyle name="Normal 4 9 2 4" xfId="14650" xr:uid="{00000000-0005-0000-0000-0000AA350000}"/>
    <cellStyle name="Normal 4 9 2 5" xfId="14651" xr:uid="{00000000-0005-0000-0000-0000AB350000}"/>
    <cellStyle name="Normal 4 9 2 6" xfId="14652" xr:uid="{00000000-0005-0000-0000-0000AC350000}"/>
    <cellStyle name="Normal 4 9 3" xfId="14653" xr:uid="{00000000-0005-0000-0000-0000AD350000}"/>
    <cellStyle name="Normal 4 9 3 2" xfId="14654" xr:uid="{00000000-0005-0000-0000-0000AE350000}"/>
    <cellStyle name="Normal 4 9 3 2 2" xfId="14655" xr:uid="{00000000-0005-0000-0000-0000AF350000}"/>
    <cellStyle name="Normal 4 9 3 2 3" xfId="14656" xr:uid="{00000000-0005-0000-0000-0000B0350000}"/>
    <cellStyle name="Normal 4 9 3 3" xfId="14657" xr:uid="{00000000-0005-0000-0000-0000B1350000}"/>
    <cellStyle name="Normal 4 9 3 4" xfId="14658" xr:uid="{00000000-0005-0000-0000-0000B2350000}"/>
    <cellStyle name="Normal 4 9 3 5" xfId="14659" xr:uid="{00000000-0005-0000-0000-0000B3350000}"/>
    <cellStyle name="Normal 4 9 3 6" xfId="14660" xr:uid="{00000000-0005-0000-0000-0000B4350000}"/>
    <cellStyle name="Normal 4 9 4" xfId="14661" xr:uid="{00000000-0005-0000-0000-0000B5350000}"/>
    <cellStyle name="Normal 4 9 4 2" xfId="14662" xr:uid="{00000000-0005-0000-0000-0000B6350000}"/>
    <cellStyle name="Normal 4 9 4 3" xfId="14663" xr:uid="{00000000-0005-0000-0000-0000B7350000}"/>
    <cellStyle name="Normal 4 9 5" xfId="14664" xr:uid="{00000000-0005-0000-0000-0000B8350000}"/>
    <cellStyle name="Normal 4 9 5 2" xfId="14665" xr:uid="{00000000-0005-0000-0000-0000B9350000}"/>
    <cellStyle name="Normal 4 9 6" xfId="14666" xr:uid="{00000000-0005-0000-0000-0000BA350000}"/>
    <cellStyle name="Normal 4 9 7" xfId="14667" xr:uid="{00000000-0005-0000-0000-0000BB350000}"/>
    <cellStyle name="Normal 4 9 8" xfId="14668" xr:uid="{00000000-0005-0000-0000-0000BC350000}"/>
    <cellStyle name="Normal 4_2011 Planning Templates_Incentive 3-14-2011 (2)" xfId="2467" xr:uid="{00000000-0005-0000-0000-000061090000}"/>
    <cellStyle name="Normal 40" xfId="2969" xr:uid="{00000000-0005-0000-0000-000062090000}"/>
    <cellStyle name="Normal 40 2" xfId="14669" xr:uid="{00000000-0005-0000-0000-0000BF350000}"/>
    <cellStyle name="Normal 40 3" xfId="14670" xr:uid="{00000000-0005-0000-0000-0000C0350000}"/>
    <cellStyle name="Normal 40 4" xfId="14671" xr:uid="{00000000-0005-0000-0000-0000C1350000}"/>
    <cellStyle name="Normal 40 5" xfId="14672" xr:uid="{00000000-0005-0000-0000-0000C2350000}"/>
    <cellStyle name="Normal 40 6" xfId="5349" xr:uid="{00000000-0005-0000-0000-0000BE350000}"/>
    <cellStyle name="Normal 41" xfId="2968" xr:uid="{00000000-0005-0000-0000-000063090000}"/>
    <cellStyle name="Normal 41 2" xfId="14673" xr:uid="{00000000-0005-0000-0000-0000C4350000}"/>
    <cellStyle name="Normal 41 2 2" xfId="14674" xr:uid="{00000000-0005-0000-0000-0000C5350000}"/>
    <cellStyle name="Normal 41 2 2 2" xfId="14675" xr:uid="{00000000-0005-0000-0000-0000C6350000}"/>
    <cellStyle name="Normal 41 2 3" xfId="14676" xr:uid="{00000000-0005-0000-0000-0000C7350000}"/>
    <cellStyle name="Normal 41 3" xfId="34" xr:uid="{00000000-0005-0000-0000-000026000000}"/>
    <cellStyle name="Normal 41 3 2" xfId="136" xr:uid="{00000000-0005-0000-0000-000026000000}"/>
    <cellStyle name="Normal 41 3 3" xfId="14677" xr:uid="{00000000-0005-0000-0000-0000C8350000}"/>
    <cellStyle name="Normal 41 4" xfId="14678" xr:uid="{00000000-0005-0000-0000-0000C9350000}"/>
    <cellStyle name="Normal 41 5" xfId="14679" xr:uid="{00000000-0005-0000-0000-0000CA350000}"/>
    <cellStyle name="Normal 41 6" xfId="14680" xr:uid="{00000000-0005-0000-0000-0000CB350000}"/>
    <cellStyle name="Normal 41 7" xfId="5348" xr:uid="{00000000-0005-0000-0000-0000C3350000}"/>
    <cellStyle name="Normal 42" xfId="2965" xr:uid="{00000000-0005-0000-0000-000064090000}"/>
    <cellStyle name="Normal 42 2" xfId="14681" xr:uid="{00000000-0005-0000-0000-0000CD350000}"/>
    <cellStyle name="Normal 42 2 2" xfId="14682" xr:uid="{00000000-0005-0000-0000-0000CE350000}"/>
    <cellStyle name="Normal 42 2 2 2" xfId="14683" xr:uid="{00000000-0005-0000-0000-0000CF350000}"/>
    <cellStyle name="Normal 42 2 3" xfId="14684" xr:uid="{00000000-0005-0000-0000-0000D0350000}"/>
    <cellStyle name="Normal 42 3" xfId="35" xr:uid="{00000000-0005-0000-0000-000027000000}"/>
    <cellStyle name="Normal 42 3 2" xfId="137" xr:uid="{00000000-0005-0000-0000-000027000000}"/>
    <cellStyle name="Normal 42 3 3" xfId="14685" xr:uid="{00000000-0005-0000-0000-0000D1350000}"/>
    <cellStyle name="Normal 42 4" xfId="14686" xr:uid="{00000000-0005-0000-0000-0000D2350000}"/>
    <cellStyle name="Normal 42 5" xfId="14687" xr:uid="{00000000-0005-0000-0000-0000D3350000}"/>
    <cellStyle name="Normal 42 6" xfId="14688" xr:uid="{00000000-0005-0000-0000-0000D4350000}"/>
    <cellStyle name="Normal 42 7" xfId="5347" xr:uid="{00000000-0005-0000-0000-0000CC350000}"/>
    <cellStyle name="Normal 43" xfId="2962" xr:uid="{00000000-0005-0000-0000-000065090000}"/>
    <cellStyle name="Normal 43 2" xfId="14689" xr:uid="{00000000-0005-0000-0000-0000D6350000}"/>
    <cellStyle name="Normal 43 3" xfId="36" xr:uid="{00000000-0005-0000-0000-000028000000}"/>
    <cellStyle name="Normal 43 3 2" xfId="138" xr:uid="{00000000-0005-0000-0000-000028000000}"/>
    <cellStyle name="Normal 43 3 3" xfId="14690" xr:uid="{00000000-0005-0000-0000-0000D7350000}"/>
    <cellStyle name="Normal 43 4" xfId="14691" xr:uid="{00000000-0005-0000-0000-0000D8350000}"/>
    <cellStyle name="Normal 43 5" xfId="5346" xr:uid="{00000000-0005-0000-0000-0000D5350000}"/>
    <cellStyle name="Normal 44" xfId="2959" xr:uid="{00000000-0005-0000-0000-000066090000}"/>
    <cellStyle name="Normal 44 2" xfId="14692" xr:uid="{00000000-0005-0000-0000-0000DA350000}"/>
    <cellStyle name="Normal 44 3" xfId="37" xr:uid="{00000000-0005-0000-0000-000029000000}"/>
    <cellStyle name="Normal 44 3 2" xfId="139" xr:uid="{00000000-0005-0000-0000-000029000000}"/>
    <cellStyle name="Normal 44 3 3" xfId="14693" xr:uid="{00000000-0005-0000-0000-0000DB350000}"/>
    <cellStyle name="Normal 44 4" xfId="14694" xr:uid="{00000000-0005-0000-0000-0000DC350000}"/>
    <cellStyle name="Normal 44 5" xfId="5345" xr:uid="{00000000-0005-0000-0000-0000D9350000}"/>
    <cellStyle name="Normal 45" xfId="2956" xr:uid="{00000000-0005-0000-0000-000067090000}"/>
    <cellStyle name="Normal 45 2" xfId="14695" xr:uid="{00000000-0005-0000-0000-0000DE350000}"/>
    <cellStyle name="Normal 45 3" xfId="14696" xr:uid="{00000000-0005-0000-0000-0000DF350000}"/>
    <cellStyle name="Normal 45 4" xfId="14697" xr:uid="{00000000-0005-0000-0000-0000E0350000}"/>
    <cellStyle name="Normal 45 5" xfId="5344" xr:uid="{00000000-0005-0000-0000-0000DD350000}"/>
    <cellStyle name="Normal 46" xfId="2953" xr:uid="{00000000-0005-0000-0000-000068090000}"/>
    <cellStyle name="Normal 46 2" xfId="14698" xr:uid="{00000000-0005-0000-0000-0000E2350000}"/>
    <cellStyle name="Normal 46 2 2" xfId="14699" xr:uid="{00000000-0005-0000-0000-0000E3350000}"/>
    <cellStyle name="Normal 46 2 2 2" xfId="14700" xr:uid="{00000000-0005-0000-0000-0000E4350000}"/>
    <cellStyle name="Normal 46 2 3" xfId="14701" xr:uid="{00000000-0005-0000-0000-0000E5350000}"/>
    <cellStyle name="Normal 46 3" xfId="38" xr:uid="{00000000-0005-0000-0000-00002A000000}"/>
    <cellStyle name="Normal 46 3 2" xfId="140" xr:uid="{00000000-0005-0000-0000-00002A000000}"/>
    <cellStyle name="Normal 46 3 3" xfId="14702" xr:uid="{00000000-0005-0000-0000-0000E6350000}"/>
    <cellStyle name="Normal 46 4" xfId="14703" xr:uid="{00000000-0005-0000-0000-0000E7350000}"/>
    <cellStyle name="Normal 46 5" xfId="14704" xr:uid="{00000000-0005-0000-0000-0000E8350000}"/>
    <cellStyle name="Normal 46 6" xfId="14705" xr:uid="{00000000-0005-0000-0000-0000E9350000}"/>
    <cellStyle name="Normal 46 7" xfId="5343" xr:uid="{00000000-0005-0000-0000-0000E1350000}"/>
    <cellStyle name="Normal 47" xfId="2468" xr:uid="{00000000-0005-0000-0000-000069090000}"/>
    <cellStyle name="Normal 47 2" xfId="14706" xr:uid="{00000000-0005-0000-0000-0000EB350000}"/>
    <cellStyle name="Normal 47 2 2" xfId="14707" xr:uid="{00000000-0005-0000-0000-0000EC350000}"/>
    <cellStyle name="Normal 47 2 2 2" xfId="14708" xr:uid="{00000000-0005-0000-0000-0000ED350000}"/>
    <cellStyle name="Normal 47 2 2 2 2" xfId="14709" xr:uid="{00000000-0005-0000-0000-0000EE350000}"/>
    <cellStyle name="Normal 47 2 2 2 3" xfId="14710" xr:uid="{00000000-0005-0000-0000-0000EF350000}"/>
    <cellStyle name="Normal 47 2 2 3" xfId="14711" xr:uid="{00000000-0005-0000-0000-0000F0350000}"/>
    <cellStyle name="Normal 47 2 2 3 2" xfId="14712" xr:uid="{00000000-0005-0000-0000-0000F1350000}"/>
    <cellStyle name="Normal 47 2 2 4" xfId="14713" xr:uid="{00000000-0005-0000-0000-0000F2350000}"/>
    <cellStyle name="Normal 47 2 3" xfId="14714" xr:uid="{00000000-0005-0000-0000-0000F3350000}"/>
    <cellStyle name="Normal 47 2 3 2" xfId="14715" xr:uid="{00000000-0005-0000-0000-0000F4350000}"/>
    <cellStyle name="Normal 47 2 3 2 2" xfId="14716" xr:uid="{00000000-0005-0000-0000-0000F5350000}"/>
    <cellStyle name="Normal 47 2 3 2 3" xfId="14717" xr:uid="{00000000-0005-0000-0000-0000F6350000}"/>
    <cellStyle name="Normal 47 2 3 3" xfId="14718" xr:uid="{00000000-0005-0000-0000-0000F7350000}"/>
    <cellStyle name="Normal 47 2 3 3 2" xfId="14719" xr:uid="{00000000-0005-0000-0000-0000F8350000}"/>
    <cellStyle name="Normal 47 2 3 4" xfId="14720" xr:uid="{00000000-0005-0000-0000-0000F9350000}"/>
    <cellStyle name="Normal 47 2 4" xfId="14721" xr:uid="{00000000-0005-0000-0000-0000FA350000}"/>
    <cellStyle name="Normal 47 2 4 2" xfId="14722" xr:uid="{00000000-0005-0000-0000-0000FB350000}"/>
    <cellStyle name="Normal 47 2 4 3" xfId="14723" xr:uid="{00000000-0005-0000-0000-0000FC350000}"/>
    <cellStyle name="Normal 47 2 5" xfId="14724" xr:uid="{00000000-0005-0000-0000-0000FD350000}"/>
    <cellStyle name="Normal 47 2 6" xfId="14725" xr:uid="{00000000-0005-0000-0000-0000FE350000}"/>
    <cellStyle name="Normal 47 2 7" xfId="14726" xr:uid="{00000000-0005-0000-0000-0000FF350000}"/>
    <cellStyle name="Normal 47 2 8" xfId="14727" xr:uid="{00000000-0005-0000-0000-000000360000}"/>
    <cellStyle name="Normal 47 3" xfId="14728" xr:uid="{00000000-0005-0000-0000-000001360000}"/>
    <cellStyle name="Normal 47 3 2" xfId="14729" xr:uid="{00000000-0005-0000-0000-000002360000}"/>
    <cellStyle name="Normal 47 4" xfId="14730" xr:uid="{00000000-0005-0000-0000-000003360000}"/>
    <cellStyle name="Normal 47 5" xfId="14731" xr:uid="{00000000-0005-0000-0000-000004360000}"/>
    <cellStyle name="Normal 47 6" xfId="14732" xr:uid="{00000000-0005-0000-0000-000005360000}"/>
    <cellStyle name="Normal 47 7" xfId="14733" xr:uid="{00000000-0005-0000-0000-000006360000}"/>
    <cellStyle name="Normal 47 8" xfId="5342" xr:uid="{00000000-0005-0000-0000-0000EA350000}"/>
    <cellStyle name="Normal 48" xfId="2950" xr:uid="{00000000-0005-0000-0000-00006A090000}"/>
    <cellStyle name="Normal 48 2" xfId="14734" xr:uid="{00000000-0005-0000-0000-000008360000}"/>
    <cellStyle name="Normal 48 2 2" xfId="14735" xr:uid="{00000000-0005-0000-0000-000009360000}"/>
    <cellStyle name="Normal 48 2 3" xfId="14736" xr:uid="{00000000-0005-0000-0000-00000A360000}"/>
    <cellStyle name="Normal 48 2 4" xfId="14737" xr:uid="{00000000-0005-0000-0000-00000B360000}"/>
    <cellStyle name="Normal 48 2 5" xfId="14738" xr:uid="{00000000-0005-0000-0000-00000C360000}"/>
    <cellStyle name="Normal 48 3" xfId="14739" xr:uid="{00000000-0005-0000-0000-00000D360000}"/>
    <cellStyle name="Normal 48 4" xfId="14740" xr:uid="{00000000-0005-0000-0000-00000E360000}"/>
    <cellStyle name="Normal 48 5" xfId="14741" xr:uid="{00000000-0005-0000-0000-00000F360000}"/>
    <cellStyle name="Normal 48 6" xfId="14742" xr:uid="{00000000-0005-0000-0000-000010360000}"/>
    <cellStyle name="Normal 48 7" xfId="14743" xr:uid="{00000000-0005-0000-0000-000011360000}"/>
    <cellStyle name="Normal 49" xfId="5341" xr:uid="{00000000-0005-0000-0000-000012360000}"/>
    <cellStyle name="Normal 49 2" xfId="14744" xr:uid="{00000000-0005-0000-0000-000013360000}"/>
    <cellStyle name="Normal 49 3" xfId="39" xr:uid="{00000000-0005-0000-0000-00002B000000}"/>
    <cellStyle name="Normal 49 3 2" xfId="141" xr:uid="{00000000-0005-0000-0000-00002B000000}"/>
    <cellStyle name="Normal 49 3 3" xfId="14745" xr:uid="{00000000-0005-0000-0000-000014360000}"/>
    <cellStyle name="Normal 49 4" xfId="14746" xr:uid="{00000000-0005-0000-0000-000015360000}"/>
    <cellStyle name="Normal 5" xfId="2469" xr:uid="{00000000-0005-0000-0000-00006B090000}"/>
    <cellStyle name="Normal 5 10" xfId="2470" xr:uid="{00000000-0005-0000-0000-00006C090000}"/>
    <cellStyle name="Normal 5 10 2" xfId="14747" xr:uid="{00000000-0005-0000-0000-000018360000}"/>
    <cellStyle name="Normal 5 10 2 2" xfId="14748" xr:uid="{00000000-0005-0000-0000-000019360000}"/>
    <cellStyle name="Normal 5 10 2 2 2" xfId="14749" xr:uid="{00000000-0005-0000-0000-00001A360000}"/>
    <cellStyle name="Normal 5 10 2 2 2 2" xfId="14750" xr:uid="{00000000-0005-0000-0000-00001B360000}"/>
    <cellStyle name="Normal 5 10 2 2 2 3" xfId="14751" xr:uid="{00000000-0005-0000-0000-00001C360000}"/>
    <cellStyle name="Normal 5 10 2 2 3" xfId="14752" xr:uid="{00000000-0005-0000-0000-00001D360000}"/>
    <cellStyle name="Normal 5 10 2 2 3 2" xfId="14753" xr:uid="{00000000-0005-0000-0000-00001E360000}"/>
    <cellStyle name="Normal 5 10 2 2 4" xfId="14754" xr:uid="{00000000-0005-0000-0000-00001F360000}"/>
    <cellStyle name="Normal 5 10 2 3" xfId="14755" xr:uid="{00000000-0005-0000-0000-000020360000}"/>
    <cellStyle name="Normal 5 10 2 3 2" xfId="14756" xr:uid="{00000000-0005-0000-0000-000021360000}"/>
    <cellStyle name="Normal 5 10 2 3 3" xfId="14757" xr:uid="{00000000-0005-0000-0000-000022360000}"/>
    <cellStyle name="Normal 5 10 2 4" xfId="14758" xr:uid="{00000000-0005-0000-0000-000023360000}"/>
    <cellStyle name="Normal 5 10 2 4 2" xfId="14759" xr:uid="{00000000-0005-0000-0000-000024360000}"/>
    <cellStyle name="Normal 5 10 2 5" xfId="14760" xr:uid="{00000000-0005-0000-0000-000025360000}"/>
    <cellStyle name="Normal 5 10 3" xfId="14761" xr:uid="{00000000-0005-0000-0000-000026360000}"/>
    <cellStyle name="Normal 5 10 3 2" xfId="14762" xr:uid="{00000000-0005-0000-0000-000027360000}"/>
    <cellStyle name="Normal 5 10 3 2 2" xfId="14763" xr:uid="{00000000-0005-0000-0000-000028360000}"/>
    <cellStyle name="Normal 5 10 3 2 3" xfId="14764" xr:uid="{00000000-0005-0000-0000-000029360000}"/>
    <cellStyle name="Normal 5 10 3 3" xfId="14765" xr:uid="{00000000-0005-0000-0000-00002A360000}"/>
    <cellStyle name="Normal 5 10 3 3 2" xfId="14766" xr:uid="{00000000-0005-0000-0000-00002B360000}"/>
    <cellStyle name="Normal 5 10 3 4" xfId="14767" xr:uid="{00000000-0005-0000-0000-00002C360000}"/>
    <cellStyle name="Normal 5 10 4" xfId="14768" xr:uid="{00000000-0005-0000-0000-00002D360000}"/>
    <cellStyle name="Normal 5 10 5" xfId="14769" xr:uid="{00000000-0005-0000-0000-00002E360000}"/>
    <cellStyle name="Normal 5 11" xfId="2471" xr:uid="{00000000-0005-0000-0000-00006D090000}"/>
    <cellStyle name="Normal 5 11 2" xfId="14770" xr:uid="{00000000-0005-0000-0000-000030360000}"/>
    <cellStyle name="Normal 5 11 3" xfId="14771" xr:uid="{00000000-0005-0000-0000-000031360000}"/>
    <cellStyle name="Normal 5 12" xfId="2472" xr:uid="{00000000-0005-0000-0000-00006E090000}"/>
    <cellStyle name="Normal 5 12 2" xfId="14772" xr:uid="{00000000-0005-0000-0000-000033360000}"/>
    <cellStyle name="Normal 5 12 3" xfId="14773" xr:uid="{00000000-0005-0000-0000-000034360000}"/>
    <cellStyle name="Normal 5 13" xfId="2473" xr:uid="{00000000-0005-0000-0000-00006F090000}"/>
    <cellStyle name="Normal 5 13 2" xfId="14774" xr:uid="{00000000-0005-0000-0000-000036360000}"/>
    <cellStyle name="Normal 5 13 3" xfId="14775" xr:uid="{00000000-0005-0000-0000-000037360000}"/>
    <cellStyle name="Normal 5 14" xfId="2474" xr:uid="{00000000-0005-0000-0000-000070090000}"/>
    <cellStyle name="Normal 5 14 2" xfId="14776" xr:uid="{00000000-0005-0000-0000-000039360000}"/>
    <cellStyle name="Normal 5 14 3" xfId="14777" xr:uid="{00000000-0005-0000-0000-00003A360000}"/>
    <cellStyle name="Normal 5 15" xfId="2475" xr:uid="{00000000-0005-0000-0000-000071090000}"/>
    <cellStyle name="Normal 5 15 2" xfId="14778" xr:uid="{00000000-0005-0000-0000-00003C360000}"/>
    <cellStyle name="Normal 5 15 3" xfId="14779" xr:uid="{00000000-0005-0000-0000-00003D360000}"/>
    <cellStyle name="Normal 5 16" xfId="2476" xr:uid="{00000000-0005-0000-0000-000072090000}"/>
    <cellStyle name="Normal 5 16 2" xfId="14780" xr:uid="{00000000-0005-0000-0000-00003F360000}"/>
    <cellStyle name="Normal 5 16 3" xfId="14781" xr:uid="{00000000-0005-0000-0000-000040360000}"/>
    <cellStyle name="Normal 5 17" xfId="2477" xr:uid="{00000000-0005-0000-0000-000073090000}"/>
    <cellStyle name="Normal 5 17 2" xfId="14782" xr:uid="{00000000-0005-0000-0000-000042360000}"/>
    <cellStyle name="Normal 5 17 3" xfId="14783" xr:uid="{00000000-0005-0000-0000-000043360000}"/>
    <cellStyle name="Normal 5 18" xfId="2478" xr:uid="{00000000-0005-0000-0000-000074090000}"/>
    <cellStyle name="Normal 5 18 2" xfId="14784" xr:uid="{00000000-0005-0000-0000-000045360000}"/>
    <cellStyle name="Normal 5 18 3" xfId="14785" xr:uid="{00000000-0005-0000-0000-000046360000}"/>
    <cellStyle name="Normal 5 19" xfId="2479" xr:uid="{00000000-0005-0000-0000-000075090000}"/>
    <cellStyle name="Normal 5 19 2" xfId="14786" xr:uid="{00000000-0005-0000-0000-000048360000}"/>
    <cellStyle name="Normal 5 19 3" xfId="14787" xr:uid="{00000000-0005-0000-0000-000049360000}"/>
    <cellStyle name="Normal 5 2" xfId="2480" xr:uid="{00000000-0005-0000-0000-000076090000}"/>
    <cellStyle name="Normal 5 2 10" xfId="2481" xr:uid="{00000000-0005-0000-0000-000077090000}"/>
    <cellStyle name="Normal 5 2 10 2" xfId="14788" xr:uid="{00000000-0005-0000-0000-00004C360000}"/>
    <cellStyle name="Normal 5 2 10 3" xfId="14789" xr:uid="{00000000-0005-0000-0000-00004D360000}"/>
    <cellStyle name="Normal 5 2 11" xfId="2482" xr:uid="{00000000-0005-0000-0000-000078090000}"/>
    <cellStyle name="Normal 5 2 11 2" xfId="14790" xr:uid="{00000000-0005-0000-0000-00004F360000}"/>
    <cellStyle name="Normal 5 2 11 3" xfId="14791" xr:uid="{00000000-0005-0000-0000-000050360000}"/>
    <cellStyle name="Normal 5 2 12" xfId="2483" xr:uid="{00000000-0005-0000-0000-000079090000}"/>
    <cellStyle name="Normal 5 2 12 2" xfId="14792" xr:uid="{00000000-0005-0000-0000-000052360000}"/>
    <cellStyle name="Normal 5 2 12 3" xfId="14793" xr:uid="{00000000-0005-0000-0000-000053360000}"/>
    <cellStyle name="Normal 5 2 13" xfId="2484" xr:uid="{00000000-0005-0000-0000-00007A090000}"/>
    <cellStyle name="Normal 5 2 13 2" xfId="14794" xr:uid="{00000000-0005-0000-0000-000055360000}"/>
    <cellStyle name="Normal 5 2 13 3" xfId="14795" xr:uid="{00000000-0005-0000-0000-000056360000}"/>
    <cellStyle name="Normal 5 2 14" xfId="2485" xr:uid="{00000000-0005-0000-0000-00007B090000}"/>
    <cellStyle name="Normal 5 2 14 2" xfId="14796" xr:uid="{00000000-0005-0000-0000-000058360000}"/>
    <cellStyle name="Normal 5 2 14 3" xfId="14797" xr:uid="{00000000-0005-0000-0000-000059360000}"/>
    <cellStyle name="Normal 5 2 15" xfId="2486" xr:uid="{00000000-0005-0000-0000-00007C090000}"/>
    <cellStyle name="Normal 5 2 15 2" xfId="14798" xr:uid="{00000000-0005-0000-0000-00005B360000}"/>
    <cellStyle name="Normal 5 2 15 3" xfId="14799" xr:uid="{00000000-0005-0000-0000-00005C360000}"/>
    <cellStyle name="Normal 5 2 16" xfId="2487" xr:uid="{00000000-0005-0000-0000-00007D090000}"/>
    <cellStyle name="Normal 5 2 16 2" xfId="14800" xr:uid="{00000000-0005-0000-0000-00005E360000}"/>
    <cellStyle name="Normal 5 2 16 3" xfId="14801" xr:uid="{00000000-0005-0000-0000-00005F360000}"/>
    <cellStyle name="Normal 5 2 17" xfId="2488" xr:uid="{00000000-0005-0000-0000-00007E090000}"/>
    <cellStyle name="Normal 5 2 17 2" xfId="14802" xr:uid="{00000000-0005-0000-0000-000061360000}"/>
    <cellStyle name="Normal 5 2 17 3" xfId="14803" xr:uid="{00000000-0005-0000-0000-000062360000}"/>
    <cellStyle name="Normal 5 2 18" xfId="2489" xr:uid="{00000000-0005-0000-0000-00007F090000}"/>
    <cellStyle name="Normal 5 2 18 2" xfId="14804" xr:uid="{00000000-0005-0000-0000-000064360000}"/>
    <cellStyle name="Normal 5 2 18 3" xfId="14805" xr:uid="{00000000-0005-0000-0000-000065360000}"/>
    <cellStyle name="Normal 5 2 19" xfId="2490" xr:uid="{00000000-0005-0000-0000-000080090000}"/>
    <cellStyle name="Normal 5 2 19 2" xfId="14806" xr:uid="{00000000-0005-0000-0000-000067360000}"/>
    <cellStyle name="Normal 5 2 19 3" xfId="14807" xr:uid="{00000000-0005-0000-0000-000068360000}"/>
    <cellStyle name="Normal 5 2 2" xfId="2491" xr:uid="{00000000-0005-0000-0000-000081090000}"/>
    <cellStyle name="Normal 5 2 2 10" xfId="14808" xr:uid="{00000000-0005-0000-0000-00006A360000}"/>
    <cellStyle name="Normal 5 2 2 11" xfId="14809" xr:uid="{00000000-0005-0000-0000-00006B360000}"/>
    <cellStyle name="Normal 5 2 2 2" xfId="14810" xr:uid="{00000000-0005-0000-0000-00006C360000}"/>
    <cellStyle name="Normal 5 2 2 2 10" xfId="14811" xr:uid="{00000000-0005-0000-0000-00006D360000}"/>
    <cellStyle name="Normal 5 2 2 2 2" xfId="14812" xr:uid="{00000000-0005-0000-0000-00006E360000}"/>
    <cellStyle name="Normal 5 2 2 2 2 2" xfId="14813" xr:uid="{00000000-0005-0000-0000-00006F360000}"/>
    <cellStyle name="Normal 5 2 2 2 2 2 2" xfId="14814" xr:uid="{00000000-0005-0000-0000-000070360000}"/>
    <cellStyle name="Normal 5 2 2 2 2 2 2 2" xfId="14815" xr:uid="{00000000-0005-0000-0000-000071360000}"/>
    <cellStyle name="Normal 5 2 2 2 2 2 2 2 2" xfId="14816" xr:uid="{00000000-0005-0000-0000-000072360000}"/>
    <cellStyle name="Normal 5 2 2 2 2 2 2 2 3" xfId="14817" xr:uid="{00000000-0005-0000-0000-000073360000}"/>
    <cellStyle name="Normal 5 2 2 2 2 2 2 3" xfId="14818" xr:uid="{00000000-0005-0000-0000-000074360000}"/>
    <cellStyle name="Normal 5 2 2 2 2 2 2 4" xfId="14819" xr:uid="{00000000-0005-0000-0000-000075360000}"/>
    <cellStyle name="Normal 5 2 2 2 2 2 2 5" xfId="14820" xr:uid="{00000000-0005-0000-0000-000076360000}"/>
    <cellStyle name="Normal 5 2 2 2 2 2 2 6" xfId="14821" xr:uid="{00000000-0005-0000-0000-000077360000}"/>
    <cellStyle name="Normal 5 2 2 2 2 2 3" xfId="14822" xr:uid="{00000000-0005-0000-0000-000078360000}"/>
    <cellStyle name="Normal 5 2 2 2 2 2 3 2" xfId="14823" xr:uid="{00000000-0005-0000-0000-000079360000}"/>
    <cellStyle name="Normal 5 2 2 2 2 2 3 2 2" xfId="14824" xr:uid="{00000000-0005-0000-0000-00007A360000}"/>
    <cellStyle name="Normal 5 2 2 2 2 2 3 2 3" xfId="14825" xr:uid="{00000000-0005-0000-0000-00007B360000}"/>
    <cellStyle name="Normal 5 2 2 2 2 2 3 3" xfId="14826" xr:uid="{00000000-0005-0000-0000-00007C360000}"/>
    <cellStyle name="Normal 5 2 2 2 2 2 3 3 2" xfId="14827" xr:uid="{00000000-0005-0000-0000-00007D360000}"/>
    <cellStyle name="Normal 5 2 2 2 2 2 3 4" xfId="14828" xr:uid="{00000000-0005-0000-0000-00007E360000}"/>
    <cellStyle name="Normal 5 2 2 2 2 2 4" xfId="14829" xr:uid="{00000000-0005-0000-0000-00007F360000}"/>
    <cellStyle name="Normal 5 2 2 2 2 2 4 2" xfId="14830" xr:uid="{00000000-0005-0000-0000-000080360000}"/>
    <cellStyle name="Normal 5 2 2 2 2 2 4 3" xfId="14831" xr:uid="{00000000-0005-0000-0000-000081360000}"/>
    <cellStyle name="Normal 5 2 2 2 2 2 5" xfId="14832" xr:uid="{00000000-0005-0000-0000-000082360000}"/>
    <cellStyle name="Normal 5 2 2 2 2 2 6" xfId="14833" xr:uid="{00000000-0005-0000-0000-000083360000}"/>
    <cellStyle name="Normal 5 2 2 2 2 2 7" xfId="14834" xr:uid="{00000000-0005-0000-0000-000084360000}"/>
    <cellStyle name="Normal 5 2 2 2 2 2 8" xfId="14835" xr:uid="{00000000-0005-0000-0000-000085360000}"/>
    <cellStyle name="Normal 5 2 2 2 2 3" xfId="14836" xr:uid="{00000000-0005-0000-0000-000086360000}"/>
    <cellStyle name="Normal 5 2 2 2 2 3 2" xfId="14837" xr:uid="{00000000-0005-0000-0000-000087360000}"/>
    <cellStyle name="Normal 5 2 2 2 2 3 2 2" xfId="14838" xr:uid="{00000000-0005-0000-0000-000088360000}"/>
    <cellStyle name="Normal 5 2 2 2 2 3 2 3" xfId="14839" xr:uid="{00000000-0005-0000-0000-000089360000}"/>
    <cellStyle name="Normal 5 2 2 2 2 3 2 4" xfId="14840" xr:uid="{00000000-0005-0000-0000-00008A360000}"/>
    <cellStyle name="Normal 5 2 2 2 2 3 3" xfId="14841" xr:uid="{00000000-0005-0000-0000-00008B360000}"/>
    <cellStyle name="Normal 5 2 2 2 2 3 4" xfId="14842" xr:uid="{00000000-0005-0000-0000-00008C360000}"/>
    <cellStyle name="Normal 5 2 2 2 2 3 5" xfId="14843" xr:uid="{00000000-0005-0000-0000-00008D360000}"/>
    <cellStyle name="Normal 5 2 2 2 2 3 6" xfId="14844" xr:uid="{00000000-0005-0000-0000-00008E360000}"/>
    <cellStyle name="Normal 5 2 2 2 2 4" xfId="14845" xr:uid="{00000000-0005-0000-0000-00008F360000}"/>
    <cellStyle name="Normal 5 2 2 2 2 4 2" xfId="14846" xr:uid="{00000000-0005-0000-0000-000090360000}"/>
    <cellStyle name="Normal 5 2 2 2 2 4 2 2" xfId="14847" xr:uid="{00000000-0005-0000-0000-000091360000}"/>
    <cellStyle name="Normal 5 2 2 2 2 4 2 3" xfId="14848" xr:uid="{00000000-0005-0000-0000-000092360000}"/>
    <cellStyle name="Normal 5 2 2 2 2 4 3" xfId="14849" xr:uid="{00000000-0005-0000-0000-000093360000}"/>
    <cellStyle name="Normal 5 2 2 2 2 4 4" xfId="14850" xr:uid="{00000000-0005-0000-0000-000094360000}"/>
    <cellStyle name="Normal 5 2 2 2 2 4 5" xfId="14851" xr:uid="{00000000-0005-0000-0000-000095360000}"/>
    <cellStyle name="Normal 5 2 2 2 2 4 6" xfId="14852" xr:uid="{00000000-0005-0000-0000-000096360000}"/>
    <cellStyle name="Normal 5 2 2 2 2 5" xfId="14853" xr:uid="{00000000-0005-0000-0000-000097360000}"/>
    <cellStyle name="Normal 5 2 2 2 2 5 2" xfId="14854" xr:uid="{00000000-0005-0000-0000-000098360000}"/>
    <cellStyle name="Normal 5 2 2 2 2 5 3" xfId="14855" xr:uid="{00000000-0005-0000-0000-000099360000}"/>
    <cellStyle name="Normal 5 2 2 2 2 6" xfId="14856" xr:uid="{00000000-0005-0000-0000-00009A360000}"/>
    <cellStyle name="Normal 5 2 2 2 2 7" xfId="14857" xr:uid="{00000000-0005-0000-0000-00009B360000}"/>
    <cellStyle name="Normal 5 2 2 2 2 8" xfId="14858" xr:uid="{00000000-0005-0000-0000-00009C360000}"/>
    <cellStyle name="Normal 5 2 2 2 2 9" xfId="14859" xr:uid="{00000000-0005-0000-0000-00009D360000}"/>
    <cellStyle name="Normal 5 2 2 2 3" xfId="14860" xr:uid="{00000000-0005-0000-0000-00009E360000}"/>
    <cellStyle name="Normal 5 2 2 2 3 2" xfId="14861" xr:uid="{00000000-0005-0000-0000-00009F360000}"/>
    <cellStyle name="Normal 5 2 2 2 3 2 2" xfId="14862" xr:uid="{00000000-0005-0000-0000-0000A0360000}"/>
    <cellStyle name="Normal 5 2 2 2 3 2 2 2" xfId="14863" xr:uid="{00000000-0005-0000-0000-0000A1360000}"/>
    <cellStyle name="Normal 5 2 2 2 3 2 2 3" xfId="14864" xr:uid="{00000000-0005-0000-0000-0000A2360000}"/>
    <cellStyle name="Normal 5 2 2 2 3 2 2 4" xfId="14865" xr:uid="{00000000-0005-0000-0000-0000A3360000}"/>
    <cellStyle name="Normal 5 2 2 2 3 2 3" xfId="14866" xr:uid="{00000000-0005-0000-0000-0000A4360000}"/>
    <cellStyle name="Normal 5 2 2 2 3 2 4" xfId="14867" xr:uid="{00000000-0005-0000-0000-0000A5360000}"/>
    <cellStyle name="Normal 5 2 2 2 3 2 5" xfId="14868" xr:uid="{00000000-0005-0000-0000-0000A6360000}"/>
    <cellStyle name="Normal 5 2 2 2 3 2 6" xfId="14869" xr:uid="{00000000-0005-0000-0000-0000A7360000}"/>
    <cellStyle name="Normal 5 2 2 2 3 3" xfId="14870" xr:uid="{00000000-0005-0000-0000-0000A8360000}"/>
    <cellStyle name="Normal 5 2 2 2 3 3 2" xfId="14871" xr:uid="{00000000-0005-0000-0000-0000A9360000}"/>
    <cellStyle name="Normal 5 2 2 2 3 3 2 2" xfId="14872" xr:uid="{00000000-0005-0000-0000-0000AA360000}"/>
    <cellStyle name="Normal 5 2 2 2 3 3 2 3" xfId="14873" xr:uid="{00000000-0005-0000-0000-0000AB360000}"/>
    <cellStyle name="Normal 5 2 2 2 3 3 3" xfId="14874" xr:uid="{00000000-0005-0000-0000-0000AC360000}"/>
    <cellStyle name="Normal 5 2 2 2 3 3 4" xfId="14875" xr:uid="{00000000-0005-0000-0000-0000AD360000}"/>
    <cellStyle name="Normal 5 2 2 2 3 3 5" xfId="14876" xr:uid="{00000000-0005-0000-0000-0000AE360000}"/>
    <cellStyle name="Normal 5 2 2 2 3 3 6" xfId="14877" xr:uid="{00000000-0005-0000-0000-0000AF360000}"/>
    <cellStyle name="Normal 5 2 2 2 3 4" xfId="14878" xr:uid="{00000000-0005-0000-0000-0000B0360000}"/>
    <cellStyle name="Normal 5 2 2 2 3 4 2" xfId="14879" xr:uid="{00000000-0005-0000-0000-0000B1360000}"/>
    <cellStyle name="Normal 5 2 2 2 3 4 3" xfId="14880" xr:uid="{00000000-0005-0000-0000-0000B2360000}"/>
    <cellStyle name="Normal 5 2 2 2 3 5" xfId="14881" xr:uid="{00000000-0005-0000-0000-0000B3360000}"/>
    <cellStyle name="Normal 5 2 2 2 3 6" xfId="14882" xr:uid="{00000000-0005-0000-0000-0000B4360000}"/>
    <cellStyle name="Normal 5 2 2 2 3 7" xfId="14883" xr:uid="{00000000-0005-0000-0000-0000B5360000}"/>
    <cellStyle name="Normal 5 2 2 2 3 8" xfId="14884" xr:uid="{00000000-0005-0000-0000-0000B6360000}"/>
    <cellStyle name="Normal 5 2 2 2 4" xfId="14885" xr:uid="{00000000-0005-0000-0000-0000B7360000}"/>
    <cellStyle name="Normal 5 2 2 2 4 2" xfId="14886" xr:uid="{00000000-0005-0000-0000-0000B8360000}"/>
    <cellStyle name="Normal 5 2 2 2 4 2 2" xfId="14887" xr:uid="{00000000-0005-0000-0000-0000B9360000}"/>
    <cellStyle name="Normal 5 2 2 2 4 2 3" xfId="14888" xr:uid="{00000000-0005-0000-0000-0000BA360000}"/>
    <cellStyle name="Normal 5 2 2 2 4 2 4" xfId="14889" xr:uid="{00000000-0005-0000-0000-0000BB360000}"/>
    <cellStyle name="Normal 5 2 2 2 4 3" xfId="14890" xr:uid="{00000000-0005-0000-0000-0000BC360000}"/>
    <cellStyle name="Normal 5 2 2 2 4 4" xfId="14891" xr:uid="{00000000-0005-0000-0000-0000BD360000}"/>
    <cellStyle name="Normal 5 2 2 2 4 5" xfId="14892" xr:uid="{00000000-0005-0000-0000-0000BE360000}"/>
    <cellStyle name="Normal 5 2 2 2 4 6" xfId="14893" xr:uid="{00000000-0005-0000-0000-0000BF360000}"/>
    <cellStyle name="Normal 5 2 2 2 5" xfId="14894" xr:uid="{00000000-0005-0000-0000-0000C0360000}"/>
    <cellStyle name="Normal 5 2 2 2 5 2" xfId="14895" xr:uid="{00000000-0005-0000-0000-0000C1360000}"/>
    <cellStyle name="Normal 5 2 2 2 5 2 2" xfId="14896" xr:uid="{00000000-0005-0000-0000-0000C2360000}"/>
    <cellStyle name="Normal 5 2 2 2 5 2 3" xfId="14897" xr:uid="{00000000-0005-0000-0000-0000C3360000}"/>
    <cellStyle name="Normal 5 2 2 2 5 3" xfId="14898" xr:uid="{00000000-0005-0000-0000-0000C4360000}"/>
    <cellStyle name="Normal 5 2 2 2 5 4" xfId="14899" xr:uid="{00000000-0005-0000-0000-0000C5360000}"/>
    <cellStyle name="Normal 5 2 2 2 5 5" xfId="14900" xr:uid="{00000000-0005-0000-0000-0000C6360000}"/>
    <cellStyle name="Normal 5 2 2 2 5 6" xfId="14901" xr:uid="{00000000-0005-0000-0000-0000C7360000}"/>
    <cellStyle name="Normal 5 2 2 2 6" xfId="14902" xr:uid="{00000000-0005-0000-0000-0000C8360000}"/>
    <cellStyle name="Normal 5 2 2 2 6 2" xfId="14903" xr:uid="{00000000-0005-0000-0000-0000C9360000}"/>
    <cellStyle name="Normal 5 2 2 2 6 3" xfId="14904" xr:uid="{00000000-0005-0000-0000-0000CA360000}"/>
    <cellStyle name="Normal 5 2 2 2 7" xfId="14905" xr:uid="{00000000-0005-0000-0000-0000CB360000}"/>
    <cellStyle name="Normal 5 2 2 2 8" xfId="14906" xr:uid="{00000000-0005-0000-0000-0000CC360000}"/>
    <cellStyle name="Normal 5 2 2 2 9" xfId="14907" xr:uid="{00000000-0005-0000-0000-0000CD360000}"/>
    <cellStyle name="Normal 5 2 2 3" xfId="14908" xr:uid="{00000000-0005-0000-0000-0000CE360000}"/>
    <cellStyle name="Normal 5 2 2 3 2" xfId="14909" xr:uid="{00000000-0005-0000-0000-0000CF360000}"/>
    <cellStyle name="Normal 5 2 2 3 2 2" xfId="14910" xr:uid="{00000000-0005-0000-0000-0000D0360000}"/>
    <cellStyle name="Normal 5 2 2 3 2 2 2" xfId="14911" xr:uid="{00000000-0005-0000-0000-0000D1360000}"/>
    <cellStyle name="Normal 5 2 2 3 2 2 2 2" xfId="14912" xr:uid="{00000000-0005-0000-0000-0000D2360000}"/>
    <cellStyle name="Normal 5 2 2 3 2 2 2 3" xfId="14913" xr:uid="{00000000-0005-0000-0000-0000D3360000}"/>
    <cellStyle name="Normal 5 2 2 3 2 2 3" xfId="14914" xr:uid="{00000000-0005-0000-0000-0000D4360000}"/>
    <cellStyle name="Normal 5 2 2 3 2 2 4" xfId="14915" xr:uid="{00000000-0005-0000-0000-0000D5360000}"/>
    <cellStyle name="Normal 5 2 2 3 2 2 5" xfId="14916" xr:uid="{00000000-0005-0000-0000-0000D6360000}"/>
    <cellStyle name="Normal 5 2 2 3 2 2 6" xfId="14917" xr:uid="{00000000-0005-0000-0000-0000D7360000}"/>
    <cellStyle name="Normal 5 2 2 3 2 3" xfId="14918" xr:uid="{00000000-0005-0000-0000-0000D8360000}"/>
    <cellStyle name="Normal 5 2 2 3 2 3 2" xfId="14919" xr:uid="{00000000-0005-0000-0000-0000D9360000}"/>
    <cellStyle name="Normal 5 2 2 3 2 3 2 2" xfId="14920" xr:uid="{00000000-0005-0000-0000-0000DA360000}"/>
    <cellStyle name="Normal 5 2 2 3 2 3 2 3" xfId="14921" xr:uid="{00000000-0005-0000-0000-0000DB360000}"/>
    <cellStyle name="Normal 5 2 2 3 2 3 3" xfId="14922" xr:uid="{00000000-0005-0000-0000-0000DC360000}"/>
    <cellStyle name="Normal 5 2 2 3 2 3 3 2" xfId="14923" xr:uid="{00000000-0005-0000-0000-0000DD360000}"/>
    <cellStyle name="Normal 5 2 2 3 2 3 4" xfId="14924" xr:uid="{00000000-0005-0000-0000-0000DE360000}"/>
    <cellStyle name="Normal 5 2 2 3 2 4" xfId="14925" xr:uid="{00000000-0005-0000-0000-0000DF360000}"/>
    <cellStyle name="Normal 5 2 2 3 2 4 2" xfId="14926" xr:uid="{00000000-0005-0000-0000-0000E0360000}"/>
    <cellStyle name="Normal 5 2 2 3 2 4 3" xfId="14927" xr:uid="{00000000-0005-0000-0000-0000E1360000}"/>
    <cellStyle name="Normal 5 2 2 3 2 5" xfId="14928" xr:uid="{00000000-0005-0000-0000-0000E2360000}"/>
    <cellStyle name="Normal 5 2 2 3 2 6" xfId="14929" xr:uid="{00000000-0005-0000-0000-0000E3360000}"/>
    <cellStyle name="Normal 5 2 2 3 2 7" xfId="14930" xr:uid="{00000000-0005-0000-0000-0000E4360000}"/>
    <cellStyle name="Normal 5 2 2 3 2 8" xfId="14931" xr:uid="{00000000-0005-0000-0000-0000E5360000}"/>
    <cellStyle name="Normal 5 2 2 3 3" xfId="14932" xr:uid="{00000000-0005-0000-0000-0000E6360000}"/>
    <cellStyle name="Normal 5 2 2 3 3 2" xfId="14933" xr:uid="{00000000-0005-0000-0000-0000E7360000}"/>
    <cellStyle name="Normal 5 2 2 3 3 2 2" xfId="14934" xr:uid="{00000000-0005-0000-0000-0000E8360000}"/>
    <cellStyle name="Normal 5 2 2 3 3 2 3" xfId="14935" xr:uid="{00000000-0005-0000-0000-0000E9360000}"/>
    <cellStyle name="Normal 5 2 2 3 3 2 4" xfId="14936" xr:uid="{00000000-0005-0000-0000-0000EA360000}"/>
    <cellStyle name="Normal 5 2 2 3 3 3" xfId="14937" xr:uid="{00000000-0005-0000-0000-0000EB360000}"/>
    <cellStyle name="Normal 5 2 2 3 3 4" xfId="14938" xr:uid="{00000000-0005-0000-0000-0000EC360000}"/>
    <cellStyle name="Normal 5 2 2 3 3 5" xfId="14939" xr:uid="{00000000-0005-0000-0000-0000ED360000}"/>
    <cellStyle name="Normal 5 2 2 3 3 6" xfId="14940" xr:uid="{00000000-0005-0000-0000-0000EE360000}"/>
    <cellStyle name="Normal 5 2 2 3 4" xfId="14941" xr:uid="{00000000-0005-0000-0000-0000EF360000}"/>
    <cellStyle name="Normal 5 2 2 3 4 2" xfId="14942" xr:uid="{00000000-0005-0000-0000-0000F0360000}"/>
    <cellStyle name="Normal 5 2 2 3 4 2 2" xfId="14943" xr:uid="{00000000-0005-0000-0000-0000F1360000}"/>
    <cellStyle name="Normal 5 2 2 3 4 2 3" xfId="14944" xr:uid="{00000000-0005-0000-0000-0000F2360000}"/>
    <cellStyle name="Normal 5 2 2 3 4 3" xfId="14945" xr:uid="{00000000-0005-0000-0000-0000F3360000}"/>
    <cellStyle name="Normal 5 2 2 3 4 4" xfId="14946" xr:uid="{00000000-0005-0000-0000-0000F4360000}"/>
    <cellStyle name="Normal 5 2 2 3 4 5" xfId="14947" xr:uid="{00000000-0005-0000-0000-0000F5360000}"/>
    <cellStyle name="Normal 5 2 2 3 4 6" xfId="14948" xr:uid="{00000000-0005-0000-0000-0000F6360000}"/>
    <cellStyle name="Normal 5 2 2 3 5" xfId="14949" xr:uid="{00000000-0005-0000-0000-0000F7360000}"/>
    <cellStyle name="Normal 5 2 2 3 5 2" xfId="14950" xr:uid="{00000000-0005-0000-0000-0000F8360000}"/>
    <cellStyle name="Normal 5 2 2 3 5 3" xfId="14951" xr:uid="{00000000-0005-0000-0000-0000F9360000}"/>
    <cellStyle name="Normal 5 2 2 3 6" xfId="14952" xr:uid="{00000000-0005-0000-0000-0000FA360000}"/>
    <cellStyle name="Normal 5 2 2 3 7" xfId="14953" xr:uid="{00000000-0005-0000-0000-0000FB360000}"/>
    <cellStyle name="Normal 5 2 2 3 8" xfId="14954" xr:uid="{00000000-0005-0000-0000-0000FC360000}"/>
    <cellStyle name="Normal 5 2 2 3 9" xfId="14955" xr:uid="{00000000-0005-0000-0000-0000FD360000}"/>
    <cellStyle name="Normal 5 2 2 4" xfId="14956" xr:uid="{00000000-0005-0000-0000-0000FE360000}"/>
    <cellStyle name="Normal 5 2 2 4 2" xfId="14957" xr:uid="{00000000-0005-0000-0000-0000FF360000}"/>
    <cellStyle name="Normal 5 2 2 4 2 2" xfId="14958" xr:uid="{00000000-0005-0000-0000-000000370000}"/>
    <cellStyle name="Normal 5 2 2 4 2 2 2" xfId="14959" xr:uid="{00000000-0005-0000-0000-000001370000}"/>
    <cellStyle name="Normal 5 2 2 4 2 2 3" xfId="14960" xr:uid="{00000000-0005-0000-0000-000002370000}"/>
    <cellStyle name="Normal 5 2 2 4 2 2 4" xfId="14961" xr:uid="{00000000-0005-0000-0000-000003370000}"/>
    <cellStyle name="Normal 5 2 2 4 2 3" xfId="14962" xr:uid="{00000000-0005-0000-0000-000004370000}"/>
    <cellStyle name="Normal 5 2 2 4 2 4" xfId="14963" xr:uid="{00000000-0005-0000-0000-000005370000}"/>
    <cellStyle name="Normal 5 2 2 4 2 5" xfId="14964" xr:uid="{00000000-0005-0000-0000-000006370000}"/>
    <cellStyle name="Normal 5 2 2 4 2 6" xfId="14965" xr:uid="{00000000-0005-0000-0000-000007370000}"/>
    <cellStyle name="Normal 5 2 2 4 3" xfId="14966" xr:uid="{00000000-0005-0000-0000-000008370000}"/>
    <cellStyle name="Normal 5 2 2 4 3 2" xfId="14967" xr:uid="{00000000-0005-0000-0000-000009370000}"/>
    <cellStyle name="Normal 5 2 2 4 3 2 2" xfId="14968" xr:uid="{00000000-0005-0000-0000-00000A370000}"/>
    <cellStyle name="Normal 5 2 2 4 3 2 3" xfId="14969" xr:uid="{00000000-0005-0000-0000-00000B370000}"/>
    <cellStyle name="Normal 5 2 2 4 3 3" xfId="14970" xr:uid="{00000000-0005-0000-0000-00000C370000}"/>
    <cellStyle name="Normal 5 2 2 4 3 4" xfId="14971" xr:uid="{00000000-0005-0000-0000-00000D370000}"/>
    <cellStyle name="Normal 5 2 2 4 3 5" xfId="14972" xr:uid="{00000000-0005-0000-0000-00000E370000}"/>
    <cellStyle name="Normal 5 2 2 4 3 6" xfId="14973" xr:uid="{00000000-0005-0000-0000-00000F370000}"/>
    <cellStyle name="Normal 5 2 2 4 4" xfId="14974" xr:uid="{00000000-0005-0000-0000-000010370000}"/>
    <cellStyle name="Normal 5 2 2 4 4 2" xfId="14975" xr:uid="{00000000-0005-0000-0000-000011370000}"/>
    <cellStyle name="Normal 5 2 2 4 4 3" xfId="14976" xr:uid="{00000000-0005-0000-0000-000012370000}"/>
    <cellStyle name="Normal 5 2 2 4 5" xfId="14977" xr:uid="{00000000-0005-0000-0000-000013370000}"/>
    <cellStyle name="Normal 5 2 2 4 6" xfId="14978" xr:uid="{00000000-0005-0000-0000-000014370000}"/>
    <cellStyle name="Normal 5 2 2 4 7" xfId="14979" xr:uid="{00000000-0005-0000-0000-000015370000}"/>
    <cellStyle name="Normal 5 2 2 4 8" xfId="14980" xr:uid="{00000000-0005-0000-0000-000016370000}"/>
    <cellStyle name="Normal 5 2 2 5" xfId="14981" xr:uid="{00000000-0005-0000-0000-000017370000}"/>
    <cellStyle name="Normal 5 2 2 5 2" xfId="14982" xr:uid="{00000000-0005-0000-0000-000018370000}"/>
    <cellStyle name="Normal 5 2 2 5 2 2" xfId="14983" xr:uid="{00000000-0005-0000-0000-000019370000}"/>
    <cellStyle name="Normal 5 2 2 5 3" xfId="14984" xr:uid="{00000000-0005-0000-0000-00001A370000}"/>
    <cellStyle name="Normal 5 2 2 5 4" xfId="14985" xr:uid="{00000000-0005-0000-0000-00001B370000}"/>
    <cellStyle name="Normal 5 2 2 5 5" xfId="14986" xr:uid="{00000000-0005-0000-0000-00001C370000}"/>
    <cellStyle name="Normal 5 2 2 6" xfId="14987" xr:uid="{00000000-0005-0000-0000-00001D370000}"/>
    <cellStyle name="Normal 5 2 2 6 2" xfId="14988" xr:uid="{00000000-0005-0000-0000-00001E370000}"/>
    <cellStyle name="Normal 5 2 2 6 2 2" xfId="14989" xr:uid="{00000000-0005-0000-0000-00001F370000}"/>
    <cellStyle name="Normal 5 2 2 6 2 3" xfId="14990" xr:uid="{00000000-0005-0000-0000-000020370000}"/>
    <cellStyle name="Normal 5 2 2 6 3" xfId="14991" xr:uid="{00000000-0005-0000-0000-000021370000}"/>
    <cellStyle name="Normal 5 2 2 6 4" xfId="14992" xr:uid="{00000000-0005-0000-0000-000022370000}"/>
    <cellStyle name="Normal 5 2 2 6 5" xfId="14993" xr:uid="{00000000-0005-0000-0000-000023370000}"/>
    <cellStyle name="Normal 5 2 2 6 6" xfId="14994" xr:uid="{00000000-0005-0000-0000-000024370000}"/>
    <cellStyle name="Normal 5 2 2 7" xfId="14995" xr:uid="{00000000-0005-0000-0000-000025370000}"/>
    <cellStyle name="Normal 5 2 2 7 2" xfId="14996" xr:uid="{00000000-0005-0000-0000-000026370000}"/>
    <cellStyle name="Normal 5 2 2 7 2 2" xfId="14997" xr:uid="{00000000-0005-0000-0000-000027370000}"/>
    <cellStyle name="Normal 5 2 2 7 2 3" xfId="14998" xr:uid="{00000000-0005-0000-0000-000028370000}"/>
    <cellStyle name="Normal 5 2 2 7 3" xfId="14999" xr:uid="{00000000-0005-0000-0000-000029370000}"/>
    <cellStyle name="Normal 5 2 2 7 4" xfId="15000" xr:uid="{00000000-0005-0000-0000-00002A370000}"/>
    <cellStyle name="Normal 5 2 2 7 5" xfId="15001" xr:uid="{00000000-0005-0000-0000-00002B370000}"/>
    <cellStyle name="Normal 5 2 2 7 6" xfId="15002" xr:uid="{00000000-0005-0000-0000-00002C370000}"/>
    <cellStyle name="Normal 5 2 2 8" xfId="15003" xr:uid="{00000000-0005-0000-0000-00002D370000}"/>
    <cellStyle name="Normal 5 2 2 8 2" xfId="15004" xr:uid="{00000000-0005-0000-0000-00002E370000}"/>
    <cellStyle name="Normal 5 2 2 8 3" xfId="15005" xr:uid="{00000000-0005-0000-0000-00002F370000}"/>
    <cellStyle name="Normal 5 2 2 9" xfId="15006" xr:uid="{00000000-0005-0000-0000-000030370000}"/>
    <cellStyle name="Normal 5 2 2 9 2" xfId="15007" xr:uid="{00000000-0005-0000-0000-000031370000}"/>
    <cellStyle name="Normal 5 2 20" xfId="2492" xr:uid="{00000000-0005-0000-0000-000082090000}"/>
    <cellStyle name="Normal 5 2 20 2" xfId="15008" xr:uid="{00000000-0005-0000-0000-000033370000}"/>
    <cellStyle name="Normal 5 2 20 3" xfId="15009" xr:uid="{00000000-0005-0000-0000-000034370000}"/>
    <cellStyle name="Normal 5 2 21" xfId="2493" xr:uid="{00000000-0005-0000-0000-000083090000}"/>
    <cellStyle name="Normal 5 2 21 2" xfId="15010" xr:uid="{00000000-0005-0000-0000-000036370000}"/>
    <cellStyle name="Normal 5 2 21 3" xfId="15011" xr:uid="{00000000-0005-0000-0000-000037370000}"/>
    <cellStyle name="Normal 5 2 22" xfId="2494" xr:uid="{00000000-0005-0000-0000-000084090000}"/>
    <cellStyle name="Normal 5 2 22 2" xfId="15012" xr:uid="{00000000-0005-0000-0000-000039370000}"/>
    <cellStyle name="Normal 5 2 22 3" xfId="15013" xr:uid="{00000000-0005-0000-0000-00003A370000}"/>
    <cellStyle name="Normal 5 2 23" xfId="2495" xr:uid="{00000000-0005-0000-0000-000085090000}"/>
    <cellStyle name="Normal 5 2 23 2" xfId="15014" xr:uid="{00000000-0005-0000-0000-00003C370000}"/>
    <cellStyle name="Normal 5 2 23 3" xfId="15015" xr:uid="{00000000-0005-0000-0000-00003D370000}"/>
    <cellStyle name="Normal 5 2 24" xfId="15016" xr:uid="{00000000-0005-0000-0000-00003E370000}"/>
    <cellStyle name="Normal 5 2 24 2" xfId="15017" xr:uid="{00000000-0005-0000-0000-00003F370000}"/>
    <cellStyle name="Normal 5 2 24 3" xfId="15018" xr:uid="{00000000-0005-0000-0000-000040370000}"/>
    <cellStyle name="Normal 5 2 24 4" xfId="15019" xr:uid="{00000000-0005-0000-0000-000041370000}"/>
    <cellStyle name="Normal 5 2 25" xfId="15020" xr:uid="{00000000-0005-0000-0000-000042370000}"/>
    <cellStyle name="Normal 5 2 25 2" xfId="15021" xr:uid="{00000000-0005-0000-0000-000043370000}"/>
    <cellStyle name="Normal 5 2 25 2 2" xfId="15022" xr:uid="{00000000-0005-0000-0000-000044370000}"/>
    <cellStyle name="Normal 5 2 25 2 3" xfId="15023" xr:uid="{00000000-0005-0000-0000-000045370000}"/>
    <cellStyle name="Normal 5 2 25 3" xfId="15024" xr:uid="{00000000-0005-0000-0000-000046370000}"/>
    <cellStyle name="Normal 5 2 25 4" xfId="15025" xr:uid="{00000000-0005-0000-0000-000047370000}"/>
    <cellStyle name="Normal 5 2 25 5" xfId="15026" xr:uid="{00000000-0005-0000-0000-000048370000}"/>
    <cellStyle name="Normal 5 2 25 6" xfId="15027" xr:uid="{00000000-0005-0000-0000-000049370000}"/>
    <cellStyle name="Normal 5 2 26" xfId="15028" xr:uid="{00000000-0005-0000-0000-00004A370000}"/>
    <cellStyle name="Normal 5 2 26 2" xfId="15029" xr:uid="{00000000-0005-0000-0000-00004B370000}"/>
    <cellStyle name="Normal 5 2 26 2 2" xfId="15030" xr:uid="{00000000-0005-0000-0000-00004C370000}"/>
    <cellStyle name="Normal 5 2 26 2 3" xfId="15031" xr:uid="{00000000-0005-0000-0000-00004D370000}"/>
    <cellStyle name="Normal 5 2 26 3" xfId="15032" xr:uid="{00000000-0005-0000-0000-00004E370000}"/>
    <cellStyle name="Normal 5 2 26 3 2" xfId="15033" xr:uid="{00000000-0005-0000-0000-00004F370000}"/>
    <cellStyle name="Normal 5 2 26 4" xfId="15034" xr:uid="{00000000-0005-0000-0000-000050370000}"/>
    <cellStyle name="Normal 5 2 27" xfId="15035" xr:uid="{00000000-0005-0000-0000-000051370000}"/>
    <cellStyle name="Normal 5 2 27 2" xfId="15036" xr:uid="{00000000-0005-0000-0000-000052370000}"/>
    <cellStyle name="Normal 5 2 27 3" xfId="15037" xr:uid="{00000000-0005-0000-0000-000053370000}"/>
    <cellStyle name="Normal 5 2 28" xfId="15038" xr:uid="{00000000-0005-0000-0000-000054370000}"/>
    <cellStyle name="Normal 5 2 28 2" xfId="15039" xr:uid="{00000000-0005-0000-0000-000055370000}"/>
    <cellStyle name="Normal 5 2 29" xfId="15040" xr:uid="{00000000-0005-0000-0000-000056370000}"/>
    <cellStyle name="Normal 5 2 3" xfId="2496" xr:uid="{00000000-0005-0000-0000-000086090000}"/>
    <cellStyle name="Normal 5 2 3 10" xfId="15041" xr:uid="{00000000-0005-0000-0000-000058370000}"/>
    <cellStyle name="Normal 5 2 3 2" xfId="15042" xr:uid="{00000000-0005-0000-0000-000059370000}"/>
    <cellStyle name="Normal 5 2 3 2 2" xfId="15043" xr:uid="{00000000-0005-0000-0000-00005A370000}"/>
    <cellStyle name="Normal 5 2 3 2 2 2" xfId="15044" xr:uid="{00000000-0005-0000-0000-00005B370000}"/>
    <cellStyle name="Normal 5 2 3 2 2 2 2" xfId="15045" xr:uid="{00000000-0005-0000-0000-00005C370000}"/>
    <cellStyle name="Normal 5 2 3 2 2 2 2 2" xfId="15046" xr:uid="{00000000-0005-0000-0000-00005D370000}"/>
    <cellStyle name="Normal 5 2 3 2 2 2 2 3" xfId="15047" xr:uid="{00000000-0005-0000-0000-00005E370000}"/>
    <cellStyle name="Normal 5 2 3 2 2 2 3" xfId="15048" xr:uid="{00000000-0005-0000-0000-00005F370000}"/>
    <cellStyle name="Normal 5 2 3 2 2 2 4" xfId="15049" xr:uid="{00000000-0005-0000-0000-000060370000}"/>
    <cellStyle name="Normal 5 2 3 2 2 2 5" xfId="15050" xr:uid="{00000000-0005-0000-0000-000061370000}"/>
    <cellStyle name="Normal 5 2 3 2 2 2 6" xfId="15051" xr:uid="{00000000-0005-0000-0000-000062370000}"/>
    <cellStyle name="Normal 5 2 3 2 2 3" xfId="15052" xr:uid="{00000000-0005-0000-0000-000063370000}"/>
    <cellStyle name="Normal 5 2 3 2 2 3 2" xfId="15053" xr:uid="{00000000-0005-0000-0000-000064370000}"/>
    <cellStyle name="Normal 5 2 3 2 2 3 2 2" xfId="15054" xr:uid="{00000000-0005-0000-0000-000065370000}"/>
    <cellStyle name="Normal 5 2 3 2 2 3 2 3" xfId="15055" xr:uid="{00000000-0005-0000-0000-000066370000}"/>
    <cellStyle name="Normal 5 2 3 2 2 3 3" xfId="15056" xr:uid="{00000000-0005-0000-0000-000067370000}"/>
    <cellStyle name="Normal 5 2 3 2 2 3 3 2" xfId="15057" xr:uid="{00000000-0005-0000-0000-000068370000}"/>
    <cellStyle name="Normal 5 2 3 2 2 3 4" xfId="15058" xr:uid="{00000000-0005-0000-0000-000069370000}"/>
    <cellStyle name="Normal 5 2 3 2 2 4" xfId="15059" xr:uid="{00000000-0005-0000-0000-00006A370000}"/>
    <cellStyle name="Normal 5 2 3 2 2 4 2" xfId="15060" xr:uid="{00000000-0005-0000-0000-00006B370000}"/>
    <cellStyle name="Normal 5 2 3 2 2 4 3" xfId="15061" xr:uid="{00000000-0005-0000-0000-00006C370000}"/>
    <cellStyle name="Normal 5 2 3 2 2 5" xfId="15062" xr:uid="{00000000-0005-0000-0000-00006D370000}"/>
    <cellStyle name="Normal 5 2 3 2 2 6" xfId="15063" xr:uid="{00000000-0005-0000-0000-00006E370000}"/>
    <cellStyle name="Normal 5 2 3 2 2 7" xfId="15064" xr:uid="{00000000-0005-0000-0000-00006F370000}"/>
    <cellStyle name="Normal 5 2 3 2 2 8" xfId="15065" xr:uid="{00000000-0005-0000-0000-000070370000}"/>
    <cellStyle name="Normal 5 2 3 2 3" xfId="15066" xr:uid="{00000000-0005-0000-0000-000071370000}"/>
    <cellStyle name="Normal 5 2 3 2 3 2" xfId="15067" xr:uid="{00000000-0005-0000-0000-000072370000}"/>
    <cellStyle name="Normal 5 2 3 2 3 2 2" xfId="15068" xr:uid="{00000000-0005-0000-0000-000073370000}"/>
    <cellStyle name="Normal 5 2 3 2 3 2 3" xfId="15069" xr:uid="{00000000-0005-0000-0000-000074370000}"/>
    <cellStyle name="Normal 5 2 3 2 3 2 4" xfId="15070" xr:uid="{00000000-0005-0000-0000-000075370000}"/>
    <cellStyle name="Normal 5 2 3 2 3 3" xfId="15071" xr:uid="{00000000-0005-0000-0000-000076370000}"/>
    <cellStyle name="Normal 5 2 3 2 3 4" xfId="15072" xr:uid="{00000000-0005-0000-0000-000077370000}"/>
    <cellStyle name="Normal 5 2 3 2 3 5" xfId="15073" xr:uid="{00000000-0005-0000-0000-000078370000}"/>
    <cellStyle name="Normal 5 2 3 2 3 6" xfId="15074" xr:uid="{00000000-0005-0000-0000-000079370000}"/>
    <cellStyle name="Normal 5 2 3 2 4" xfId="15075" xr:uid="{00000000-0005-0000-0000-00007A370000}"/>
    <cellStyle name="Normal 5 2 3 2 4 2" xfId="15076" xr:uid="{00000000-0005-0000-0000-00007B370000}"/>
    <cellStyle name="Normal 5 2 3 2 4 2 2" xfId="15077" xr:uid="{00000000-0005-0000-0000-00007C370000}"/>
    <cellStyle name="Normal 5 2 3 2 4 2 3" xfId="15078" xr:uid="{00000000-0005-0000-0000-00007D370000}"/>
    <cellStyle name="Normal 5 2 3 2 4 3" xfId="15079" xr:uid="{00000000-0005-0000-0000-00007E370000}"/>
    <cellStyle name="Normal 5 2 3 2 4 4" xfId="15080" xr:uid="{00000000-0005-0000-0000-00007F370000}"/>
    <cellStyle name="Normal 5 2 3 2 4 5" xfId="15081" xr:uid="{00000000-0005-0000-0000-000080370000}"/>
    <cellStyle name="Normal 5 2 3 2 4 6" xfId="15082" xr:uid="{00000000-0005-0000-0000-000081370000}"/>
    <cellStyle name="Normal 5 2 3 2 5" xfId="15083" xr:uid="{00000000-0005-0000-0000-000082370000}"/>
    <cellStyle name="Normal 5 2 3 2 5 2" xfId="15084" xr:uid="{00000000-0005-0000-0000-000083370000}"/>
    <cellStyle name="Normal 5 2 3 2 5 3" xfId="15085" xr:uid="{00000000-0005-0000-0000-000084370000}"/>
    <cellStyle name="Normal 5 2 3 2 6" xfId="15086" xr:uid="{00000000-0005-0000-0000-000085370000}"/>
    <cellStyle name="Normal 5 2 3 2 7" xfId="15087" xr:uid="{00000000-0005-0000-0000-000086370000}"/>
    <cellStyle name="Normal 5 2 3 2 8" xfId="15088" xr:uid="{00000000-0005-0000-0000-000087370000}"/>
    <cellStyle name="Normal 5 2 3 2 9" xfId="15089" xr:uid="{00000000-0005-0000-0000-000088370000}"/>
    <cellStyle name="Normal 5 2 3 3" xfId="15090" xr:uid="{00000000-0005-0000-0000-000089370000}"/>
    <cellStyle name="Normal 5 2 3 3 2" xfId="15091" xr:uid="{00000000-0005-0000-0000-00008A370000}"/>
    <cellStyle name="Normal 5 2 3 3 2 2" xfId="15092" xr:uid="{00000000-0005-0000-0000-00008B370000}"/>
    <cellStyle name="Normal 5 2 3 3 2 2 2" xfId="15093" xr:uid="{00000000-0005-0000-0000-00008C370000}"/>
    <cellStyle name="Normal 5 2 3 3 2 2 3" xfId="15094" xr:uid="{00000000-0005-0000-0000-00008D370000}"/>
    <cellStyle name="Normal 5 2 3 3 2 2 4" xfId="15095" xr:uid="{00000000-0005-0000-0000-00008E370000}"/>
    <cellStyle name="Normal 5 2 3 3 2 3" xfId="15096" xr:uid="{00000000-0005-0000-0000-00008F370000}"/>
    <cellStyle name="Normal 5 2 3 3 2 4" xfId="15097" xr:uid="{00000000-0005-0000-0000-000090370000}"/>
    <cellStyle name="Normal 5 2 3 3 2 5" xfId="15098" xr:uid="{00000000-0005-0000-0000-000091370000}"/>
    <cellStyle name="Normal 5 2 3 3 2 6" xfId="15099" xr:uid="{00000000-0005-0000-0000-000092370000}"/>
    <cellStyle name="Normal 5 2 3 3 3" xfId="15100" xr:uid="{00000000-0005-0000-0000-000093370000}"/>
    <cellStyle name="Normal 5 2 3 3 3 2" xfId="15101" xr:uid="{00000000-0005-0000-0000-000094370000}"/>
    <cellStyle name="Normal 5 2 3 3 3 2 2" xfId="15102" xr:uid="{00000000-0005-0000-0000-000095370000}"/>
    <cellStyle name="Normal 5 2 3 3 3 2 3" xfId="15103" xr:uid="{00000000-0005-0000-0000-000096370000}"/>
    <cellStyle name="Normal 5 2 3 3 3 3" xfId="15104" xr:uid="{00000000-0005-0000-0000-000097370000}"/>
    <cellStyle name="Normal 5 2 3 3 3 4" xfId="15105" xr:uid="{00000000-0005-0000-0000-000098370000}"/>
    <cellStyle name="Normal 5 2 3 3 3 5" xfId="15106" xr:uid="{00000000-0005-0000-0000-000099370000}"/>
    <cellStyle name="Normal 5 2 3 3 3 6" xfId="15107" xr:uid="{00000000-0005-0000-0000-00009A370000}"/>
    <cellStyle name="Normal 5 2 3 3 4" xfId="15108" xr:uid="{00000000-0005-0000-0000-00009B370000}"/>
    <cellStyle name="Normal 5 2 3 3 4 2" xfId="15109" xr:uid="{00000000-0005-0000-0000-00009C370000}"/>
    <cellStyle name="Normal 5 2 3 3 4 3" xfId="15110" xr:uid="{00000000-0005-0000-0000-00009D370000}"/>
    <cellStyle name="Normal 5 2 3 3 5" xfId="15111" xr:uid="{00000000-0005-0000-0000-00009E370000}"/>
    <cellStyle name="Normal 5 2 3 3 6" xfId="15112" xr:uid="{00000000-0005-0000-0000-00009F370000}"/>
    <cellStyle name="Normal 5 2 3 3 7" xfId="15113" xr:uid="{00000000-0005-0000-0000-0000A0370000}"/>
    <cellStyle name="Normal 5 2 3 3 8" xfId="15114" xr:uid="{00000000-0005-0000-0000-0000A1370000}"/>
    <cellStyle name="Normal 5 2 3 4" xfId="15115" xr:uid="{00000000-0005-0000-0000-0000A2370000}"/>
    <cellStyle name="Normal 5 2 3 4 2" xfId="15116" xr:uid="{00000000-0005-0000-0000-0000A3370000}"/>
    <cellStyle name="Normal 5 2 3 4 2 2" xfId="15117" xr:uid="{00000000-0005-0000-0000-0000A4370000}"/>
    <cellStyle name="Normal 5 2 3 4 3" xfId="15118" xr:uid="{00000000-0005-0000-0000-0000A5370000}"/>
    <cellStyle name="Normal 5 2 3 4 4" xfId="15119" xr:uid="{00000000-0005-0000-0000-0000A6370000}"/>
    <cellStyle name="Normal 5 2 3 4 5" xfId="15120" xr:uid="{00000000-0005-0000-0000-0000A7370000}"/>
    <cellStyle name="Normal 5 2 3 5" xfId="15121" xr:uid="{00000000-0005-0000-0000-0000A8370000}"/>
    <cellStyle name="Normal 5 2 3 5 2" xfId="15122" xr:uid="{00000000-0005-0000-0000-0000A9370000}"/>
    <cellStyle name="Normal 5 2 3 5 2 2" xfId="15123" xr:uid="{00000000-0005-0000-0000-0000AA370000}"/>
    <cellStyle name="Normal 5 2 3 5 2 3" xfId="15124" xr:uid="{00000000-0005-0000-0000-0000AB370000}"/>
    <cellStyle name="Normal 5 2 3 5 3" xfId="15125" xr:uid="{00000000-0005-0000-0000-0000AC370000}"/>
    <cellStyle name="Normal 5 2 3 5 4" xfId="15126" xr:uid="{00000000-0005-0000-0000-0000AD370000}"/>
    <cellStyle name="Normal 5 2 3 5 5" xfId="15127" xr:uid="{00000000-0005-0000-0000-0000AE370000}"/>
    <cellStyle name="Normal 5 2 3 5 6" xfId="15128" xr:uid="{00000000-0005-0000-0000-0000AF370000}"/>
    <cellStyle name="Normal 5 2 3 6" xfId="15129" xr:uid="{00000000-0005-0000-0000-0000B0370000}"/>
    <cellStyle name="Normal 5 2 3 6 2" xfId="15130" xr:uid="{00000000-0005-0000-0000-0000B1370000}"/>
    <cellStyle name="Normal 5 2 3 6 2 2" xfId="15131" xr:uid="{00000000-0005-0000-0000-0000B2370000}"/>
    <cellStyle name="Normal 5 2 3 6 2 3" xfId="15132" xr:uid="{00000000-0005-0000-0000-0000B3370000}"/>
    <cellStyle name="Normal 5 2 3 6 3" xfId="15133" xr:uid="{00000000-0005-0000-0000-0000B4370000}"/>
    <cellStyle name="Normal 5 2 3 6 4" xfId="15134" xr:uid="{00000000-0005-0000-0000-0000B5370000}"/>
    <cellStyle name="Normal 5 2 3 6 5" xfId="15135" xr:uid="{00000000-0005-0000-0000-0000B6370000}"/>
    <cellStyle name="Normal 5 2 3 6 6" xfId="15136" xr:uid="{00000000-0005-0000-0000-0000B7370000}"/>
    <cellStyle name="Normal 5 2 3 7" xfId="15137" xr:uid="{00000000-0005-0000-0000-0000B8370000}"/>
    <cellStyle name="Normal 5 2 3 7 2" xfId="15138" xr:uid="{00000000-0005-0000-0000-0000B9370000}"/>
    <cellStyle name="Normal 5 2 3 7 3" xfId="15139" xr:uid="{00000000-0005-0000-0000-0000BA370000}"/>
    <cellStyle name="Normal 5 2 3 8" xfId="15140" xr:uid="{00000000-0005-0000-0000-0000BB370000}"/>
    <cellStyle name="Normal 5 2 3 9" xfId="15141" xr:uid="{00000000-0005-0000-0000-0000BC370000}"/>
    <cellStyle name="Normal 5 2 4" xfId="2497" xr:uid="{00000000-0005-0000-0000-000087090000}"/>
    <cellStyle name="Normal 5 2 4 2" xfId="15142" xr:uid="{00000000-0005-0000-0000-0000BE370000}"/>
    <cellStyle name="Normal 5 2 4 2 2" xfId="15143" xr:uid="{00000000-0005-0000-0000-0000BF370000}"/>
    <cellStyle name="Normal 5 2 4 2 2 2" xfId="15144" xr:uid="{00000000-0005-0000-0000-0000C0370000}"/>
    <cellStyle name="Normal 5 2 4 2 2 2 2" xfId="15145" xr:uid="{00000000-0005-0000-0000-0000C1370000}"/>
    <cellStyle name="Normal 5 2 4 2 2 2 2 2" xfId="15146" xr:uid="{00000000-0005-0000-0000-0000C2370000}"/>
    <cellStyle name="Normal 5 2 4 2 2 2 2 3" xfId="15147" xr:uid="{00000000-0005-0000-0000-0000C3370000}"/>
    <cellStyle name="Normal 5 2 4 2 2 2 3" xfId="15148" xr:uid="{00000000-0005-0000-0000-0000C4370000}"/>
    <cellStyle name="Normal 5 2 4 2 2 2 3 2" xfId="15149" xr:uid="{00000000-0005-0000-0000-0000C5370000}"/>
    <cellStyle name="Normal 5 2 4 2 2 2 4" xfId="15150" xr:uid="{00000000-0005-0000-0000-0000C6370000}"/>
    <cellStyle name="Normal 5 2 4 2 2 3" xfId="15151" xr:uid="{00000000-0005-0000-0000-0000C7370000}"/>
    <cellStyle name="Normal 5 2 4 2 2 3 2" xfId="15152" xr:uid="{00000000-0005-0000-0000-0000C8370000}"/>
    <cellStyle name="Normal 5 2 4 2 2 3 3" xfId="15153" xr:uid="{00000000-0005-0000-0000-0000C9370000}"/>
    <cellStyle name="Normal 5 2 4 2 2 4" xfId="15154" xr:uid="{00000000-0005-0000-0000-0000CA370000}"/>
    <cellStyle name="Normal 5 2 4 2 2 5" xfId="15155" xr:uid="{00000000-0005-0000-0000-0000CB370000}"/>
    <cellStyle name="Normal 5 2 4 2 2 6" xfId="15156" xr:uid="{00000000-0005-0000-0000-0000CC370000}"/>
    <cellStyle name="Normal 5 2 4 2 2 7" xfId="15157" xr:uid="{00000000-0005-0000-0000-0000CD370000}"/>
    <cellStyle name="Normal 5 2 4 2 3" xfId="15158" xr:uid="{00000000-0005-0000-0000-0000CE370000}"/>
    <cellStyle name="Normal 5 2 4 2 3 2" xfId="15159" xr:uid="{00000000-0005-0000-0000-0000CF370000}"/>
    <cellStyle name="Normal 5 2 4 2 3 2 2" xfId="15160" xr:uid="{00000000-0005-0000-0000-0000D0370000}"/>
    <cellStyle name="Normal 5 2 4 2 3 2 3" xfId="15161" xr:uid="{00000000-0005-0000-0000-0000D1370000}"/>
    <cellStyle name="Normal 5 2 4 2 3 3" xfId="15162" xr:uid="{00000000-0005-0000-0000-0000D2370000}"/>
    <cellStyle name="Normal 5 2 4 2 3 3 2" xfId="15163" xr:uid="{00000000-0005-0000-0000-0000D3370000}"/>
    <cellStyle name="Normal 5 2 4 2 3 4" xfId="15164" xr:uid="{00000000-0005-0000-0000-0000D4370000}"/>
    <cellStyle name="Normal 5 2 4 2 4" xfId="15165" xr:uid="{00000000-0005-0000-0000-0000D5370000}"/>
    <cellStyle name="Normal 5 2 4 2 5" xfId="15166" xr:uid="{00000000-0005-0000-0000-0000D6370000}"/>
    <cellStyle name="Normal 5 2 4 2 6" xfId="15167" xr:uid="{00000000-0005-0000-0000-0000D7370000}"/>
    <cellStyle name="Normal 5 2 4 3" xfId="15168" xr:uid="{00000000-0005-0000-0000-0000D8370000}"/>
    <cellStyle name="Normal 5 2 4 3 2" xfId="15169" xr:uid="{00000000-0005-0000-0000-0000D9370000}"/>
    <cellStyle name="Normal 5 2 4 3 2 2" xfId="15170" xr:uid="{00000000-0005-0000-0000-0000DA370000}"/>
    <cellStyle name="Normal 5 2 4 3 2 3" xfId="15171" xr:uid="{00000000-0005-0000-0000-0000DB370000}"/>
    <cellStyle name="Normal 5 2 4 3 2 4" xfId="15172" xr:uid="{00000000-0005-0000-0000-0000DC370000}"/>
    <cellStyle name="Normal 5 2 4 3 3" xfId="15173" xr:uid="{00000000-0005-0000-0000-0000DD370000}"/>
    <cellStyle name="Normal 5 2 4 3 4" xfId="15174" xr:uid="{00000000-0005-0000-0000-0000DE370000}"/>
    <cellStyle name="Normal 5 2 4 3 5" xfId="15175" xr:uid="{00000000-0005-0000-0000-0000DF370000}"/>
    <cellStyle name="Normal 5 2 4 3 6" xfId="15176" xr:uid="{00000000-0005-0000-0000-0000E0370000}"/>
    <cellStyle name="Normal 5 2 4 4" xfId="15177" xr:uid="{00000000-0005-0000-0000-0000E1370000}"/>
    <cellStyle name="Normal 5 2 4 4 2" xfId="15178" xr:uid="{00000000-0005-0000-0000-0000E2370000}"/>
    <cellStyle name="Normal 5 2 4 4 2 2" xfId="15179" xr:uid="{00000000-0005-0000-0000-0000E3370000}"/>
    <cellStyle name="Normal 5 2 4 4 2 3" xfId="15180" xr:uid="{00000000-0005-0000-0000-0000E4370000}"/>
    <cellStyle name="Normal 5 2 4 4 3" xfId="15181" xr:uid="{00000000-0005-0000-0000-0000E5370000}"/>
    <cellStyle name="Normal 5 2 4 4 4" xfId="15182" xr:uid="{00000000-0005-0000-0000-0000E6370000}"/>
    <cellStyle name="Normal 5 2 4 4 5" xfId="15183" xr:uid="{00000000-0005-0000-0000-0000E7370000}"/>
    <cellStyle name="Normal 5 2 4 4 6" xfId="15184" xr:uid="{00000000-0005-0000-0000-0000E8370000}"/>
    <cellStyle name="Normal 5 2 4 5" xfId="15185" xr:uid="{00000000-0005-0000-0000-0000E9370000}"/>
    <cellStyle name="Normal 5 2 4 5 2" xfId="15186" xr:uid="{00000000-0005-0000-0000-0000EA370000}"/>
    <cellStyle name="Normal 5 2 4 5 3" xfId="15187" xr:uid="{00000000-0005-0000-0000-0000EB370000}"/>
    <cellStyle name="Normal 5 2 4 5 4" xfId="15188" xr:uid="{00000000-0005-0000-0000-0000EC370000}"/>
    <cellStyle name="Normal 5 2 4 6" xfId="15189" xr:uid="{00000000-0005-0000-0000-0000ED370000}"/>
    <cellStyle name="Normal 5 2 4 7" xfId="15190" xr:uid="{00000000-0005-0000-0000-0000EE370000}"/>
    <cellStyle name="Normal 5 2 4 8" xfId="15191" xr:uid="{00000000-0005-0000-0000-0000EF370000}"/>
    <cellStyle name="Normal 5 2 5" xfId="2498" xr:uid="{00000000-0005-0000-0000-000088090000}"/>
    <cellStyle name="Normal 5 2 5 2" xfId="15192" xr:uid="{00000000-0005-0000-0000-0000F1370000}"/>
    <cellStyle name="Normal 5 2 5 2 2" xfId="15193" xr:uid="{00000000-0005-0000-0000-0000F2370000}"/>
    <cellStyle name="Normal 5 2 5 2 2 2" xfId="15194" xr:uid="{00000000-0005-0000-0000-0000F3370000}"/>
    <cellStyle name="Normal 5 2 5 2 3" xfId="15195" xr:uid="{00000000-0005-0000-0000-0000F4370000}"/>
    <cellStyle name="Normal 5 2 5 2 4" xfId="15196" xr:uid="{00000000-0005-0000-0000-0000F5370000}"/>
    <cellStyle name="Normal 5 2 5 2 5" xfId="15197" xr:uid="{00000000-0005-0000-0000-0000F6370000}"/>
    <cellStyle name="Normal 5 2 5 3" xfId="15198" xr:uid="{00000000-0005-0000-0000-0000F7370000}"/>
    <cellStyle name="Normal 5 2 5 3 2" xfId="15199" xr:uid="{00000000-0005-0000-0000-0000F8370000}"/>
    <cellStyle name="Normal 5 2 5 3 2 2" xfId="15200" xr:uid="{00000000-0005-0000-0000-0000F9370000}"/>
    <cellStyle name="Normal 5 2 5 3 2 3" xfId="15201" xr:uid="{00000000-0005-0000-0000-0000FA370000}"/>
    <cellStyle name="Normal 5 2 5 3 3" xfId="15202" xr:uid="{00000000-0005-0000-0000-0000FB370000}"/>
    <cellStyle name="Normal 5 2 5 3 4" xfId="15203" xr:uid="{00000000-0005-0000-0000-0000FC370000}"/>
    <cellStyle name="Normal 5 2 5 3 5" xfId="15204" xr:uid="{00000000-0005-0000-0000-0000FD370000}"/>
    <cellStyle name="Normal 5 2 5 3 6" xfId="15205" xr:uid="{00000000-0005-0000-0000-0000FE370000}"/>
    <cellStyle name="Normal 5 2 5 4" xfId="15206" xr:uid="{00000000-0005-0000-0000-0000FF370000}"/>
    <cellStyle name="Normal 5 2 5 4 2" xfId="15207" xr:uid="{00000000-0005-0000-0000-000000380000}"/>
    <cellStyle name="Normal 5 2 5 4 2 2" xfId="15208" xr:uid="{00000000-0005-0000-0000-000001380000}"/>
    <cellStyle name="Normal 5 2 5 4 2 3" xfId="15209" xr:uid="{00000000-0005-0000-0000-000002380000}"/>
    <cellStyle name="Normal 5 2 5 4 3" xfId="15210" xr:uid="{00000000-0005-0000-0000-000003380000}"/>
    <cellStyle name="Normal 5 2 5 4 4" xfId="15211" xr:uid="{00000000-0005-0000-0000-000004380000}"/>
    <cellStyle name="Normal 5 2 5 4 5" xfId="15212" xr:uid="{00000000-0005-0000-0000-000005380000}"/>
    <cellStyle name="Normal 5 2 5 4 6" xfId="15213" xr:uid="{00000000-0005-0000-0000-000006380000}"/>
    <cellStyle name="Normal 5 2 5 5" xfId="15214" xr:uid="{00000000-0005-0000-0000-000007380000}"/>
    <cellStyle name="Normal 5 2 5 5 2" xfId="15215" xr:uid="{00000000-0005-0000-0000-000008380000}"/>
    <cellStyle name="Normal 5 2 5 5 3" xfId="15216" xr:uid="{00000000-0005-0000-0000-000009380000}"/>
    <cellStyle name="Normal 5 2 5 6" xfId="15217" xr:uid="{00000000-0005-0000-0000-00000A380000}"/>
    <cellStyle name="Normal 5 2 5 7" xfId="15218" xr:uid="{00000000-0005-0000-0000-00000B380000}"/>
    <cellStyle name="Normal 5 2 5 8" xfId="15219" xr:uid="{00000000-0005-0000-0000-00000C380000}"/>
    <cellStyle name="Normal 5 2 6" xfId="2499" xr:uid="{00000000-0005-0000-0000-000089090000}"/>
    <cellStyle name="Normal 5 2 6 2" xfId="15220" xr:uid="{00000000-0005-0000-0000-00000E380000}"/>
    <cellStyle name="Normal 5 2 6 2 2" xfId="15221" xr:uid="{00000000-0005-0000-0000-00000F380000}"/>
    <cellStyle name="Normal 5 2 6 3" xfId="15222" xr:uid="{00000000-0005-0000-0000-000010380000}"/>
    <cellStyle name="Normal 5 2 6 4" xfId="15223" xr:uid="{00000000-0005-0000-0000-000011380000}"/>
    <cellStyle name="Normal 5 2 6 5" xfId="15224" xr:uid="{00000000-0005-0000-0000-000012380000}"/>
    <cellStyle name="Normal 5 2 7" xfId="2500" xr:uid="{00000000-0005-0000-0000-00008A090000}"/>
    <cellStyle name="Normal 5 2 7 2" xfId="15225" xr:uid="{00000000-0005-0000-0000-000014380000}"/>
    <cellStyle name="Normal 5 2 7 3" xfId="15226" xr:uid="{00000000-0005-0000-0000-000015380000}"/>
    <cellStyle name="Normal 5 2 8" xfId="2501" xr:uid="{00000000-0005-0000-0000-00008B090000}"/>
    <cellStyle name="Normal 5 2 8 2" xfId="15227" xr:uid="{00000000-0005-0000-0000-000017380000}"/>
    <cellStyle name="Normal 5 2 8 3" xfId="15228" xr:uid="{00000000-0005-0000-0000-000018380000}"/>
    <cellStyle name="Normal 5 2 9" xfId="2502" xr:uid="{00000000-0005-0000-0000-00008C090000}"/>
    <cellStyle name="Normal 5 2 9 2" xfId="15229" xr:uid="{00000000-0005-0000-0000-00001A380000}"/>
    <cellStyle name="Normal 5 2 9 3" xfId="15230" xr:uid="{00000000-0005-0000-0000-00001B380000}"/>
    <cellStyle name="Normal 5 20" xfId="2503" xr:uid="{00000000-0005-0000-0000-00008D090000}"/>
    <cellStyle name="Normal 5 20 2" xfId="15231" xr:uid="{00000000-0005-0000-0000-00001D380000}"/>
    <cellStyle name="Normal 5 20 3" xfId="15232" xr:uid="{00000000-0005-0000-0000-00001E380000}"/>
    <cellStyle name="Normal 5 21" xfId="2504" xr:uid="{00000000-0005-0000-0000-00008E090000}"/>
    <cellStyle name="Normal 5 21 2" xfId="15233" xr:uid="{00000000-0005-0000-0000-000020380000}"/>
    <cellStyle name="Normal 5 21 3" xfId="15234" xr:uid="{00000000-0005-0000-0000-000021380000}"/>
    <cellStyle name="Normal 5 22" xfId="2505" xr:uid="{00000000-0005-0000-0000-00008F090000}"/>
    <cellStyle name="Normal 5 22 2" xfId="15235" xr:uid="{00000000-0005-0000-0000-000023380000}"/>
    <cellStyle name="Normal 5 22 3" xfId="15236" xr:uid="{00000000-0005-0000-0000-000024380000}"/>
    <cellStyle name="Normal 5 23" xfId="2506" xr:uid="{00000000-0005-0000-0000-000090090000}"/>
    <cellStyle name="Normal 5 23 2" xfId="15237" xr:uid="{00000000-0005-0000-0000-000026380000}"/>
    <cellStyle name="Normal 5 23 3" xfId="15238" xr:uid="{00000000-0005-0000-0000-000027380000}"/>
    <cellStyle name="Normal 5 24" xfId="2507" xr:uid="{00000000-0005-0000-0000-000091090000}"/>
    <cellStyle name="Normal 5 24 2" xfId="15240" xr:uid="{00000000-0005-0000-0000-000029380000}"/>
    <cellStyle name="Normal 5 24 3" xfId="15241" xr:uid="{00000000-0005-0000-0000-00002A380000}"/>
    <cellStyle name="Normal 5 25" xfId="15242" xr:uid="{00000000-0005-0000-0000-00002B380000}"/>
    <cellStyle name="Normal 5 25 2" xfId="15243" xr:uid="{00000000-0005-0000-0000-00002C380000}"/>
    <cellStyle name="Normal 5 25 2 2" xfId="15244" xr:uid="{00000000-0005-0000-0000-00002D380000}"/>
    <cellStyle name="Normal 5 25 2 3" xfId="15245" xr:uid="{00000000-0005-0000-0000-00002E380000}"/>
    <cellStyle name="Normal 5 25 2 4" xfId="15246" xr:uid="{00000000-0005-0000-0000-00002F380000}"/>
    <cellStyle name="Normal 5 25 3" xfId="15247" xr:uid="{00000000-0005-0000-0000-000030380000}"/>
    <cellStyle name="Normal 5 25 4" xfId="15248" xr:uid="{00000000-0005-0000-0000-000031380000}"/>
    <cellStyle name="Normal 5 25 5" xfId="15249" xr:uid="{00000000-0005-0000-0000-000032380000}"/>
    <cellStyle name="Normal 5 25 6" xfId="15250" xr:uid="{00000000-0005-0000-0000-000033380000}"/>
    <cellStyle name="Normal 5 26" xfId="15251" xr:uid="{00000000-0005-0000-0000-000034380000}"/>
    <cellStyle name="Normal 5 26 2" xfId="15252" xr:uid="{00000000-0005-0000-0000-000035380000}"/>
    <cellStyle name="Normal 5 26 2 2" xfId="15253" xr:uid="{00000000-0005-0000-0000-000036380000}"/>
    <cellStyle name="Normal 5 26 2 3" xfId="15254" xr:uid="{00000000-0005-0000-0000-000037380000}"/>
    <cellStyle name="Normal 5 26 3" xfId="15255" xr:uid="{00000000-0005-0000-0000-000038380000}"/>
    <cellStyle name="Normal 5 26 3 2" xfId="15256" xr:uid="{00000000-0005-0000-0000-000039380000}"/>
    <cellStyle name="Normal 5 26 4" xfId="15257" xr:uid="{00000000-0005-0000-0000-00003A380000}"/>
    <cellStyle name="Normal 5 27" xfId="15258" xr:uid="{00000000-0005-0000-0000-00003B380000}"/>
    <cellStyle name="Normal 5 27 2" xfId="15259" xr:uid="{00000000-0005-0000-0000-00003C380000}"/>
    <cellStyle name="Normal 5 27 3" xfId="15260" xr:uid="{00000000-0005-0000-0000-00003D380000}"/>
    <cellStyle name="Normal 5 28" xfId="15261" xr:uid="{00000000-0005-0000-0000-00003E380000}"/>
    <cellStyle name="Normal 5 28 2" xfId="15262" xr:uid="{00000000-0005-0000-0000-00003F380000}"/>
    <cellStyle name="Normal 5 29" xfId="15263" xr:uid="{00000000-0005-0000-0000-000040380000}"/>
    <cellStyle name="Normal 5 3" xfId="2508" xr:uid="{00000000-0005-0000-0000-000092090000}"/>
    <cellStyle name="Normal 5 3 2" xfId="15265" xr:uid="{00000000-0005-0000-0000-000042380000}"/>
    <cellStyle name="Normal 5 3 2 10" xfId="15266" xr:uid="{00000000-0005-0000-0000-000043380000}"/>
    <cellStyle name="Normal 5 3 2 2" xfId="15267" xr:uid="{00000000-0005-0000-0000-000044380000}"/>
    <cellStyle name="Normal 5 3 2 2 2" xfId="15268" xr:uid="{00000000-0005-0000-0000-000045380000}"/>
    <cellStyle name="Normal 5 3 2 2 2 2" xfId="15269" xr:uid="{00000000-0005-0000-0000-000046380000}"/>
    <cellStyle name="Normal 5 3 2 2 2 2 2" xfId="15270" xr:uid="{00000000-0005-0000-0000-000047380000}"/>
    <cellStyle name="Normal 5 3 2 2 2 2 2 2" xfId="15271" xr:uid="{00000000-0005-0000-0000-000048380000}"/>
    <cellStyle name="Normal 5 3 2 2 2 2 2 3" xfId="15272" xr:uid="{00000000-0005-0000-0000-000049380000}"/>
    <cellStyle name="Normal 5 3 2 2 2 2 3" xfId="15273" xr:uid="{00000000-0005-0000-0000-00004A380000}"/>
    <cellStyle name="Normal 5 3 2 2 2 2 4" xfId="15274" xr:uid="{00000000-0005-0000-0000-00004B380000}"/>
    <cellStyle name="Normal 5 3 2 2 2 2 5" xfId="15275" xr:uid="{00000000-0005-0000-0000-00004C380000}"/>
    <cellStyle name="Normal 5 3 2 2 2 2 6" xfId="15276" xr:uid="{00000000-0005-0000-0000-00004D380000}"/>
    <cellStyle name="Normal 5 3 2 2 2 3" xfId="15277" xr:uid="{00000000-0005-0000-0000-00004E380000}"/>
    <cellStyle name="Normal 5 3 2 2 2 3 2" xfId="15278" xr:uid="{00000000-0005-0000-0000-00004F380000}"/>
    <cellStyle name="Normal 5 3 2 2 2 3 2 2" xfId="15279" xr:uid="{00000000-0005-0000-0000-000050380000}"/>
    <cellStyle name="Normal 5 3 2 2 2 3 2 3" xfId="15280" xr:uid="{00000000-0005-0000-0000-000051380000}"/>
    <cellStyle name="Normal 5 3 2 2 2 3 3" xfId="15281" xr:uid="{00000000-0005-0000-0000-000052380000}"/>
    <cellStyle name="Normal 5 3 2 2 2 3 3 2" xfId="15282" xr:uid="{00000000-0005-0000-0000-000053380000}"/>
    <cellStyle name="Normal 5 3 2 2 2 3 4" xfId="15283" xr:uid="{00000000-0005-0000-0000-000054380000}"/>
    <cellStyle name="Normal 5 3 2 2 2 4" xfId="15284" xr:uid="{00000000-0005-0000-0000-000055380000}"/>
    <cellStyle name="Normal 5 3 2 2 2 4 2" xfId="15285" xr:uid="{00000000-0005-0000-0000-000056380000}"/>
    <cellStyle name="Normal 5 3 2 2 2 4 3" xfId="15286" xr:uid="{00000000-0005-0000-0000-000057380000}"/>
    <cellStyle name="Normal 5 3 2 2 2 5" xfId="15287" xr:uid="{00000000-0005-0000-0000-000058380000}"/>
    <cellStyle name="Normal 5 3 2 2 2 6" xfId="15288" xr:uid="{00000000-0005-0000-0000-000059380000}"/>
    <cellStyle name="Normal 5 3 2 2 2 7" xfId="15289" xr:uid="{00000000-0005-0000-0000-00005A380000}"/>
    <cellStyle name="Normal 5 3 2 2 2 8" xfId="15290" xr:uid="{00000000-0005-0000-0000-00005B380000}"/>
    <cellStyle name="Normal 5 3 2 2 3" xfId="15291" xr:uid="{00000000-0005-0000-0000-00005C380000}"/>
    <cellStyle name="Normal 5 3 2 2 3 2" xfId="15292" xr:uid="{00000000-0005-0000-0000-00005D380000}"/>
    <cellStyle name="Normal 5 3 2 2 3 2 2" xfId="15293" xr:uid="{00000000-0005-0000-0000-00005E380000}"/>
    <cellStyle name="Normal 5 3 2 2 3 2 3" xfId="15294" xr:uid="{00000000-0005-0000-0000-00005F380000}"/>
    <cellStyle name="Normal 5 3 2 2 3 3" xfId="15295" xr:uid="{00000000-0005-0000-0000-000060380000}"/>
    <cellStyle name="Normal 5 3 2 2 3 4" xfId="15296" xr:uid="{00000000-0005-0000-0000-000061380000}"/>
    <cellStyle name="Normal 5 3 2 2 3 5" xfId="15297" xr:uid="{00000000-0005-0000-0000-000062380000}"/>
    <cellStyle name="Normal 5 3 2 2 3 6" xfId="15298" xr:uid="{00000000-0005-0000-0000-000063380000}"/>
    <cellStyle name="Normal 5 3 2 2 4" xfId="15299" xr:uid="{00000000-0005-0000-0000-000064380000}"/>
    <cellStyle name="Normal 5 3 2 2 4 2" xfId="15300" xr:uid="{00000000-0005-0000-0000-000065380000}"/>
    <cellStyle name="Normal 5 3 2 2 4 2 2" xfId="15301" xr:uid="{00000000-0005-0000-0000-000066380000}"/>
    <cellStyle name="Normal 5 3 2 2 4 2 3" xfId="15302" xr:uid="{00000000-0005-0000-0000-000067380000}"/>
    <cellStyle name="Normal 5 3 2 2 4 3" xfId="15303" xr:uid="{00000000-0005-0000-0000-000068380000}"/>
    <cellStyle name="Normal 5 3 2 2 4 3 2" xfId="15304" xr:uid="{00000000-0005-0000-0000-000069380000}"/>
    <cellStyle name="Normal 5 3 2 2 4 4" xfId="15305" xr:uid="{00000000-0005-0000-0000-00006A380000}"/>
    <cellStyle name="Normal 5 3 2 2 5" xfId="15306" xr:uid="{00000000-0005-0000-0000-00006B380000}"/>
    <cellStyle name="Normal 5 3 2 2 5 2" xfId="15307" xr:uid="{00000000-0005-0000-0000-00006C380000}"/>
    <cellStyle name="Normal 5 3 2 2 5 3" xfId="15308" xr:uid="{00000000-0005-0000-0000-00006D380000}"/>
    <cellStyle name="Normal 5 3 2 2 6" xfId="15309" xr:uid="{00000000-0005-0000-0000-00006E380000}"/>
    <cellStyle name="Normal 5 3 2 2 7" xfId="15310" xr:uid="{00000000-0005-0000-0000-00006F380000}"/>
    <cellStyle name="Normal 5 3 2 2 8" xfId="15311" xr:uid="{00000000-0005-0000-0000-000070380000}"/>
    <cellStyle name="Normal 5 3 2 2 9" xfId="15312" xr:uid="{00000000-0005-0000-0000-000071380000}"/>
    <cellStyle name="Normal 5 3 2 3" xfId="15313" xr:uid="{00000000-0005-0000-0000-000072380000}"/>
    <cellStyle name="Normal 5 3 2 3 2" xfId="15314" xr:uid="{00000000-0005-0000-0000-000073380000}"/>
    <cellStyle name="Normal 5 3 2 3 2 2" xfId="15315" xr:uid="{00000000-0005-0000-0000-000074380000}"/>
    <cellStyle name="Normal 5 3 2 3 2 2 2" xfId="15316" xr:uid="{00000000-0005-0000-0000-000075380000}"/>
    <cellStyle name="Normal 5 3 2 3 2 2 3" xfId="15317" xr:uid="{00000000-0005-0000-0000-000076380000}"/>
    <cellStyle name="Normal 5 3 2 3 2 3" xfId="15318" xr:uid="{00000000-0005-0000-0000-000077380000}"/>
    <cellStyle name="Normal 5 3 2 3 2 4" xfId="15319" xr:uid="{00000000-0005-0000-0000-000078380000}"/>
    <cellStyle name="Normal 5 3 2 3 2 5" xfId="15320" xr:uid="{00000000-0005-0000-0000-000079380000}"/>
    <cellStyle name="Normal 5 3 2 3 2 6" xfId="15321" xr:uid="{00000000-0005-0000-0000-00007A380000}"/>
    <cellStyle name="Normal 5 3 2 3 3" xfId="15322" xr:uid="{00000000-0005-0000-0000-00007B380000}"/>
    <cellStyle name="Normal 5 3 2 3 3 2" xfId="15323" xr:uid="{00000000-0005-0000-0000-00007C380000}"/>
    <cellStyle name="Normal 5 3 2 3 3 2 2" xfId="15324" xr:uid="{00000000-0005-0000-0000-00007D380000}"/>
    <cellStyle name="Normal 5 3 2 3 3 2 3" xfId="15325" xr:uid="{00000000-0005-0000-0000-00007E380000}"/>
    <cellStyle name="Normal 5 3 2 3 3 3" xfId="15326" xr:uid="{00000000-0005-0000-0000-00007F380000}"/>
    <cellStyle name="Normal 5 3 2 3 3 3 2" xfId="15327" xr:uid="{00000000-0005-0000-0000-000080380000}"/>
    <cellStyle name="Normal 5 3 2 3 3 4" xfId="15328" xr:uid="{00000000-0005-0000-0000-000081380000}"/>
    <cellStyle name="Normal 5 3 2 3 4" xfId="15329" xr:uid="{00000000-0005-0000-0000-000082380000}"/>
    <cellStyle name="Normal 5 3 2 3 4 2" xfId="15330" xr:uid="{00000000-0005-0000-0000-000083380000}"/>
    <cellStyle name="Normal 5 3 2 3 4 3" xfId="15331" xr:uid="{00000000-0005-0000-0000-000084380000}"/>
    <cellStyle name="Normal 5 3 2 3 5" xfId="15332" xr:uid="{00000000-0005-0000-0000-000085380000}"/>
    <cellStyle name="Normal 5 3 2 3 6" xfId="15333" xr:uid="{00000000-0005-0000-0000-000086380000}"/>
    <cellStyle name="Normal 5 3 2 3 7" xfId="15334" xr:uid="{00000000-0005-0000-0000-000087380000}"/>
    <cellStyle name="Normal 5 3 2 3 8" xfId="15335" xr:uid="{00000000-0005-0000-0000-000088380000}"/>
    <cellStyle name="Normal 5 3 2 4" xfId="15336" xr:uid="{00000000-0005-0000-0000-000089380000}"/>
    <cellStyle name="Normal 5 3 2 4 2" xfId="15337" xr:uid="{00000000-0005-0000-0000-00008A380000}"/>
    <cellStyle name="Normal 5 3 2 4 2 2" xfId="15338" xr:uid="{00000000-0005-0000-0000-00008B380000}"/>
    <cellStyle name="Normal 5 3 2 4 2 3" xfId="15339" xr:uid="{00000000-0005-0000-0000-00008C380000}"/>
    <cellStyle name="Normal 5 3 2 4 2 4" xfId="15340" xr:uid="{00000000-0005-0000-0000-00008D380000}"/>
    <cellStyle name="Normal 5 3 2 4 3" xfId="15341" xr:uid="{00000000-0005-0000-0000-00008E380000}"/>
    <cellStyle name="Normal 5 3 2 4 4" xfId="15342" xr:uid="{00000000-0005-0000-0000-00008F380000}"/>
    <cellStyle name="Normal 5 3 2 4 5" xfId="15343" xr:uid="{00000000-0005-0000-0000-000090380000}"/>
    <cellStyle name="Normal 5 3 2 4 6" xfId="15344" xr:uid="{00000000-0005-0000-0000-000091380000}"/>
    <cellStyle name="Normal 5 3 2 5" xfId="15345" xr:uid="{00000000-0005-0000-0000-000092380000}"/>
    <cellStyle name="Normal 5 3 2 5 2" xfId="15346" xr:uid="{00000000-0005-0000-0000-000093380000}"/>
    <cellStyle name="Normal 5 3 2 5 2 2" xfId="15347" xr:uid="{00000000-0005-0000-0000-000094380000}"/>
    <cellStyle name="Normal 5 3 2 5 2 3" xfId="15348" xr:uid="{00000000-0005-0000-0000-000095380000}"/>
    <cellStyle name="Normal 5 3 2 5 3" xfId="15349" xr:uid="{00000000-0005-0000-0000-000096380000}"/>
    <cellStyle name="Normal 5 3 2 5 4" xfId="15350" xr:uid="{00000000-0005-0000-0000-000097380000}"/>
    <cellStyle name="Normal 5 3 2 5 5" xfId="15351" xr:uid="{00000000-0005-0000-0000-000098380000}"/>
    <cellStyle name="Normal 5 3 2 5 6" xfId="15352" xr:uid="{00000000-0005-0000-0000-000099380000}"/>
    <cellStyle name="Normal 5 3 2 6" xfId="15353" xr:uid="{00000000-0005-0000-0000-00009A380000}"/>
    <cellStyle name="Normal 5 3 2 6 2" xfId="15354" xr:uid="{00000000-0005-0000-0000-00009B380000}"/>
    <cellStyle name="Normal 5 3 2 6 3" xfId="15355" xr:uid="{00000000-0005-0000-0000-00009C380000}"/>
    <cellStyle name="Normal 5 3 2 7" xfId="15356" xr:uid="{00000000-0005-0000-0000-00009D380000}"/>
    <cellStyle name="Normal 5 3 2 8" xfId="15357" xr:uid="{00000000-0005-0000-0000-00009E380000}"/>
    <cellStyle name="Normal 5 3 2 9" xfId="15358" xr:uid="{00000000-0005-0000-0000-00009F380000}"/>
    <cellStyle name="Normal 5 3 3" xfId="15359" xr:uid="{00000000-0005-0000-0000-0000A0380000}"/>
    <cellStyle name="Normal 5 3 3 2" xfId="15360" xr:uid="{00000000-0005-0000-0000-0000A1380000}"/>
    <cellStyle name="Normal 5 3 3 2 2" xfId="15361" xr:uid="{00000000-0005-0000-0000-0000A2380000}"/>
    <cellStyle name="Normal 5 3 3 2 2 2" xfId="15362" xr:uid="{00000000-0005-0000-0000-0000A3380000}"/>
    <cellStyle name="Normal 5 3 3 2 2 2 2" xfId="15363" xr:uid="{00000000-0005-0000-0000-0000A4380000}"/>
    <cellStyle name="Normal 5 3 3 2 2 2 3" xfId="15364" xr:uid="{00000000-0005-0000-0000-0000A5380000}"/>
    <cellStyle name="Normal 5 3 3 2 2 3" xfId="15365" xr:uid="{00000000-0005-0000-0000-0000A6380000}"/>
    <cellStyle name="Normal 5 3 3 2 2 4" xfId="15366" xr:uid="{00000000-0005-0000-0000-0000A7380000}"/>
    <cellStyle name="Normal 5 3 3 2 2 5" xfId="15367" xr:uid="{00000000-0005-0000-0000-0000A8380000}"/>
    <cellStyle name="Normal 5 3 3 2 2 6" xfId="15368" xr:uid="{00000000-0005-0000-0000-0000A9380000}"/>
    <cellStyle name="Normal 5 3 3 2 3" xfId="15369" xr:uid="{00000000-0005-0000-0000-0000AA380000}"/>
    <cellStyle name="Normal 5 3 3 2 3 2" xfId="15370" xr:uid="{00000000-0005-0000-0000-0000AB380000}"/>
    <cellStyle name="Normal 5 3 3 2 3 2 2" xfId="15371" xr:uid="{00000000-0005-0000-0000-0000AC380000}"/>
    <cellStyle name="Normal 5 3 3 2 3 2 3" xfId="15372" xr:uid="{00000000-0005-0000-0000-0000AD380000}"/>
    <cellStyle name="Normal 5 3 3 2 3 3" xfId="15373" xr:uid="{00000000-0005-0000-0000-0000AE380000}"/>
    <cellStyle name="Normal 5 3 3 2 3 3 2" xfId="15374" xr:uid="{00000000-0005-0000-0000-0000AF380000}"/>
    <cellStyle name="Normal 5 3 3 2 3 4" xfId="15375" xr:uid="{00000000-0005-0000-0000-0000B0380000}"/>
    <cellStyle name="Normal 5 3 3 2 4" xfId="15376" xr:uid="{00000000-0005-0000-0000-0000B1380000}"/>
    <cellStyle name="Normal 5 3 3 2 4 2" xfId="15377" xr:uid="{00000000-0005-0000-0000-0000B2380000}"/>
    <cellStyle name="Normal 5 3 3 2 4 3" xfId="15378" xr:uid="{00000000-0005-0000-0000-0000B3380000}"/>
    <cellStyle name="Normal 5 3 3 2 5" xfId="15379" xr:uid="{00000000-0005-0000-0000-0000B4380000}"/>
    <cellStyle name="Normal 5 3 3 2 6" xfId="15380" xr:uid="{00000000-0005-0000-0000-0000B5380000}"/>
    <cellStyle name="Normal 5 3 3 2 7" xfId="15381" xr:uid="{00000000-0005-0000-0000-0000B6380000}"/>
    <cellStyle name="Normal 5 3 3 2 8" xfId="15382" xr:uid="{00000000-0005-0000-0000-0000B7380000}"/>
    <cellStyle name="Normal 5 3 3 3" xfId="15383" xr:uid="{00000000-0005-0000-0000-0000B8380000}"/>
    <cellStyle name="Normal 5 3 3 3 2" xfId="15384" xr:uid="{00000000-0005-0000-0000-0000B9380000}"/>
    <cellStyle name="Normal 5 3 3 3 2 2" xfId="15385" xr:uid="{00000000-0005-0000-0000-0000BA380000}"/>
    <cellStyle name="Normal 5 3 3 3 2 3" xfId="15386" xr:uid="{00000000-0005-0000-0000-0000BB380000}"/>
    <cellStyle name="Normal 5 3 3 3 3" xfId="15387" xr:uid="{00000000-0005-0000-0000-0000BC380000}"/>
    <cellStyle name="Normal 5 3 3 3 4" xfId="15388" xr:uid="{00000000-0005-0000-0000-0000BD380000}"/>
    <cellStyle name="Normal 5 3 3 3 5" xfId="15389" xr:uid="{00000000-0005-0000-0000-0000BE380000}"/>
    <cellStyle name="Normal 5 3 3 3 6" xfId="15390" xr:uid="{00000000-0005-0000-0000-0000BF380000}"/>
    <cellStyle name="Normal 5 3 3 4" xfId="15391" xr:uid="{00000000-0005-0000-0000-0000C0380000}"/>
    <cellStyle name="Normal 5 3 3 4 2" xfId="15392" xr:uid="{00000000-0005-0000-0000-0000C1380000}"/>
    <cellStyle name="Normal 5 3 3 4 2 2" xfId="15393" xr:uid="{00000000-0005-0000-0000-0000C2380000}"/>
    <cellStyle name="Normal 5 3 3 4 2 3" xfId="15394" xr:uid="{00000000-0005-0000-0000-0000C3380000}"/>
    <cellStyle name="Normal 5 3 3 4 3" xfId="15395" xr:uid="{00000000-0005-0000-0000-0000C4380000}"/>
    <cellStyle name="Normal 5 3 3 4 3 2" xfId="15396" xr:uid="{00000000-0005-0000-0000-0000C5380000}"/>
    <cellStyle name="Normal 5 3 3 4 4" xfId="15397" xr:uid="{00000000-0005-0000-0000-0000C6380000}"/>
    <cellStyle name="Normal 5 3 3 5" xfId="15398" xr:uid="{00000000-0005-0000-0000-0000C7380000}"/>
    <cellStyle name="Normal 5 3 3 5 2" xfId="15399" xr:uid="{00000000-0005-0000-0000-0000C8380000}"/>
    <cellStyle name="Normal 5 3 3 5 3" xfId="15400" xr:uid="{00000000-0005-0000-0000-0000C9380000}"/>
    <cellStyle name="Normal 5 3 3 6" xfId="15401" xr:uid="{00000000-0005-0000-0000-0000CA380000}"/>
    <cellStyle name="Normal 5 3 3 7" xfId="15402" xr:uid="{00000000-0005-0000-0000-0000CB380000}"/>
    <cellStyle name="Normal 5 3 3 8" xfId="15403" xr:uid="{00000000-0005-0000-0000-0000CC380000}"/>
    <cellStyle name="Normal 5 3 3 9" xfId="15404" xr:uid="{00000000-0005-0000-0000-0000CD380000}"/>
    <cellStyle name="Normal 5 3 4" xfId="15405" xr:uid="{00000000-0005-0000-0000-0000CE380000}"/>
    <cellStyle name="Normal 5 3 4 2" xfId="15406" xr:uid="{00000000-0005-0000-0000-0000CF380000}"/>
    <cellStyle name="Normal 5 3 4 2 2" xfId="15407" xr:uid="{00000000-0005-0000-0000-0000D0380000}"/>
    <cellStyle name="Normal 5 3 4 2 2 2" xfId="15408" xr:uid="{00000000-0005-0000-0000-0000D1380000}"/>
    <cellStyle name="Normal 5 3 4 2 2 3" xfId="15409" xr:uid="{00000000-0005-0000-0000-0000D2380000}"/>
    <cellStyle name="Normal 5 3 4 2 3" xfId="15410" xr:uid="{00000000-0005-0000-0000-0000D3380000}"/>
    <cellStyle name="Normal 5 3 4 2 4" xfId="15411" xr:uid="{00000000-0005-0000-0000-0000D4380000}"/>
    <cellStyle name="Normal 5 3 4 2 5" xfId="15412" xr:uid="{00000000-0005-0000-0000-0000D5380000}"/>
    <cellStyle name="Normal 5 3 4 2 6" xfId="15413" xr:uid="{00000000-0005-0000-0000-0000D6380000}"/>
    <cellStyle name="Normal 5 3 4 3" xfId="15414" xr:uid="{00000000-0005-0000-0000-0000D7380000}"/>
    <cellStyle name="Normal 5 3 4 3 2" xfId="15415" xr:uid="{00000000-0005-0000-0000-0000D8380000}"/>
    <cellStyle name="Normal 5 3 4 3 2 2" xfId="15416" xr:uid="{00000000-0005-0000-0000-0000D9380000}"/>
    <cellStyle name="Normal 5 3 4 3 2 3" xfId="15417" xr:uid="{00000000-0005-0000-0000-0000DA380000}"/>
    <cellStyle name="Normal 5 3 4 3 3" xfId="15418" xr:uid="{00000000-0005-0000-0000-0000DB380000}"/>
    <cellStyle name="Normal 5 3 4 3 3 2" xfId="15419" xr:uid="{00000000-0005-0000-0000-0000DC380000}"/>
    <cellStyle name="Normal 5 3 4 3 4" xfId="15420" xr:uid="{00000000-0005-0000-0000-0000DD380000}"/>
    <cellStyle name="Normal 5 3 4 4" xfId="15421" xr:uid="{00000000-0005-0000-0000-0000DE380000}"/>
    <cellStyle name="Normal 5 3 4 4 2" xfId="15422" xr:uid="{00000000-0005-0000-0000-0000DF380000}"/>
    <cellStyle name="Normal 5 3 4 4 3" xfId="15423" xr:uid="{00000000-0005-0000-0000-0000E0380000}"/>
    <cellStyle name="Normal 5 3 4 5" xfId="15424" xr:uid="{00000000-0005-0000-0000-0000E1380000}"/>
    <cellStyle name="Normal 5 3 4 6" xfId="15425" xr:uid="{00000000-0005-0000-0000-0000E2380000}"/>
    <cellStyle name="Normal 5 3 4 7" xfId="15426" xr:uid="{00000000-0005-0000-0000-0000E3380000}"/>
    <cellStyle name="Normal 5 3 4 8" xfId="15427" xr:uid="{00000000-0005-0000-0000-0000E4380000}"/>
    <cellStyle name="Normal 5 3 5" xfId="15428" xr:uid="{00000000-0005-0000-0000-0000E5380000}"/>
    <cellStyle name="Normal 5 3 5 2" xfId="15429" xr:uid="{00000000-0005-0000-0000-0000E6380000}"/>
    <cellStyle name="Normal 5 3 5 2 2" xfId="15430" xr:uid="{00000000-0005-0000-0000-0000E7380000}"/>
    <cellStyle name="Normal 5 3 5 2 3" xfId="15431" xr:uid="{00000000-0005-0000-0000-0000E8380000}"/>
    <cellStyle name="Normal 5 3 5 3" xfId="15432" xr:uid="{00000000-0005-0000-0000-0000E9380000}"/>
    <cellStyle name="Normal 5 3 5 3 2" xfId="15433" xr:uid="{00000000-0005-0000-0000-0000EA380000}"/>
    <cellStyle name="Normal 5 3 5 4" xfId="15434" xr:uid="{00000000-0005-0000-0000-0000EB380000}"/>
    <cellStyle name="Normal 5 3 6" xfId="15435" xr:uid="{00000000-0005-0000-0000-0000EC380000}"/>
    <cellStyle name="Normal 5 3 7" xfId="15436" xr:uid="{00000000-0005-0000-0000-0000ED380000}"/>
    <cellStyle name="Normal 5 30" xfId="15437" xr:uid="{00000000-0005-0000-0000-0000EE380000}"/>
    <cellStyle name="Normal 5 31" xfId="5340" xr:uid="{00000000-0005-0000-0000-000016360000}"/>
    <cellStyle name="Normal 5 4" xfId="2509" xr:uid="{00000000-0005-0000-0000-000093090000}"/>
    <cellStyle name="Normal 5 4 10" xfId="15438" xr:uid="{00000000-0005-0000-0000-0000F0380000}"/>
    <cellStyle name="Normal 5 4 2" xfId="15439" xr:uid="{00000000-0005-0000-0000-0000F1380000}"/>
    <cellStyle name="Normal 5 4 2 2" xfId="15440" xr:uid="{00000000-0005-0000-0000-0000F2380000}"/>
    <cellStyle name="Normal 5 4 2 2 2" xfId="15441" xr:uid="{00000000-0005-0000-0000-0000F3380000}"/>
    <cellStyle name="Normal 5 4 2 2 2 2" xfId="15442" xr:uid="{00000000-0005-0000-0000-0000F4380000}"/>
    <cellStyle name="Normal 5 4 2 2 2 2 2" xfId="15443" xr:uid="{00000000-0005-0000-0000-0000F5380000}"/>
    <cellStyle name="Normal 5 4 2 2 2 2 3" xfId="15444" xr:uid="{00000000-0005-0000-0000-0000F6380000}"/>
    <cellStyle name="Normal 5 4 2 2 2 3" xfId="15445" xr:uid="{00000000-0005-0000-0000-0000F7380000}"/>
    <cellStyle name="Normal 5 4 2 2 2 4" xfId="15446" xr:uid="{00000000-0005-0000-0000-0000F8380000}"/>
    <cellStyle name="Normal 5 4 2 2 2 5" xfId="15447" xr:uid="{00000000-0005-0000-0000-0000F9380000}"/>
    <cellStyle name="Normal 5 4 2 2 2 6" xfId="15448" xr:uid="{00000000-0005-0000-0000-0000FA380000}"/>
    <cellStyle name="Normal 5 4 2 2 3" xfId="15449" xr:uid="{00000000-0005-0000-0000-0000FB380000}"/>
    <cellStyle name="Normal 5 4 2 2 3 2" xfId="15450" xr:uid="{00000000-0005-0000-0000-0000FC380000}"/>
    <cellStyle name="Normal 5 4 2 2 3 2 2" xfId="15451" xr:uid="{00000000-0005-0000-0000-0000FD380000}"/>
    <cellStyle name="Normal 5 4 2 2 3 2 3" xfId="15452" xr:uid="{00000000-0005-0000-0000-0000FE380000}"/>
    <cellStyle name="Normal 5 4 2 2 3 3" xfId="15453" xr:uid="{00000000-0005-0000-0000-0000FF380000}"/>
    <cellStyle name="Normal 5 4 2 2 3 3 2" xfId="15454" xr:uid="{00000000-0005-0000-0000-000000390000}"/>
    <cellStyle name="Normal 5 4 2 2 3 4" xfId="15455" xr:uid="{00000000-0005-0000-0000-000001390000}"/>
    <cellStyle name="Normal 5 4 2 2 4" xfId="15456" xr:uid="{00000000-0005-0000-0000-000002390000}"/>
    <cellStyle name="Normal 5 4 2 2 4 2" xfId="15457" xr:uid="{00000000-0005-0000-0000-000003390000}"/>
    <cellStyle name="Normal 5 4 2 2 4 3" xfId="15458" xr:uid="{00000000-0005-0000-0000-000004390000}"/>
    <cellStyle name="Normal 5 4 2 2 5" xfId="15459" xr:uid="{00000000-0005-0000-0000-000005390000}"/>
    <cellStyle name="Normal 5 4 2 2 6" xfId="15460" xr:uid="{00000000-0005-0000-0000-000006390000}"/>
    <cellStyle name="Normal 5 4 2 2 7" xfId="15461" xr:uid="{00000000-0005-0000-0000-000007390000}"/>
    <cellStyle name="Normal 5 4 2 2 8" xfId="15462" xr:uid="{00000000-0005-0000-0000-000008390000}"/>
    <cellStyle name="Normal 5 4 2 3" xfId="15463" xr:uid="{00000000-0005-0000-0000-000009390000}"/>
    <cellStyle name="Normal 5 4 2 3 2" xfId="15464" xr:uid="{00000000-0005-0000-0000-00000A390000}"/>
    <cellStyle name="Normal 5 4 2 3 2 2" xfId="15465" xr:uid="{00000000-0005-0000-0000-00000B390000}"/>
    <cellStyle name="Normal 5 4 2 3 2 3" xfId="15466" xr:uid="{00000000-0005-0000-0000-00000C390000}"/>
    <cellStyle name="Normal 5 4 2 3 2 4" xfId="15467" xr:uid="{00000000-0005-0000-0000-00000D390000}"/>
    <cellStyle name="Normal 5 4 2 3 3" xfId="15468" xr:uid="{00000000-0005-0000-0000-00000E390000}"/>
    <cellStyle name="Normal 5 4 2 3 4" xfId="15469" xr:uid="{00000000-0005-0000-0000-00000F390000}"/>
    <cellStyle name="Normal 5 4 2 3 5" xfId="15470" xr:uid="{00000000-0005-0000-0000-000010390000}"/>
    <cellStyle name="Normal 5 4 2 3 6" xfId="15471" xr:uid="{00000000-0005-0000-0000-000011390000}"/>
    <cellStyle name="Normal 5 4 2 4" xfId="15472" xr:uid="{00000000-0005-0000-0000-000012390000}"/>
    <cellStyle name="Normal 5 4 2 4 2" xfId="15473" xr:uid="{00000000-0005-0000-0000-000013390000}"/>
    <cellStyle name="Normal 5 4 2 4 2 2" xfId="15474" xr:uid="{00000000-0005-0000-0000-000014390000}"/>
    <cellStyle name="Normal 5 4 2 4 2 3" xfId="15475" xr:uid="{00000000-0005-0000-0000-000015390000}"/>
    <cellStyle name="Normal 5 4 2 4 3" xfId="15476" xr:uid="{00000000-0005-0000-0000-000016390000}"/>
    <cellStyle name="Normal 5 4 2 4 4" xfId="15477" xr:uid="{00000000-0005-0000-0000-000017390000}"/>
    <cellStyle name="Normal 5 4 2 4 5" xfId="15478" xr:uid="{00000000-0005-0000-0000-000018390000}"/>
    <cellStyle name="Normal 5 4 2 4 6" xfId="15479" xr:uid="{00000000-0005-0000-0000-000019390000}"/>
    <cellStyle name="Normal 5 4 2 5" xfId="15480" xr:uid="{00000000-0005-0000-0000-00001A390000}"/>
    <cellStyle name="Normal 5 4 2 5 2" xfId="15481" xr:uid="{00000000-0005-0000-0000-00001B390000}"/>
    <cellStyle name="Normal 5 4 2 5 3" xfId="15482" xr:uid="{00000000-0005-0000-0000-00001C390000}"/>
    <cellStyle name="Normal 5 4 2 6" xfId="15483" xr:uid="{00000000-0005-0000-0000-00001D390000}"/>
    <cellStyle name="Normal 5 4 2 7" xfId="15484" xr:uid="{00000000-0005-0000-0000-00001E390000}"/>
    <cellStyle name="Normal 5 4 2 8" xfId="15485" xr:uid="{00000000-0005-0000-0000-00001F390000}"/>
    <cellStyle name="Normal 5 4 2 9" xfId="15486" xr:uid="{00000000-0005-0000-0000-000020390000}"/>
    <cellStyle name="Normal 5 4 3" xfId="15487" xr:uid="{00000000-0005-0000-0000-000021390000}"/>
    <cellStyle name="Normal 5 4 3 2" xfId="15488" xr:uid="{00000000-0005-0000-0000-000022390000}"/>
    <cellStyle name="Normal 5 4 3 2 2" xfId="15489" xr:uid="{00000000-0005-0000-0000-000023390000}"/>
    <cellStyle name="Normal 5 4 3 2 2 2" xfId="15490" xr:uid="{00000000-0005-0000-0000-000024390000}"/>
    <cellStyle name="Normal 5 4 3 2 2 3" xfId="15491" xr:uid="{00000000-0005-0000-0000-000025390000}"/>
    <cellStyle name="Normal 5 4 3 2 2 4" xfId="15492" xr:uid="{00000000-0005-0000-0000-000026390000}"/>
    <cellStyle name="Normal 5 4 3 2 3" xfId="15493" xr:uid="{00000000-0005-0000-0000-000027390000}"/>
    <cellStyle name="Normal 5 4 3 2 4" xfId="15494" xr:uid="{00000000-0005-0000-0000-000028390000}"/>
    <cellStyle name="Normal 5 4 3 2 5" xfId="15495" xr:uid="{00000000-0005-0000-0000-000029390000}"/>
    <cellStyle name="Normal 5 4 3 2 6" xfId="15496" xr:uid="{00000000-0005-0000-0000-00002A390000}"/>
    <cellStyle name="Normal 5 4 3 3" xfId="15497" xr:uid="{00000000-0005-0000-0000-00002B390000}"/>
    <cellStyle name="Normal 5 4 3 3 2" xfId="15498" xr:uid="{00000000-0005-0000-0000-00002C390000}"/>
    <cellStyle name="Normal 5 4 3 3 2 2" xfId="15499" xr:uid="{00000000-0005-0000-0000-00002D390000}"/>
    <cellStyle name="Normal 5 4 3 3 2 3" xfId="15500" xr:uid="{00000000-0005-0000-0000-00002E390000}"/>
    <cellStyle name="Normal 5 4 3 3 3" xfId="15501" xr:uid="{00000000-0005-0000-0000-00002F390000}"/>
    <cellStyle name="Normal 5 4 3 3 4" xfId="15502" xr:uid="{00000000-0005-0000-0000-000030390000}"/>
    <cellStyle name="Normal 5 4 3 3 5" xfId="15503" xr:uid="{00000000-0005-0000-0000-000031390000}"/>
    <cellStyle name="Normal 5 4 3 3 6" xfId="15504" xr:uid="{00000000-0005-0000-0000-000032390000}"/>
    <cellStyle name="Normal 5 4 3 4" xfId="15505" xr:uid="{00000000-0005-0000-0000-000033390000}"/>
    <cellStyle name="Normal 5 4 3 4 2" xfId="15506" xr:uid="{00000000-0005-0000-0000-000034390000}"/>
    <cellStyle name="Normal 5 4 3 4 3" xfId="15507" xr:uid="{00000000-0005-0000-0000-000035390000}"/>
    <cellStyle name="Normal 5 4 3 5" xfId="15508" xr:uid="{00000000-0005-0000-0000-000036390000}"/>
    <cellStyle name="Normal 5 4 3 6" xfId="15509" xr:uid="{00000000-0005-0000-0000-000037390000}"/>
    <cellStyle name="Normal 5 4 3 7" xfId="15510" xr:uid="{00000000-0005-0000-0000-000038390000}"/>
    <cellStyle name="Normal 5 4 3 8" xfId="15511" xr:uid="{00000000-0005-0000-0000-000039390000}"/>
    <cellStyle name="Normal 5 4 4" xfId="15512" xr:uid="{00000000-0005-0000-0000-00003A390000}"/>
    <cellStyle name="Normal 5 4 4 2" xfId="15513" xr:uid="{00000000-0005-0000-0000-00003B390000}"/>
    <cellStyle name="Normal 5 4 4 2 2" xfId="15514" xr:uid="{00000000-0005-0000-0000-00003C390000}"/>
    <cellStyle name="Normal 5 4 4 3" xfId="15515" xr:uid="{00000000-0005-0000-0000-00003D390000}"/>
    <cellStyle name="Normal 5 4 4 4" xfId="15516" xr:uid="{00000000-0005-0000-0000-00003E390000}"/>
    <cellStyle name="Normal 5 4 4 5" xfId="15517" xr:uid="{00000000-0005-0000-0000-00003F390000}"/>
    <cellStyle name="Normal 5 4 5" xfId="15518" xr:uid="{00000000-0005-0000-0000-000040390000}"/>
    <cellStyle name="Normal 5 4 5 2" xfId="15519" xr:uid="{00000000-0005-0000-0000-000041390000}"/>
    <cellStyle name="Normal 5 4 5 2 2" xfId="15520" xr:uid="{00000000-0005-0000-0000-000042390000}"/>
    <cellStyle name="Normal 5 4 5 2 3" xfId="15521" xr:uid="{00000000-0005-0000-0000-000043390000}"/>
    <cellStyle name="Normal 5 4 5 3" xfId="15522" xr:uid="{00000000-0005-0000-0000-000044390000}"/>
    <cellStyle name="Normal 5 4 5 4" xfId="15523" xr:uid="{00000000-0005-0000-0000-000045390000}"/>
    <cellStyle name="Normal 5 4 5 5" xfId="15524" xr:uid="{00000000-0005-0000-0000-000046390000}"/>
    <cellStyle name="Normal 5 4 5 6" xfId="15525" xr:uid="{00000000-0005-0000-0000-000047390000}"/>
    <cellStyle name="Normal 5 4 6" xfId="15526" xr:uid="{00000000-0005-0000-0000-000048390000}"/>
    <cellStyle name="Normal 5 4 6 2" xfId="15527" xr:uid="{00000000-0005-0000-0000-000049390000}"/>
    <cellStyle name="Normal 5 4 6 2 2" xfId="15528" xr:uid="{00000000-0005-0000-0000-00004A390000}"/>
    <cellStyle name="Normal 5 4 6 2 3" xfId="15529" xr:uid="{00000000-0005-0000-0000-00004B390000}"/>
    <cellStyle name="Normal 5 4 6 3" xfId="15530" xr:uid="{00000000-0005-0000-0000-00004C390000}"/>
    <cellStyle name="Normal 5 4 6 4" xfId="15531" xr:uid="{00000000-0005-0000-0000-00004D390000}"/>
    <cellStyle name="Normal 5 4 6 5" xfId="15532" xr:uid="{00000000-0005-0000-0000-00004E390000}"/>
    <cellStyle name="Normal 5 4 6 6" xfId="15533" xr:uid="{00000000-0005-0000-0000-00004F390000}"/>
    <cellStyle name="Normal 5 4 7" xfId="15534" xr:uid="{00000000-0005-0000-0000-000050390000}"/>
    <cellStyle name="Normal 5 4 7 2" xfId="15535" xr:uid="{00000000-0005-0000-0000-000051390000}"/>
    <cellStyle name="Normal 5 4 7 3" xfId="15536" xr:uid="{00000000-0005-0000-0000-000052390000}"/>
    <cellStyle name="Normal 5 4 8" xfId="15537" xr:uid="{00000000-0005-0000-0000-000053390000}"/>
    <cellStyle name="Normal 5 4 9" xfId="15538" xr:uid="{00000000-0005-0000-0000-000054390000}"/>
    <cellStyle name="Normal 5 5" xfId="2510" xr:uid="{00000000-0005-0000-0000-000094090000}"/>
    <cellStyle name="Normal 5 5 2" xfId="15539" xr:uid="{00000000-0005-0000-0000-000056390000}"/>
    <cellStyle name="Normal 5 5 2 2" xfId="15540" xr:uid="{00000000-0005-0000-0000-000057390000}"/>
    <cellStyle name="Normal 5 5 2 2 2" xfId="15541" xr:uid="{00000000-0005-0000-0000-000058390000}"/>
    <cellStyle name="Normal 5 5 2 2 2 2" xfId="15542" xr:uid="{00000000-0005-0000-0000-000059390000}"/>
    <cellStyle name="Normal 5 5 2 2 2 2 2" xfId="15543" xr:uid="{00000000-0005-0000-0000-00005A390000}"/>
    <cellStyle name="Normal 5 5 2 2 2 2 3" xfId="15544" xr:uid="{00000000-0005-0000-0000-00005B390000}"/>
    <cellStyle name="Normal 5 5 2 2 2 3" xfId="15545" xr:uid="{00000000-0005-0000-0000-00005C390000}"/>
    <cellStyle name="Normal 5 5 2 2 2 3 2" xfId="15546" xr:uid="{00000000-0005-0000-0000-00005D390000}"/>
    <cellStyle name="Normal 5 5 2 2 2 4" xfId="15547" xr:uid="{00000000-0005-0000-0000-00005E390000}"/>
    <cellStyle name="Normal 5 5 2 2 3" xfId="15548" xr:uid="{00000000-0005-0000-0000-00005F390000}"/>
    <cellStyle name="Normal 5 5 2 2 3 2" xfId="15549" xr:uid="{00000000-0005-0000-0000-000060390000}"/>
    <cellStyle name="Normal 5 5 2 2 3 3" xfId="15550" xr:uid="{00000000-0005-0000-0000-000061390000}"/>
    <cellStyle name="Normal 5 5 2 2 4" xfId="15551" xr:uid="{00000000-0005-0000-0000-000062390000}"/>
    <cellStyle name="Normal 5 5 2 2 5" xfId="15552" xr:uid="{00000000-0005-0000-0000-000063390000}"/>
    <cellStyle name="Normal 5 5 2 2 6" xfId="15553" xr:uid="{00000000-0005-0000-0000-000064390000}"/>
    <cellStyle name="Normal 5 5 2 2 7" xfId="15554" xr:uid="{00000000-0005-0000-0000-000065390000}"/>
    <cellStyle name="Normal 5 5 2 3" xfId="15555" xr:uid="{00000000-0005-0000-0000-000066390000}"/>
    <cellStyle name="Normal 5 5 2 3 2" xfId="15556" xr:uid="{00000000-0005-0000-0000-000067390000}"/>
    <cellStyle name="Normal 5 5 2 3 2 2" xfId="15557" xr:uid="{00000000-0005-0000-0000-000068390000}"/>
    <cellStyle name="Normal 5 5 2 3 2 3" xfId="15558" xr:uid="{00000000-0005-0000-0000-000069390000}"/>
    <cellStyle name="Normal 5 5 2 3 3" xfId="15559" xr:uid="{00000000-0005-0000-0000-00006A390000}"/>
    <cellStyle name="Normal 5 5 2 3 3 2" xfId="15560" xr:uid="{00000000-0005-0000-0000-00006B390000}"/>
    <cellStyle name="Normal 5 5 2 3 4" xfId="15561" xr:uid="{00000000-0005-0000-0000-00006C390000}"/>
    <cellStyle name="Normal 5 5 2 4" xfId="15562" xr:uid="{00000000-0005-0000-0000-00006D390000}"/>
    <cellStyle name="Normal 5 5 2 5" xfId="15563" xr:uid="{00000000-0005-0000-0000-00006E390000}"/>
    <cellStyle name="Normal 5 5 2 6" xfId="15564" xr:uid="{00000000-0005-0000-0000-00006F390000}"/>
    <cellStyle name="Normal 5 5 3" xfId="15565" xr:uid="{00000000-0005-0000-0000-000070390000}"/>
    <cellStyle name="Normal 5 5 3 2" xfId="15566" xr:uid="{00000000-0005-0000-0000-000071390000}"/>
    <cellStyle name="Normal 5 5 3 2 2" xfId="15567" xr:uid="{00000000-0005-0000-0000-000072390000}"/>
    <cellStyle name="Normal 5 5 3 2 3" xfId="15568" xr:uid="{00000000-0005-0000-0000-000073390000}"/>
    <cellStyle name="Normal 5 5 3 2 4" xfId="15569" xr:uid="{00000000-0005-0000-0000-000074390000}"/>
    <cellStyle name="Normal 5 5 3 3" xfId="15570" xr:uid="{00000000-0005-0000-0000-000075390000}"/>
    <cellStyle name="Normal 5 5 3 4" xfId="15571" xr:uid="{00000000-0005-0000-0000-000076390000}"/>
    <cellStyle name="Normal 5 5 3 5" xfId="15572" xr:uid="{00000000-0005-0000-0000-000077390000}"/>
    <cellStyle name="Normal 5 5 3 6" xfId="15573" xr:uid="{00000000-0005-0000-0000-000078390000}"/>
    <cellStyle name="Normal 5 5 4" xfId="15574" xr:uid="{00000000-0005-0000-0000-000079390000}"/>
    <cellStyle name="Normal 5 5 4 2" xfId="15575" xr:uid="{00000000-0005-0000-0000-00007A390000}"/>
    <cellStyle name="Normal 5 5 4 2 2" xfId="15576" xr:uid="{00000000-0005-0000-0000-00007B390000}"/>
    <cellStyle name="Normal 5 5 4 2 3" xfId="15577" xr:uid="{00000000-0005-0000-0000-00007C390000}"/>
    <cellStyle name="Normal 5 5 4 3" xfId="15578" xr:uid="{00000000-0005-0000-0000-00007D390000}"/>
    <cellStyle name="Normal 5 5 4 3 2" xfId="15579" xr:uid="{00000000-0005-0000-0000-00007E390000}"/>
    <cellStyle name="Normal 5 5 4 4" xfId="15580" xr:uid="{00000000-0005-0000-0000-00007F390000}"/>
    <cellStyle name="Normal 5 5 5" xfId="15581" xr:uid="{00000000-0005-0000-0000-000080390000}"/>
    <cellStyle name="Normal 5 5 5 2" xfId="15582" xr:uid="{00000000-0005-0000-0000-000081390000}"/>
    <cellStyle name="Normal 5 5 5 3" xfId="15583" xr:uid="{00000000-0005-0000-0000-000082390000}"/>
    <cellStyle name="Normal 5 5 6" xfId="15584" xr:uid="{00000000-0005-0000-0000-000083390000}"/>
    <cellStyle name="Normal 5 5 6 2" xfId="15585" xr:uid="{00000000-0005-0000-0000-000084390000}"/>
    <cellStyle name="Normal 5 5 6 3" xfId="15586" xr:uid="{00000000-0005-0000-0000-000085390000}"/>
    <cellStyle name="Normal 5 5 7" xfId="15587" xr:uid="{00000000-0005-0000-0000-000086390000}"/>
    <cellStyle name="Normal 5 6" xfId="2511" xr:uid="{00000000-0005-0000-0000-000095090000}"/>
    <cellStyle name="Normal 5 6 2" xfId="15588" xr:uid="{00000000-0005-0000-0000-000088390000}"/>
    <cellStyle name="Normal 5 6 2 2" xfId="15589" xr:uid="{00000000-0005-0000-0000-000089390000}"/>
    <cellStyle name="Normal 5 6 2 2 2" xfId="15590" xr:uid="{00000000-0005-0000-0000-00008A390000}"/>
    <cellStyle name="Normal 5 6 2 2 2 2" xfId="15591" xr:uid="{00000000-0005-0000-0000-00008B390000}"/>
    <cellStyle name="Normal 5 6 2 2 2 2 2" xfId="15592" xr:uid="{00000000-0005-0000-0000-00008C390000}"/>
    <cellStyle name="Normal 5 6 2 2 2 2 3" xfId="15593" xr:uid="{00000000-0005-0000-0000-00008D390000}"/>
    <cellStyle name="Normal 5 6 2 2 2 3" xfId="15594" xr:uid="{00000000-0005-0000-0000-00008E390000}"/>
    <cellStyle name="Normal 5 6 2 2 2 3 2" xfId="15595" xr:uid="{00000000-0005-0000-0000-00008F390000}"/>
    <cellStyle name="Normal 5 6 2 2 2 4" xfId="15596" xr:uid="{00000000-0005-0000-0000-000090390000}"/>
    <cellStyle name="Normal 5 6 2 2 3" xfId="15597" xr:uid="{00000000-0005-0000-0000-000091390000}"/>
    <cellStyle name="Normal 5 6 2 2 3 2" xfId="15598" xr:uid="{00000000-0005-0000-0000-000092390000}"/>
    <cellStyle name="Normal 5 6 2 2 3 3" xfId="15599" xr:uid="{00000000-0005-0000-0000-000093390000}"/>
    <cellStyle name="Normal 5 6 2 2 4" xfId="15600" xr:uid="{00000000-0005-0000-0000-000094390000}"/>
    <cellStyle name="Normal 5 6 2 2 4 2" xfId="15601" xr:uid="{00000000-0005-0000-0000-000095390000}"/>
    <cellStyle name="Normal 5 6 2 2 5" xfId="15602" xr:uid="{00000000-0005-0000-0000-000096390000}"/>
    <cellStyle name="Normal 5 6 2 3" xfId="15603" xr:uid="{00000000-0005-0000-0000-000097390000}"/>
    <cellStyle name="Normal 5 6 2 3 2" xfId="15604" xr:uid="{00000000-0005-0000-0000-000098390000}"/>
    <cellStyle name="Normal 5 6 2 3 2 2" xfId="15605" xr:uid="{00000000-0005-0000-0000-000099390000}"/>
    <cellStyle name="Normal 5 6 2 3 2 3" xfId="15606" xr:uid="{00000000-0005-0000-0000-00009A390000}"/>
    <cellStyle name="Normal 5 6 2 3 3" xfId="15607" xr:uid="{00000000-0005-0000-0000-00009B390000}"/>
    <cellStyle name="Normal 5 6 2 3 3 2" xfId="15608" xr:uid="{00000000-0005-0000-0000-00009C390000}"/>
    <cellStyle name="Normal 5 6 2 3 4" xfId="15609" xr:uid="{00000000-0005-0000-0000-00009D390000}"/>
    <cellStyle name="Normal 5 6 2 4" xfId="15610" xr:uid="{00000000-0005-0000-0000-00009E390000}"/>
    <cellStyle name="Normal 5 6 2 5" xfId="15611" xr:uid="{00000000-0005-0000-0000-00009F390000}"/>
    <cellStyle name="Normal 5 6 2 6" xfId="15612" xr:uid="{00000000-0005-0000-0000-0000A0390000}"/>
    <cellStyle name="Normal 5 6 3" xfId="15613" xr:uid="{00000000-0005-0000-0000-0000A1390000}"/>
    <cellStyle name="Normal 5 6 3 2" xfId="15614" xr:uid="{00000000-0005-0000-0000-0000A2390000}"/>
    <cellStyle name="Normal 5 6 3 2 2" xfId="15615" xr:uid="{00000000-0005-0000-0000-0000A3390000}"/>
    <cellStyle name="Normal 5 6 3 2 3" xfId="15616" xr:uid="{00000000-0005-0000-0000-0000A4390000}"/>
    <cellStyle name="Normal 5 6 3 3" xfId="15617" xr:uid="{00000000-0005-0000-0000-0000A5390000}"/>
    <cellStyle name="Normal 5 6 3 4" xfId="15618" xr:uid="{00000000-0005-0000-0000-0000A6390000}"/>
    <cellStyle name="Normal 5 6 3 5" xfId="15619" xr:uid="{00000000-0005-0000-0000-0000A7390000}"/>
    <cellStyle name="Normal 5 6 3 6" xfId="15620" xr:uid="{00000000-0005-0000-0000-0000A8390000}"/>
    <cellStyle name="Normal 5 6 4" xfId="15621" xr:uid="{00000000-0005-0000-0000-0000A9390000}"/>
    <cellStyle name="Normal 5 6 4 2" xfId="15622" xr:uid="{00000000-0005-0000-0000-0000AA390000}"/>
    <cellStyle name="Normal 5 6 4 2 2" xfId="15623" xr:uid="{00000000-0005-0000-0000-0000AB390000}"/>
    <cellStyle name="Normal 5 6 4 2 3" xfId="15624" xr:uid="{00000000-0005-0000-0000-0000AC390000}"/>
    <cellStyle name="Normal 5 6 4 3" xfId="15625" xr:uid="{00000000-0005-0000-0000-0000AD390000}"/>
    <cellStyle name="Normal 5 6 4 3 2" xfId="15626" xr:uid="{00000000-0005-0000-0000-0000AE390000}"/>
    <cellStyle name="Normal 5 6 4 4" xfId="15627" xr:uid="{00000000-0005-0000-0000-0000AF390000}"/>
    <cellStyle name="Normal 5 6 5" xfId="15628" xr:uid="{00000000-0005-0000-0000-0000B0390000}"/>
    <cellStyle name="Normal 5 6 5 2" xfId="15629" xr:uid="{00000000-0005-0000-0000-0000B1390000}"/>
    <cellStyle name="Normal 5 6 5 3" xfId="15630" xr:uid="{00000000-0005-0000-0000-0000B2390000}"/>
    <cellStyle name="Normal 5 6 6" xfId="15631" xr:uid="{00000000-0005-0000-0000-0000B3390000}"/>
    <cellStyle name="Normal 5 6 6 2" xfId="15632" xr:uid="{00000000-0005-0000-0000-0000B4390000}"/>
    <cellStyle name="Normal 5 6 7" xfId="15633" xr:uid="{00000000-0005-0000-0000-0000B5390000}"/>
    <cellStyle name="Normal 5 6 8" xfId="15634" xr:uid="{00000000-0005-0000-0000-0000B6390000}"/>
    <cellStyle name="Normal 5 7" xfId="2512" xr:uid="{00000000-0005-0000-0000-000096090000}"/>
    <cellStyle name="Normal 5 7 2" xfId="15635" xr:uid="{00000000-0005-0000-0000-0000B8390000}"/>
    <cellStyle name="Normal 5 7 2 2" xfId="15636" xr:uid="{00000000-0005-0000-0000-0000B9390000}"/>
    <cellStyle name="Normal 5 7 2 2 2" xfId="15637" xr:uid="{00000000-0005-0000-0000-0000BA390000}"/>
    <cellStyle name="Normal 5 7 2 2 2 2" xfId="15638" xr:uid="{00000000-0005-0000-0000-0000BB390000}"/>
    <cellStyle name="Normal 5 7 2 2 2 2 2" xfId="15639" xr:uid="{00000000-0005-0000-0000-0000BC390000}"/>
    <cellStyle name="Normal 5 7 2 2 2 2 3" xfId="15640" xr:uid="{00000000-0005-0000-0000-0000BD390000}"/>
    <cellStyle name="Normal 5 7 2 2 2 3" xfId="15641" xr:uid="{00000000-0005-0000-0000-0000BE390000}"/>
    <cellStyle name="Normal 5 7 2 2 2 3 2" xfId="15642" xr:uid="{00000000-0005-0000-0000-0000BF390000}"/>
    <cellStyle name="Normal 5 7 2 2 2 4" xfId="15643" xr:uid="{00000000-0005-0000-0000-0000C0390000}"/>
    <cellStyle name="Normal 5 7 2 2 3" xfId="15644" xr:uid="{00000000-0005-0000-0000-0000C1390000}"/>
    <cellStyle name="Normal 5 7 2 2 3 2" xfId="15645" xr:uid="{00000000-0005-0000-0000-0000C2390000}"/>
    <cellStyle name="Normal 5 7 2 2 3 3" xfId="15646" xr:uid="{00000000-0005-0000-0000-0000C3390000}"/>
    <cellStyle name="Normal 5 7 2 2 4" xfId="15647" xr:uid="{00000000-0005-0000-0000-0000C4390000}"/>
    <cellStyle name="Normal 5 7 2 2 4 2" xfId="15648" xr:uid="{00000000-0005-0000-0000-0000C5390000}"/>
    <cellStyle name="Normal 5 7 2 2 5" xfId="15649" xr:uid="{00000000-0005-0000-0000-0000C6390000}"/>
    <cellStyle name="Normal 5 7 2 3" xfId="15650" xr:uid="{00000000-0005-0000-0000-0000C7390000}"/>
    <cellStyle name="Normal 5 7 2 3 2" xfId="15651" xr:uid="{00000000-0005-0000-0000-0000C8390000}"/>
    <cellStyle name="Normal 5 7 2 3 2 2" xfId="15652" xr:uid="{00000000-0005-0000-0000-0000C9390000}"/>
    <cellStyle name="Normal 5 7 2 3 2 3" xfId="15653" xr:uid="{00000000-0005-0000-0000-0000CA390000}"/>
    <cellStyle name="Normal 5 7 2 3 3" xfId="15654" xr:uid="{00000000-0005-0000-0000-0000CB390000}"/>
    <cellStyle name="Normal 5 7 2 3 3 2" xfId="15655" xr:uid="{00000000-0005-0000-0000-0000CC390000}"/>
    <cellStyle name="Normal 5 7 2 3 4" xfId="15656" xr:uid="{00000000-0005-0000-0000-0000CD390000}"/>
    <cellStyle name="Normal 5 7 2 4" xfId="15657" xr:uid="{00000000-0005-0000-0000-0000CE390000}"/>
    <cellStyle name="Normal 5 7 2 5" xfId="15658" xr:uid="{00000000-0005-0000-0000-0000CF390000}"/>
    <cellStyle name="Normal 5 7 2 6" xfId="15659" xr:uid="{00000000-0005-0000-0000-0000D0390000}"/>
    <cellStyle name="Normal 5 7 3" xfId="15660" xr:uid="{00000000-0005-0000-0000-0000D1390000}"/>
    <cellStyle name="Normal 5 7 3 2" xfId="15661" xr:uid="{00000000-0005-0000-0000-0000D2390000}"/>
    <cellStyle name="Normal 5 7 3 2 2" xfId="15662" xr:uid="{00000000-0005-0000-0000-0000D3390000}"/>
    <cellStyle name="Normal 5 7 3 2 3" xfId="15663" xr:uid="{00000000-0005-0000-0000-0000D4390000}"/>
    <cellStyle name="Normal 5 7 3 3" xfId="15664" xr:uid="{00000000-0005-0000-0000-0000D5390000}"/>
    <cellStyle name="Normal 5 7 3 4" xfId="15665" xr:uid="{00000000-0005-0000-0000-0000D6390000}"/>
    <cellStyle name="Normal 5 7 3 5" xfId="15666" xr:uid="{00000000-0005-0000-0000-0000D7390000}"/>
    <cellStyle name="Normal 5 7 3 6" xfId="15667" xr:uid="{00000000-0005-0000-0000-0000D8390000}"/>
    <cellStyle name="Normal 5 7 4" xfId="15668" xr:uid="{00000000-0005-0000-0000-0000D9390000}"/>
    <cellStyle name="Normal 5 7 4 2" xfId="15669" xr:uid="{00000000-0005-0000-0000-0000DA390000}"/>
    <cellStyle name="Normal 5 7 4 2 2" xfId="15670" xr:uid="{00000000-0005-0000-0000-0000DB390000}"/>
    <cellStyle name="Normal 5 7 4 2 3" xfId="15671" xr:uid="{00000000-0005-0000-0000-0000DC390000}"/>
    <cellStyle name="Normal 5 7 4 3" xfId="15672" xr:uid="{00000000-0005-0000-0000-0000DD390000}"/>
    <cellStyle name="Normal 5 7 4 3 2" xfId="15673" xr:uid="{00000000-0005-0000-0000-0000DE390000}"/>
    <cellStyle name="Normal 5 7 4 4" xfId="15674" xr:uid="{00000000-0005-0000-0000-0000DF390000}"/>
    <cellStyle name="Normal 5 7 5" xfId="15675" xr:uid="{00000000-0005-0000-0000-0000E0390000}"/>
    <cellStyle name="Normal 5 7 5 2" xfId="15676" xr:uid="{00000000-0005-0000-0000-0000E1390000}"/>
    <cellStyle name="Normal 5 7 5 3" xfId="15677" xr:uid="{00000000-0005-0000-0000-0000E2390000}"/>
    <cellStyle name="Normal 5 7 6" xfId="15678" xr:uid="{00000000-0005-0000-0000-0000E3390000}"/>
    <cellStyle name="Normal 5 7 7" xfId="15679" xr:uid="{00000000-0005-0000-0000-0000E4390000}"/>
    <cellStyle name="Normal 5 7 8" xfId="15680" xr:uid="{00000000-0005-0000-0000-0000E5390000}"/>
    <cellStyle name="Normal 5 8" xfId="2513" xr:uid="{00000000-0005-0000-0000-000097090000}"/>
    <cellStyle name="Normal 5 8 2" xfId="15681" xr:uid="{00000000-0005-0000-0000-0000E7390000}"/>
    <cellStyle name="Normal 5 8 2 2" xfId="15682" xr:uid="{00000000-0005-0000-0000-0000E8390000}"/>
    <cellStyle name="Normal 5 8 2 2 2" xfId="15683" xr:uid="{00000000-0005-0000-0000-0000E9390000}"/>
    <cellStyle name="Normal 5 8 2 2 2 2" xfId="15684" xr:uid="{00000000-0005-0000-0000-0000EA390000}"/>
    <cellStyle name="Normal 5 8 2 2 2 2 2" xfId="15685" xr:uid="{00000000-0005-0000-0000-0000EB390000}"/>
    <cellStyle name="Normal 5 8 2 2 2 2 3" xfId="15686" xr:uid="{00000000-0005-0000-0000-0000EC390000}"/>
    <cellStyle name="Normal 5 8 2 2 2 3" xfId="15687" xr:uid="{00000000-0005-0000-0000-0000ED390000}"/>
    <cellStyle name="Normal 5 8 2 2 2 3 2" xfId="15688" xr:uid="{00000000-0005-0000-0000-0000EE390000}"/>
    <cellStyle name="Normal 5 8 2 2 2 4" xfId="15689" xr:uid="{00000000-0005-0000-0000-0000EF390000}"/>
    <cellStyle name="Normal 5 8 2 2 3" xfId="15690" xr:uid="{00000000-0005-0000-0000-0000F0390000}"/>
    <cellStyle name="Normal 5 8 2 2 3 2" xfId="15691" xr:uid="{00000000-0005-0000-0000-0000F1390000}"/>
    <cellStyle name="Normal 5 8 2 2 3 3" xfId="15692" xr:uid="{00000000-0005-0000-0000-0000F2390000}"/>
    <cellStyle name="Normal 5 8 2 2 4" xfId="15693" xr:uid="{00000000-0005-0000-0000-0000F3390000}"/>
    <cellStyle name="Normal 5 8 2 2 4 2" xfId="15694" xr:uid="{00000000-0005-0000-0000-0000F4390000}"/>
    <cellStyle name="Normal 5 8 2 2 5" xfId="15695" xr:uid="{00000000-0005-0000-0000-0000F5390000}"/>
    <cellStyle name="Normal 5 8 2 3" xfId="15696" xr:uid="{00000000-0005-0000-0000-0000F6390000}"/>
    <cellStyle name="Normal 5 8 2 3 2" xfId="15697" xr:uid="{00000000-0005-0000-0000-0000F7390000}"/>
    <cellStyle name="Normal 5 8 2 3 2 2" xfId="15698" xr:uid="{00000000-0005-0000-0000-0000F8390000}"/>
    <cellStyle name="Normal 5 8 2 3 2 3" xfId="15699" xr:uid="{00000000-0005-0000-0000-0000F9390000}"/>
    <cellStyle name="Normal 5 8 2 3 3" xfId="15700" xr:uid="{00000000-0005-0000-0000-0000FA390000}"/>
    <cellStyle name="Normal 5 8 2 3 3 2" xfId="15701" xr:uid="{00000000-0005-0000-0000-0000FB390000}"/>
    <cellStyle name="Normal 5 8 2 3 4" xfId="15702" xr:uid="{00000000-0005-0000-0000-0000FC390000}"/>
    <cellStyle name="Normal 5 8 2 4" xfId="15703" xr:uid="{00000000-0005-0000-0000-0000FD390000}"/>
    <cellStyle name="Normal 5 8 2 5" xfId="15704" xr:uid="{00000000-0005-0000-0000-0000FE390000}"/>
    <cellStyle name="Normal 5 8 2 6" xfId="15705" xr:uid="{00000000-0005-0000-0000-0000FF390000}"/>
    <cellStyle name="Normal 5 8 3" xfId="15706" xr:uid="{00000000-0005-0000-0000-0000003A0000}"/>
    <cellStyle name="Normal 5 8 3 2" xfId="15707" xr:uid="{00000000-0005-0000-0000-0000013A0000}"/>
    <cellStyle name="Normal 5 8 3 2 2" xfId="15708" xr:uid="{00000000-0005-0000-0000-0000023A0000}"/>
    <cellStyle name="Normal 5 8 3 2 3" xfId="15709" xr:uid="{00000000-0005-0000-0000-0000033A0000}"/>
    <cellStyle name="Normal 5 8 3 3" xfId="15710" xr:uid="{00000000-0005-0000-0000-0000043A0000}"/>
    <cellStyle name="Normal 5 8 3 4" xfId="15711" xr:uid="{00000000-0005-0000-0000-0000053A0000}"/>
    <cellStyle name="Normal 5 8 3 5" xfId="15712" xr:uid="{00000000-0005-0000-0000-0000063A0000}"/>
    <cellStyle name="Normal 5 8 3 6" xfId="15713" xr:uid="{00000000-0005-0000-0000-0000073A0000}"/>
    <cellStyle name="Normal 5 8 4" xfId="15714" xr:uid="{00000000-0005-0000-0000-0000083A0000}"/>
    <cellStyle name="Normal 5 8 4 2" xfId="15715" xr:uid="{00000000-0005-0000-0000-0000093A0000}"/>
    <cellStyle name="Normal 5 8 4 2 2" xfId="15716" xr:uid="{00000000-0005-0000-0000-00000A3A0000}"/>
    <cellStyle name="Normal 5 8 4 2 3" xfId="15717" xr:uid="{00000000-0005-0000-0000-00000B3A0000}"/>
    <cellStyle name="Normal 5 8 4 3" xfId="15718" xr:uid="{00000000-0005-0000-0000-00000C3A0000}"/>
    <cellStyle name="Normal 5 8 4 3 2" xfId="15719" xr:uid="{00000000-0005-0000-0000-00000D3A0000}"/>
    <cellStyle name="Normal 5 8 4 4" xfId="15720" xr:uid="{00000000-0005-0000-0000-00000E3A0000}"/>
    <cellStyle name="Normal 5 8 5" xfId="15721" xr:uid="{00000000-0005-0000-0000-00000F3A0000}"/>
    <cellStyle name="Normal 5 8 5 2" xfId="15722" xr:uid="{00000000-0005-0000-0000-0000103A0000}"/>
    <cellStyle name="Normal 5 8 5 3" xfId="15723" xr:uid="{00000000-0005-0000-0000-0000113A0000}"/>
    <cellStyle name="Normal 5 8 6" xfId="15724" xr:uid="{00000000-0005-0000-0000-0000123A0000}"/>
    <cellStyle name="Normal 5 8 7" xfId="15725" xr:uid="{00000000-0005-0000-0000-0000133A0000}"/>
    <cellStyle name="Normal 5 8 8" xfId="15726" xr:uid="{00000000-0005-0000-0000-0000143A0000}"/>
    <cellStyle name="Normal 5 9" xfId="2514" xr:uid="{00000000-0005-0000-0000-000098090000}"/>
    <cellStyle name="Normal 5 9 2" xfId="15727" xr:uid="{00000000-0005-0000-0000-0000163A0000}"/>
    <cellStyle name="Normal 5 9 2 2" xfId="15728" xr:uid="{00000000-0005-0000-0000-0000173A0000}"/>
    <cellStyle name="Normal 5 9 2 2 2" xfId="15729" xr:uid="{00000000-0005-0000-0000-0000183A0000}"/>
    <cellStyle name="Normal 5 9 2 2 2 2" xfId="15730" xr:uid="{00000000-0005-0000-0000-0000193A0000}"/>
    <cellStyle name="Normal 5 9 2 2 2 2 2" xfId="15731" xr:uid="{00000000-0005-0000-0000-00001A3A0000}"/>
    <cellStyle name="Normal 5 9 2 2 2 2 3" xfId="15732" xr:uid="{00000000-0005-0000-0000-00001B3A0000}"/>
    <cellStyle name="Normal 5 9 2 2 2 3" xfId="15733" xr:uid="{00000000-0005-0000-0000-00001C3A0000}"/>
    <cellStyle name="Normal 5 9 2 2 2 3 2" xfId="15734" xr:uid="{00000000-0005-0000-0000-00001D3A0000}"/>
    <cellStyle name="Normal 5 9 2 2 2 4" xfId="15735" xr:uid="{00000000-0005-0000-0000-00001E3A0000}"/>
    <cellStyle name="Normal 5 9 2 2 3" xfId="15736" xr:uid="{00000000-0005-0000-0000-00001F3A0000}"/>
    <cellStyle name="Normal 5 9 2 2 3 2" xfId="15737" xr:uid="{00000000-0005-0000-0000-0000203A0000}"/>
    <cellStyle name="Normal 5 9 2 2 3 3" xfId="15738" xr:uid="{00000000-0005-0000-0000-0000213A0000}"/>
    <cellStyle name="Normal 5 9 2 2 4" xfId="15739" xr:uid="{00000000-0005-0000-0000-0000223A0000}"/>
    <cellStyle name="Normal 5 9 2 2 4 2" xfId="15740" xr:uid="{00000000-0005-0000-0000-0000233A0000}"/>
    <cellStyle name="Normal 5 9 2 2 5" xfId="15741" xr:uid="{00000000-0005-0000-0000-0000243A0000}"/>
    <cellStyle name="Normal 5 9 2 3" xfId="15742" xr:uid="{00000000-0005-0000-0000-0000253A0000}"/>
    <cellStyle name="Normal 5 9 2 3 2" xfId="15743" xr:uid="{00000000-0005-0000-0000-0000263A0000}"/>
    <cellStyle name="Normal 5 9 2 3 2 2" xfId="15744" xr:uid="{00000000-0005-0000-0000-0000273A0000}"/>
    <cellStyle name="Normal 5 9 2 3 2 3" xfId="15745" xr:uid="{00000000-0005-0000-0000-0000283A0000}"/>
    <cellStyle name="Normal 5 9 2 3 3" xfId="15746" xr:uid="{00000000-0005-0000-0000-0000293A0000}"/>
    <cellStyle name="Normal 5 9 2 3 3 2" xfId="15747" xr:uid="{00000000-0005-0000-0000-00002A3A0000}"/>
    <cellStyle name="Normal 5 9 2 3 4" xfId="15748" xr:uid="{00000000-0005-0000-0000-00002B3A0000}"/>
    <cellStyle name="Normal 5 9 2 4" xfId="15749" xr:uid="{00000000-0005-0000-0000-00002C3A0000}"/>
    <cellStyle name="Normal 5 9 2 5" xfId="15750" xr:uid="{00000000-0005-0000-0000-00002D3A0000}"/>
    <cellStyle name="Normal 5 9 2 6" xfId="15751" xr:uid="{00000000-0005-0000-0000-00002E3A0000}"/>
    <cellStyle name="Normal 5 9 3" xfId="15752" xr:uid="{00000000-0005-0000-0000-00002F3A0000}"/>
    <cellStyle name="Normal 5 9 3 2" xfId="15753" xr:uid="{00000000-0005-0000-0000-0000303A0000}"/>
    <cellStyle name="Normal 5 9 3 2 2" xfId="15754" xr:uid="{00000000-0005-0000-0000-0000313A0000}"/>
    <cellStyle name="Normal 5 9 3 2 3" xfId="15755" xr:uid="{00000000-0005-0000-0000-0000323A0000}"/>
    <cellStyle name="Normal 5 9 3 3" xfId="15756" xr:uid="{00000000-0005-0000-0000-0000333A0000}"/>
    <cellStyle name="Normal 5 9 3 4" xfId="15757" xr:uid="{00000000-0005-0000-0000-0000343A0000}"/>
    <cellStyle name="Normal 5 9 3 5" xfId="15758" xr:uid="{00000000-0005-0000-0000-0000353A0000}"/>
    <cellStyle name="Normal 5 9 3 6" xfId="15759" xr:uid="{00000000-0005-0000-0000-0000363A0000}"/>
    <cellStyle name="Normal 5 9 4" xfId="15760" xr:uid="{00000000-0005-0000-0000-0000373A0000}"/>
    <cellStyle name="Normal 5 9 4 2" xfId="15761" xr:uid="{00000000-0005-0000-0000-0000383A0000}"/>
    <cellStyle name="Normal 5 9 4 2 2" xfId="15762" xr:uid="{00000000-0005-0000-0000-0000393A0000}"/>
    <cellStyle name="Normal 5 9 4 2 3" xfId="15763" xr:uid="{00000000-0005-0000-0000-00003A3A0000}"/>
    <cellStyle name="Normal 5 9 4 3" xfId="15764" xr:uid="{00000000-0005-0000-0000-00003B3A0000}"/>
    <cellStyle name="Normal 5 9 4 3 2" xfId="15765" xr:uid="{00000000-0005-0000-0000-00003C3A0000}"/>
    <cellStyle name="Normal 5 9 4 4" xfId="15766" xr:uid="{00000000-0005-0000-0000-00003D3A0000}"/>
    <cellStyle name="Normal 5 9 5" xfId="15767" xr:uid="{00000000-0005-0000-0000-00003E3A0000}"/>
    <cellStyle name="Normal 5 9 5 2" xfId="15768" xr:uid="{00000000-0005-0000-0000-00003F3A0000}"/>
    <cellStyle name="Normal 5 9 5 3" xfId="15769" xr:uid="{00000000-0005-0000-0000-0000403A0000}"/>
    <cellStyle name="Normal 5 9 6" xfId="15770" xr:uid="{00000000-0005-0000-0000-0000413A0000}"/>
    <cellStyle name="Normal 5 9 7" xfId="15771" xr:uid="{00000000-0005-0000-0000-0000423A0000}"/>
    <cellStyle name="Normal 5 9 8" xfId="15772" xr:uid="{00000000-0005-0000-0000-0000433A0000}"/>
    <cellStyle name="Normal 5_Commitments" xfId="15773" xr:uid="{00000000-0005-0000-0000-0000443A0000}"/>
    <cellStyle name="Normal 50" xfId="2515" xr:uid="{00000000-0005-0000-0000-00009A090000}"/>
    <cellStyle name="Normal 50 2" xfId="15774" xr:uid="{00000000-0005-0000-0000-0000463A0000}"/>
    <cellStyle name="Normal 50 2 2" xfId="15775" xr:uid="{00000000-0005-0000-0000-0000473A0000}"/>
    <cellStyle name="Normal 50 3" xfId="15776" xr:uid="{00000000-0005-0000-0000-0000483A0000}"/>
    <cellStyle name="Normal 50 4" xfId="15777" xr:uid="{00000000-0005-0000-0000-0000493A0000}"/>
    <cellStyle name="Normal 50 5" xfId="15778" xr:uid="{00000000-0005-0000-0000-00004A3A0000}"/>
    <cellStyle name="Normal 50 6" xfId="5339" xr:uid="{00000000-0005-0000-0000-0000453A0000}"/>
    <cellStyle name="Normal 51" xfId="5338" xr:uid="{00000000-0005-0000-0000-00004B3A0000}"/>
    <cellStyle name="Normal 51 2" xfId="15779" xr:uid="{00000000-0005-0000-0000-00004C3A0000}"/>
    <cellStyle name="Normal 51 2 2" xfId="15780" xr:uid="{00000000-0005-0000-0000-00004D3A0000}"/>
    <cellStyle name="Normal 51 3" xfId="40" xr:uid="{00000000-0005-0000-0000-00002C000000}"/>
    <cellStyle name="Normal 51 3 2" xfId="142" xr:uid="{00000000-0005-0000-0000-00002C000000}"/>
    <cellStyle name="Normal 51 3 3" xfId="15781" xr:uid="{00000000-0005-0000-0000-00004E3A0000}"/>
    <cellStyle name="Normal 51 4" xfId="15782" xr:uid="{00000000-0005-0000-0000-00004F3A0000}"/>
    <cellStyle name="Normal 51 5" xfId="15783" xr:uid="{00000000-0005-0000-0000-0000503A0000}"/>
    <cellStyle name="Normal 51 6" xfId="15784" xr:uid="{00000000-0005-0000-0000-0000513A0000}"/>
    <cellStyle name="Normal 51 7" xfId="15785" xr:uid="{00000000-0005-0000-0000-0000523A0000}"/>
    <cellStyle name="Normal 52" xfId="5295" xr:uid="{00000000-0005-0000-0000-0000533A0000}"/>
    <cellStyle name="Normal 52 2" xfId="5293" xr:uid="{00000000-0005-0000-0000-0000543A0000}"/>
    <cellStyle name="Normal 52 3" xfId="41" xr:uid="{00000000-0005-0000-0000-00002D000000}"/>
    <cellStyle name="Normal 52 3 2" xfId="143" xr:uid="{00000000-0005-0000-0000-00002D000000}"/>
    <cellStyle name="Normal 52 4" xfId="15786" xr:uid="{00000000-0005-0000-0000-0000563A0000}"/>
    <cellStyle name="Normal 52 5" xfId="15787" xr:uid="{00000000-0005-0000-0000-0000573A0000}"/>
    <cellStyle name="Normal 53" xfId="2516" xr:uid="{00000000-0005-0000-0000-00009B090000}"/>
    <cellStyle name="Normal 53 2" xfId="15788" xr:uid="{00000000-0005-0000-0000-0000593A0000}"/>
    <cellStyle name="Normal 53 2 2" xfId="15789" xr:uid="{00000000-0005-0000-0000-00005A3A0000}"/>
    <cellStyle name="Normal 53 3" xfId="15790" xr:uid="{00000000-0005-0000-0000-00005B3A0000}"/>
    <cellStyle name="Normal 53 4" xfId="15791" xr:uid="{00000000-0005-0000-0000-00005C3A0000}"/>
    <cellStyle name="Normal 53 5" xfId="15792" xr:uid="{00000000-0005-0000-0000-00005D3A0000}"/>
    <cellStyle name="Normal 53 6" xfId="20118" xr:uid="{00000000-0005-0000-0000-00005E3A0000}"/>
    <cellStyle name="Normal 53 7" xfId="5290" xr:uid="{00000000-0005-0000-0000-0000583A0000}"/>
    <cellStyle name="Normal 54" xfId="15793" xr:uid="{00000000-0005-0000-0000-00005F3A0000}"/>
    <cellStyle name="Normal 54 2" xfId="15794" xr:uid="{00000000-0005-0000-0000-0000603A0000}"/>
    <cellStyle name="Normal 54 3" xfId="42" xr:uid="{00000000-0005-0000-0000-00002E000000}"/>
    <cellStyle name="Normal 54 3 2" xfId="144" xr:uid="{00000000-0005-0000-0000-00002E000000}"/>
    <cellStyle name="Normal 54 3 3" xfId="15795" xr:uid="{00000000-0005-0000-0000-0000613A0000}"/>
    <cellStyle name="Normal 54 4" xfId="15796" xr:uid="{00000000-0005-0000-0000-0000623A0000}"/>
    <cellStyle name="Normal 55" xfId="15797" xr:uid="{00000000-0005-0000-0000-0000633A0000}"/>
    <cellStyle name="Normal 55 2" xfId="15798" xr:uid="{00000000-0005-0000-0000-0000643A0000}"/>
    <cellStyle name="Normal 55 3" xfId="29" xr:uid="{00000000-0005-0000-0000-00002F000000}"/>
    <cellStyle name="Normal 55 3 2" xfId="131" xr:uid="{00000000-0005-0000-0000-00002F000000}"/>
    <cellStyle name="Normal 55 3 3" xfId="15799" xr:uid="{00000000-0005-0000-0000-0000653A0000}"/>
    <cellStyle name="Normal 56" xfId="2517" xr:uid="{00000000-0005-0000-0000-00009C090000}"/>
    <cellStyle name="Normal 56 2" xfId="15801" xr:uid="{00000000-0005-0000-0000-0000673A0000}"/>
    <cellStyle name="Normal 56 2 2" xfId="15802" xr:uid="{00000000-0005-0000-0000-0000683A0000}"/>
    <cellStyle name="Normal 56 3" xfId="15803" xr:uid="{00000000-0005-0000-0000-0000693A0000}"/>
    <cellStyle name="Normal 56 4" xfId="15804" xr:uid="{00000000-0005-0000-0000-00006A3A0000}"/>
    <cellStyle name="Normal 56 5" xfId="15805" xr:uid="{00000000-0005-0000-0000-00006B3A0000}"/>
    <cellStyle name="Normal 56 6" xfId="15800" xr:uid="{00000000-0005-0000-0000-0000663A0000}"/>
    <cellStyle name="Normal 57" xfId="15806" xr:uid="{00000000-0005-0000-0000-00006C3A0000}"/>
    <cellStyle name="Normal 57 2" xfId="15807" xr:uid="{00000000-0005-0000-0000-00006D3A0000}"/>
    <cellStyle name="Normal 57 3" xfId="43" xr:uid="{00000000-0005-0000-0000-000030000000}"/>
    <cellStyle name="Normal 57 3 2" xfId="145" xr:uid="{00000000-0005-0000-0000-000030000000}"/>
    <cellStyle name="Normal 57 3 3" xfId="15808" xr:uid="{00000000-0005-0000-0000-00006E3A0000}"/>
    <cellStyle name="Normal 58" xfId="15809" xr:uid="{00000000-0005-0000-0000-00006F3A0000}"/>
    <cellStyle name="Normal 58 2" xfId="15810" xr:uid="{00000000-0005-0000-0000-0000703A0000}"/>
    <cellStyle name="Normal 58 3" xfId="44" xr:uid="{00000000-0005-0000-0000-000031000000}"/>
    <cellStyle name="Normal 58 3 2" xfId="146" xr:uid="{00000000-0005-0000-0000-000031000000}"/>
    <cellStyle name="Normal 58 3 3" xfId="15811" xr:uid="{00000000-0005-0000-0000-0000713A0000}"/>
    <cellStyle name="Normal 59" xfId="2518" xr:uid="{00000000-0005-0000-0000-00009D090000}"/>
    <cellStyle name="Normal 59 2" xfId="15813" xr:uid="{00000000-0005-0000-0000-0000733A0000}"/>
    <cellStyle name="Normal 59 2 2" xfId="15814" xr:uid="{00000000-0005-0000-0000-0000743A0000}"/>
    <cellStyle name="Normal 59 3" xfId="15815" xr:uid="{00000000-0005-0000-0000-0000753A0000}"/>
    <cellStyle name="Normal 59 4" xfId="15816" xr:uid="{00000000-0005-0000-0000-0000763A0000}"/>
    <cellStyle name="Normal 59 5" xfId="15817" xr:uid="{00000000-0005-0000-0000-0000773A0000}"/>
    <cellStyle name="Normal 59 6" xfId="15812" xr:uid="{00000000-0005-0000-0000-0000723A0000}"/>
    <cellStyle name="Normal 6" xfId="2519" xr:uid="{00000000-0005-0000-0000-00009E090000}"/>
    <cellStyle name="Normal 6 2" xfId="5336" xr:uid="{00000000-0005-0000-0000-0000793A0000}"/>
    <cellStyle name="Normal 6 2 2" xfId="15818" xr:uid="{00000000-0005-0000-0000-00007A3A0000}"/>
    <cellStyle name="Normal 6 2 2 2" xfId="15819" xr:uid="{00000000-0005-0000-0000-00007B3A0000}"/>
    <cellStyle name="Normal 6 2 2 3" xfId="15820" xr:uid="{00000000-0005-0000-0000-00007C3A0000}"/>
    <cellStyle name="Normal 6 2 2 4" xfId="15821" xr:uid="{00000000-0005-0000-0000-00007D3A0000}"/>
    <cellStyle name="Normal 6 2 3" xfId="15822" xr:uid="{00000000-0005-0000-0000-00007E3A0000}"/>
    <cellStyle name="Normal 6 2 3 2" xfId="15823" xr:uid="{00000000-0005-0000-0000-00007F3A0000}"/>
    <cellStyle name="Normal 6 2 3 2 2" xfId="15824" xr:uid="{00000000-0005-0000-0000-0000803A0000}"/>
    <cellStyle name="Normal 6 2 3 2 3" xfId="15825" xr:uid="{00000000-0005-0000-0000-0000813A0000}"/>
    <cellStyle name="Normal 6 2 3 3" xfId="15826" xr:uid="{00000000-0005-0000-0000-0000823A0000}"/>
    <cellStyle name="Normal 6 2 3 3 2" xfId="15827" xr:uid="{00000000-0005-0000-0000-0000833A0000}"/>
    <cellStyle name="Normal 6 2 3 4" xfId="15828" xr:uid="{00000000-0005-0000-0000-0000843A0000}"/>
    <cellStyle name="Normal 6 2 4" xfId="15829" xr:uid="{00000000-0005-0000-0000-0000853A0000}"/>
    <cellStyle name="Normal 6 2 4 2" xfId="15830" xr:uid="{00000000-0005-0000-0000-0000863A0000}"/>
    <cellStyle name="Normal 6 2 4 3" xfId="15831" xr:uid="{00000000-0005-0000-0000-0000873A0000}"/>
    <cellStyle name="Normal 6 2 5" xfId="15832" xr:uid="{00000000-0005-0000-0000-0000883A0000}"/>
    <cellStyle name="Normal 6 2 5 2" xfId="15833" xr:uid="{00000000-0005-0000-0000-0000893A0000}"/>
    <cellStyle name="Normal 6 2 6" xfId="15834" xr:uid="{00000000-0005-0000-0000-00008A3A0000}"/>
    <cellStyle name="Normal 6 2 7" xfId="15835" xr:uid="{00000000-0005-0000-0000-00008B3A0000}"/>
    <cellStyle name="Normal 6 3" xfId="15836" xr:uid="{00000000-0005-0000-0000-00008C3A0000}"/>
    <cellStyle name="Normal 6 3 2" xfId="15837" xr:uid="{00000000-0005-0000-0000-00008D3A0000}"/>
    <cellStyle name="Normal 6 3 2 2" xfId="15838" xr:uid="{00000000-0005-0000-0000-00008E3A0000}"/>
    <cellStyle name="Normal 6 3 2 2 2" xfId="15839" xr:uid="{00000000-0005-0000-0000-00008F3A0000}"/>
    <cellStyle name="Normal 6 3 2 2 3" xfId="15840" xr:uid="{00000000-0005-0000-0000-0000903A0000}"/>
    <cellStyle name="Normal 6 3 2 3" xfId="15841" xr:uid="{00000000-0005-0000-0000-0000913A0000}"/>
    <cellStyle name="Normal 6 3 2 3 2" xfId="15842" xr:uid="{00000000-0005-0000-0000-0000923A0000}"/>
    <cellStyle name="Normal 6 3 2 4" xfId="15843" xr:uid="{00000000-0005-0000-0000-0000933A0000}"/>
    <cellStyle name="Normal 6 3 3" xfId="15844" xr:uid="{00000000-0005-0000-0000-0000943A0000}"/>
    <cellStyle name="Normal 6 3 3 2" xfId="15845" xr:uid="{00000000-0005-0000-0000-0000953A0000}"/>
    <cellStyle name="Normal 6 3 3 3" xfId="15846" xr:uid="{00000000-0005-0000-0000-0000963A0000}"/>
    <cellStyle name="Normal 6 3 4" xfId="15847" xr:uid="{00000000-0005-0000-0000-0000973A0000}"/>
    <cellStyle name="Normal 6 3 4 2" xfId="15848" xr:uid="{00000000-0005-0000-0000-0000983A0000}"/>
    <cellStyle name="Normal 6 3 5" xfId="15849" xr:uid="{00000000-0005-0000-0000-0000993A0000}"/>
    <cellStyle name="Normal 6 4" xfId="15850" xr:uid="{00000000-0005-0000-0000-00009A3A0000}"/>
    <cellStyle name="Normal 6 4 2" xfId="15851" xr:uid="{00000000-0005-0000-0000-00009B3A0000}"/>
    <cellStyle name="Normal 6 4 2 2" xfId="15852" xr:uid="{00000000-0005-0000-0000-00009C3A0000}"/>
    <cellStyle name="Normal 6 4 2 3" xfId="15853" xr:uid="{00000000-0005-0000-0000-00009D3A0000}"/>
    <cellStyle name="Normal 6 4 3" xfId="15854" xr:uid="{00000000-0005-0000-0000-00009E3A0000}"/>
    <cellStyle name="Normal 6 4 4" xfId="15855" xr:uid="{00000000-0005-0000-0000-00009F3A0000}"/>
    <cellStyle name="Normal 6 4 5" xfId="15856" xr:uid="{00000000-0005-0000-0000-0000A03A0000}"/>
    <cellStyle name="Normal 6 4 6" xfId="15857" xr:uid="{00000000-0005-0000-0000-0000A13A0000}"/>
    <cellStyle name="Normal 6 5" xfId="15858" xr:uid="{00000000-0005-0000-0000-0000A23A0000}"/>
    <cellStyle name="Normal 6 5 2" xfId="15859" xr:uid="{00000000-0005-0000-0000-0000A33A0000}"/>
    <cellStyle name="Normal 6 5 2 2" xfId="15860" xr:uid="{00000000-0005-0000-0000-0000A43A0000}"/>
    <cellStyle name="Normal 6 5 3" xfId="15861" xr:uid="{00000000-0005-0000-0000-0000A53A0000}"/>
    <cellStyle name="Normal 6 6" xfId="15862" xr:uid="{00000000-0005-0000-0000-0000A63A0000}"/>
    <cellStyle name="Normal 6 6 2" xfId="15863" xr:uid="{00000000-0005-0000-0000-0000A73A0000}"/>
    <cellStyle name="Normal 6 7" xfId="15864" xr:uid="{00000000-0005-0000-0000-0000A83A0000}"/>
    <cellStyle name="Normal 6 8" xfId="5337" xr:uid="{00000000-0005-0000-0000-0000783A0000}"/>
    <cellStyle name="Normal 60" xfId="15865" xr:uid="{00000000-0005-0000-0000-0000A93A0000}"/>
    <cellStyle name="Normal 60 2" xfId="15866" xr:uid="{00000000-0005-0000-0000-0000AA3A0000}"/>
    <cellStyle name="Normal 60 3" xfId="45" xr:uid="{00000000-0005-0000-0000-000032000000}"/>
    <cellStyle name="Normal 60 3 2" xfId="147" xr:uid="{00000000-0005-0000-0000-000032000000}"/>
    <cellStyle name="Normal 60 3 3" xfId="15867" xr:uid="{00000000-0005-0000-0000-0000AB3A0000}"/>
    <cellStyle name="Normal 61" xfId="15868" xr:uid="{00000000-0005-0000-0000-0000AC3A0000}"/>
    <cellStyle name="Normal 61 2" xfId="15869" xr:uid="{00000000-0005-0000-0000-0000AD3A0000}"/>
    <cellStyle name="Normal 61 3" xfId="31" xr:uid="{00000000-0005-0000-0000-000033000000}"/>
    <cellStyle name="Normal 61 3 2" xfId="133" xr:uid="{00000000-0005-0000-0000-000033000000}"/>
    <cellStyle name="Normal 62" xfId="2520" xr:uid="{00000000-0005-0000-0000-00009F090000}"/>
    <cellStyle name="Normal 62 2" xfId="15871" xr:uid="{00000000-0005-0000-0000-0000AF3A0000}"/>
    <cellStyle name="Normal 62 2 2" xfId="15872" xr:uid="{00000000-0005-0000-0000-0000B03A0000}"/>
    <cellStyle name="Normal 62 3" xfId="15873" xr:uid="{00000000-0005-0000-0000-0000B13A0000}"/>
    <cellStyle name="Normal 62 4" xfId="15874" xr:uid="{00000000-0005-0000-0000-0000B23A0000}"/>
    <cellStyle name="Normal 62 5" xfId="15875" xr:uid="{00000000-0005-0000-0000-0000B33A0000}"/>
    <cellStyle name="Normal 62 6" xfId="15870" xr:uid="{00000000-0005-0000-0000-0000AE3A0000}"/>
    <cellStyle name="Normal 63" xfId="15876" xr:uid="{00000000-0005-0000-0000-0000B43A0000}"/>
    <cellStyle name="Normal 63 2" xfId="15877" xr:uid="{00000000-0005-0000-0000-0000B53A0000}"/>
    <cellStyle name="Normal 64" xfId="15878" xr:uid="{00000000-0005-0000-0000-0000B63A0000}"/>
    <cellStyle name="Normal 64 2" xfId="15879" xr:uid="{00000000-0005-0000-0000-0000B73A0000}"/>
    <cellStyle name="Normal 65" xfId="15880" xr:uid="{00000000-0005-0000-0000-0000B83A0000}"/>
    <cellStyle name="Normal 65 2" xfId="15881" xr:uid="{00000000-0005-0000-0000-0000B93A0000}"/>
    <cellStyle name="Normal 66" xfId="15882" xr:uid="{00000000-0005-0000-0000-0000BA3A0000}"/>
    <cellStyle name="Normal 66 2" xfId="15883" xr:uid="{00000000-0005-0000-0000-0000BB3A0000}"/>
    <cellStyle name="Normal 67" xfId="15884" xr:uid="{00000000-0005-0000-0000-0000BC3A0000}"/>
    <cellStyle name="Normal 67 2" xfId="15885" xr:uid="{00000000-0005-0000-0000-0000BD3A0000}"/>
    <cellStyle name="Normal 68" xfId="15886" xr:uid="{00000000-0005-0000-0000-0000BE3A0000}"/>
    <cellStyle name="Normal 68 2" xfId="15887" xr:uid="{00000000-0005-0000-0000-0000BF3A0000}"/>
    <cellStyle name="Normal 69" xfId="15888" xr:uid="{00000000-0005-0000-0000-0000C03A0000}"/>
    <cellStyle name="Normal 69 2" xfId="15889" xr:uid="{00000000-0005-0000-0000-0000C13A0000}"/>
    <cellStyle name="Normal 7" xfId="2521" xr:uid="{00000000-0005-0000-0000-0000A0090000}"/>
    <cellStyle name="Normal 7 10" xfId="2522" xr:uid="{00000000-0005-0000-0000-0000A1090000}"/>
    <cellStyle name="Normal 7 10 2" xfId="15890" xr:uid="{00000000-0005-0000-0000-0000C43A0000}"/>
    <cellStyle name="Normal 7 10 3" xfId="15891" xr:uid="{00000000-0005-0000-0000-0000C53A0000}"/>
    <cellStyle name="Normal 7 11" xfId="2523" xr:uid="{00000000-0005-0000-0000-0000A2090000}"/>
    <cellStyle name="Normal 7 11 2" xfId="15892" xr:uid="{00000000-0005-0000-0000-0000C73A0000}"/>
    <cellStyle name="Normal 7 11 3" xfId="15893" xr:uid="{00000000-0005-0000-0000-0000C83A0000}"/>
    <cellStyle name="Normal 7 12" xfId="2524" xr:uid="{00000000-0005-0000-0000-0000A3090000}"/>
    <cellStyle name="Normal 7 12 2" xfId="15894" xr:uid="{00000000-0005-0000-0000-0000CA3A0000}"/>
    <cellStyle name="Normal 7 12 3" xfId="15895" xr:uid="{00000000-0005-0000-0000-0000CB3A0000}"/>
    <cellStyle name="Normal 7 13" xfId="2525" xr:uid="{00000000-0005-0000-0000-0000A4090000}"/>
    <cellStyle name="Normal 7 13 2" xfId="15897" xr:uid="{00000000-0005-0000-0000-0000CD3A0000}"/>
    <cellStyle name="Normal 7 13 3" xfId="15898" xr:uid="{00000000-0005-0000-0000-0000CE3A0000}"/>
    <cellStyle name="Normal 7 14" xfId="2526" xr:uid="{00000000-0005-0000-0000-0000A5090000}"/>
    <cellStyle name="Normal 7 14 2" xfId="15899" xr:uid="{00000000-0005-0000-0000-0000D03A0000}"/>
    <cellStyle name="Normal 7 14 3" xfId="15900" xr:uid="{00000000-0005-0000-0000-0000D13A0000}"/>
    <cellStyle name="Normal 7 15" xfId="2527" xr:uid="{00000000-0005-0000-0000-0000A6090000}"/>
    <cellStyle name="Normal 7 15 2" xfId="15901" xr:uid="{00000000-0005-0000-0000-0000D33A0000}"/>
    <cellStyle name="Normal 7 15 3" xfId="15902" xr:uid="{00000000-0005-0000-0000-0000D43A0000}"/>
    <cellStyle name="Normal 7 16" xfId="2528" xr:uid="{00000000-0005-0000-0000-0000A7090000}"/>
    <cellStyle name="Normal 7 16 2" xfId="15904" xr:uid="{00000000-0005-0000-0000-0000D63A0000}"/>
    <cellStyle name="Normal 7 16 3" xfId="15905" xr:uid="{00000000-0005-0000-0000-0000D73A0000}"/>
    <cellStyle name="Normal 7 17" xfId="2529" xr:uid="{00000000-0005-0000-0000-0000A8090000}"/>
    <cellStyle name="Normal 7 17 2" xfId="15907" xr:uid="{00000000-0005-0000-0000-0000D93A0000}"/>
    <cellStyle name="Normal 7 17 3" xfId="15908" xr:uid="{00000000-0005-0000-0000-0000DA3A0000}"/>
    <cellStyle name="Normal 7 18" xfId="2530" xr:uid="{00000000-0005-0000-0000-0000A9090000}"/>
    <cellStyle name="Normal 7 18 2" xfId="15910" xr:uid="{00000000-0005-0000-0000-0000DC3A0000}"/>
    <cellStyle name="Normal 7 18 3" xfId="15911" xr:uid="{00000000-0005-0000-0000-0000DD3A0000}"/>
    <cellStyle name="Normal 7 19" xfId="2531" xr:uid="{00000000-0005-0000-0000-0000AA090000}"/>
    <cellStyle name="Normal 7 19 2" xfId="15912" xr:uid="{00000000-0005-0000-0000-0000DF3A0000}"/>
    <cellStyle name="Normal 7 19 3" xfId="15913" xr:uid="{00000000-0005-0000-0000-0000E03A0000}"/>
    <cellStyle name="Normal 7 2" xfId="2532" xr:uid="{00000000-0005-0000-0000-0000AB090000}"/>
    <cellStyle name="Normal 7 2 10" xfId="2533" xr:uid="{00000000-0005-0000-0000-0000AC090000}"/>
    <cellStyle name="Normal 7 2 10 2" xfId="15915" xr:uid="{00000000-0005-0000-0000-0000E33A0000}"/>
    <cellStyle name="Normal 7 2 10 3" xfId="15916" xr:uid="{00000000-0005-0000-0000-0000E43A0000}"/>
    <cellStyle name="Normal 7 2 11" xfId="2534" xr:uid="{00000000-0005-0000-0000-0000AD090000}"/>
    <cellStyle name="Normal 7 2 11 2" xfId="15918" xr:uid="{00000000-0005-0000-0000-0000E63A0000}"/>
    <cellStyle name="Normal 7 2 11 3" xfId="15919" xr:uid="{00000000-0005-0000-0000-0000E73A0000}"/>
    <cellStyle name="Normal 7 2 12" xfId="2535" xr:uid="{00000000-0005-0000-0000-0000AE090000}"/>
    <cellStyle name="Normal 7 2 12 2" xfId="15920" xr:uid="{00000000-0005-0000-0000-0000E93A0000}"/>
    <cellStyle name="Normal 7 2 12 3" xfId="15921" xr:uid="{00000000-0005-0000-0000-0000EA3A0000}"/>
    <cellStyle name="Normal 7 2 13" xfId="2536" xr:uid="{00000000-0005-0000-0000-0000AF090000}"/>
    <cellStyle name="Normal 7 2 13 2" xfId="15923" xr:uid="{00000000-0005-0000-0000-0000EC3A0000}"/>
    <cellStyle name="Normal 7 2 13 3" xfId="15924" xr:uid="{00000000-0005-0000-0000-0000ED3A0000}"/>
    <cellStyle name="Normal 7 2 14" xfId="2537" xr:uid="{00000000-0005-0000-0000-0000B0090000}"/>
    <cellStyle name="Normal 7 2 14 2" xfId="15925" xr:uid="{00000000-0005-0000-0000-0000EF3A0000}"/>
    <cellStyle name="Normal 7 2 14 3" xfId="15926" xr:uid="{00000000-0005-0000-0000-0000F03A0000}"/>
    <cellStyle name="Normal 7 2 15" xfId="2538" xr:uid="{00000000-0005-0000-0000-0000B1090000}"/>
    <cellStyle name="Normal 7 2 15 2" xfId="15927" xr:uid="{00000000-0005-0000-0000-0000F23A0000}"/>
    <cellStyle name="Normal 7 2 15 3" xfId="15928" xr:uid="{00000000-0005-0000-0000-0000F33A0000}"/>
    <cellStyle name="Normal 7 2 16" xfId="2539" xr:uid="{00000000-0005-0000-0000-0000B2090000}"/>
    <cellStyle name="Normal 7 2 16 2" xfId="15929" xr:uid="{00000000-0005-0000-0000-0000F53A0000}"/>
    <cellStyle name="Normal 7 2 16 3" xfId="15930" xr:uid="{00000000-0005-0000-0000-0000F63A0000}"/>
    <cellStyle name="Normal 7 2 17" xfId="2540" xr:uid="{00000000-0005-0000-0000-0000B3090000}"/>
    <cellStyle name="Normal 7 2 17 2" xfId="15931" xr:uid="{00000000-0005-0000-0000-0000F83A0000}"/>
    <cellStyle name="Normal 7 2 17 3" xfId="15932" xr:uid="{00000000-0005-0000-0000-0000F93A0000}"/>
    <cellStyle name="Normal 7 2 18" xfId="2541" xr:uid="{00000000-0005-0000-0000-0000B4090000}"/>
    <cellStyle name="Normal 7 2 18 2" xfId="15933" xr:uid="{00000000-0005-0000-0000-0000FB3A0000}"/>
    <cellStyle name="Normal 7 2 18 3" xfId="15934" xr:uid="{00000000-0005-0000-0000-0000FC3A0000}"/>
    <cellStyle name="Normal 7 2 19" xfId="2542" xr:uid="{00000000-0005-0000-0000-0000B5090000}"/>
    <cellStyle name="Normal 7 2 19 2" xfId="15935" xr:uid="{00000000-0005-0000-0000-0000FE3A0000}"/>
    <cellStyle name="Normal 7 2 19 3" xfId="15936" xr:uid="{00000000-0005-0000-0000-0000FF3A0000}"/>
    <cellStyle name="Normal 7 2 2" xfId="2543" xr:uid="{00000000-0005-0000-0000-0000B6090000}"/>
    <cellStyle name="Normal 7 2 2 10" xfId="15937" xr:uid="{00000000-0005-0000-0000-0000013B0000}"/>
    <cellStyle name="Normal 7 2 2 11" xfId="15938" xr:uid="{00000000-0005-0000-0000-0000023B0000}"/>
    <cellStyle name="Normal 7 2 2 2" xfId="15939" xr:uid="{00000000-0005-0000-0000-0000033B0000}"/>
    <cellStyle name="Normal 7 2 2 2 10" xfId="15940" xr:uid="{00000000-0005-0000-0000-0000043B0000}"/>
    <cellStyle name="Normal 7 2 2 2 2" xfId="15941" xr:uid="{00000000-0005-0000-0000-0000053B0000}"/>
    <cellStyle name="Normal 7 2 2 2 2 2" xfId="15942" xr:uid="{00000000-0005-0000-0000-0000063B0000}"/>
    <cellStyle name="Normal 7 2 2 2 2 2 2" xfId="15943" xr:uid="{00000000-0005-0000-0000-0000073B0000}"/>
    <cellStyle name="Normal 7 2 2 2 2 2 2 2" xfId="15944" xr:uid="{00000000-0005-0000-0000-0000083B0000}"/>
    <cellStyle name="Normal 7 2 2 2 2 2 2 2 2" xfId="15945" xr:uid="{00000000-0005-0000-0000-0000093B0000}"/>
    <cellStyle name="Normal 7 2 2 2 2 2 2 2 3" xfId="15946" xr:uid="{00000000-0005-0000-0000-00000A3B0000}"/>
    <cellStyle name="Normal 7 2 2 2 2 2 2 3" xfId="15947" xr:uid="{00000000-0005-0000-0000-00000B3B0000}"/>
    <cellStyle name="Normal 7 2 2 2 2 2 2 4" xfId="15948" xr:uid="{00000000-0005-0000-0000-00000C3B0000}"/>
    <cellStyle name="Normal 7 2 2 2 2 2 2 5" xfId="15949" xr:uid="{00000000-0005-0000-0000-00000D3B0000}"/>
    <cellStyle name="Normal 7 2 2 2 2 2 2 6" xfId="15950" xr:uid="{00000000-0005-0000-0000-00000E3B0000}"/>
    <cellStyle name="Normal 7 2 2 2 2 2 3" xfId="15951" xr:uid="{00000000-0005-0000-0000-00000F3B0000}"/>
    <cellStyle name="Normal 7 2 2 2 2 2 3 2" xfId="15952" xr:uid="{00000000-0005-0000-0000-0000103B0000}"/>
    <cellStyle name="Normal 7 2 2 2 2 2 3 2 2" xfId="15953" xr:uid="{00000000-0005-0000-0000-0000113B0000}"/>
    <cellStyle name="Normal 7 2 2 2 2 2 3 2 3" xfId="15954" xr:uid="{00000000-0005-0000-0000-0000123B0000}"/>
    <cellStyle name="Normal 7 2 2 2 2 2 3 3" xfId="15955" xr:uid="{00000000-0005-0000-0000-0000133B0000}"/>
    <cellStyle name="Normal 7 2 2 2 2 2 3 3 2" xfId="15956" xr:uid="{00000000-0005-0000-0000-0000143B0000}"/>
    <cellStyle name="Normal 7 2 2 2 2 2 3 4" xfId="15957" xr:uid="{00000000-0005-0000-0000-0000153B0000}"/>
    <cellStyle name="Normal 7 2 2 2 2 2 4" xfId="15958" xr:uid="{00000000-0005-0000-0000-0000163B0000}"/>
    <cellStyle name="Normal 7 2 2 2 2 2 4 2" xfId="15959" xr:uid="{00000000-0005-0000-0000-0000173B0000}"/>
    <cellStyle name="Normal 7 2 2 2 2 2 4 3" xfId="15960" xr:uid="{00000000-0005-0000-0000-0000183B0000}"/>
    <cellStyle name="Normal 7 2 2 2 2 2 5" xfId="15961" xr:uid="{00000000-0005-0000-0000-0000193B0000}"/>
    <cellStyle name="Normal 7 2 2 2 2 2 6" xfId="15962" xr:uid="{00000000-0005-0000-0000-00001A3B0000}"/>
    <cellStyle name="Normal 7 2 2 2 2 2 7" xfId="15963" xr:uid="{00000000-0005-0000-0000-00001B3B0000}"/>
    <cellStyle name="Normal 7 2 2 2 2 2 8" xfId="15964" xr:uid="{00000000-0005-0000-0000-00001C3B0000}"/>
    <cellStyle name="Normal 7 2 2 2 2 3" xfId="15965" xr:uid="{00000000-0005-0000-0000-00001D3B0000}"/>
    <cellStyle name="Normal 7 2 2 2 2 3 2" xfId="15966" xr:uid="{00000000-0005-0000-0000-00001E3B0000}"/>
    <cellStyle name="Normal 7 2 2 2 2 3 2 2" xfId="15967" xr:uid="{00000000-0005-0000-0000-00001F3B0000}"/>
    <cellStyle name="Normal 7 2 2 2 2 3 2 3" xfId="15968" xr:uid="{00000000-0005-0000-0000-0000203B0000}"/>
    <cellStyle name="Normal 7 2 2 2 2 3 3" xfId="15969" xr:uid="{00000000-0005-0000-0000-0000213B0000}"/>
    <cellStyle name="Normal 7 2 2 2 2 3 4" xfId="15970" xr:uid="{00000000-0005-0000-0000-0000223B0000}"/>
    <cellStyle name="Normal 7 2 2 2 2 3 5" xfId="15971" xr:uid="{00000000-0005-0000-0000-0000233B0000}"/>
    <cellStyle name="Normal 7 2 2 2 2 3 6" xfId="15972" xr:uid="{00000000-0005-0000-0000-0000243B0000}"/>
    <cellStyle name="Normal 7 2 2 2 2 4" xfId="15973" xr:uid="{00000000-0005-0000-0000-0000253B0000}"/>
    <cellStyle name="Normal 7 2 2 2 2 4 2" xfId="15974" xr:uid="{00000000-0005-0000-0000-0000263B0000}"/>
    <cellStyle name="Normal 7 2 2 2 2 4 2 2" xfId="15975" xr:uid="{00000000-0005-0000-0000-0000273B0000}"/>
    <cellStyle name="Normal 7 2 2 2 2 4 2 3" xfId="15976" xr:uid="{00000000-0005-0000-0000-0000283B0000}"/>
    <cellStyle name="Normal 7 2 2 2 2 4 3" xfId="15977" xr:uid="{00000000-0005-0000-0000-0000293B0000}"/>
    <cellStyle name="Normal 7 2 2 2 2 4 3 2" xfId="15978" xr:uid="{00000000-0005-0000-0000-00002A3B0000}"/>
    <cellStyle name="Normal 7 2 2 2 2 4 4" xfId="15979" xr:uid="{00000000-0005-0000-0000-00002B3B0000}"/>
    <cellStyle name="Normal 7 2 2 2 2 5" xfId="15980" xr:uid="{00000000-0005-0000-0000-00002C3B0000}"/>
    <cellStyle name="Normal 7 2 2 2 2 5 2" xfId="15981" xr:uid="{00000000-0005-0000-0000-00002D3B0000}"/>
    <cellStyle name="Normal 7 2 2 2 2 5 3" xfId="15982" xr:uid="{00000000-0005-0000-0000-00002E3B0000}"/>
    <cellStyle name="Normal 7 2 2 2 2 6" xfId="15983" xr:uid="{00000000-0005-0000-0000-00002F3B0000}"/>
    <cellStyle name="Normal 7 2 2 2 2 7" xfId="15984" xr:uid="{00000000-0005-0000-0000-0000303B0000}"/>
    <cellStyle name="Normal 7 2 2 2 2 8" xfId="15985" xr:uid="{00000000-0005-0000-0000-0000313B0000}"/>
    <cellStyle name="Normal 7 2 2 2 2 9" xfId="15986" xr:uid="{00000000-0005-0000-0000-0000323B0000}"/>
    <cellStyle name="Normal 7 2 2 2 3" xfId="15987" xr:uid="{00000000-0005-0000-0000-0000333B0000}"/>
    <cellStyle name="Normal 7 2 2 2 3 2" xfId="15988" xr:uid="{00000000-0005-0000-0000-0000343B0000}"/>
    <cellStyle name="Normal 7 2 2 2 3 2 2" xfId="15989" xr:uid="{00000000-0005-0000-0000-0000353B0000}"/>
    <cellStyle name="Normal 7 2 2 2 3 2 2 2" xfId="15990" xr:uid="{00000000-0005-0000-0000-0000363B0000}"/>
    <cellStyle name="Normal 7 2 2 2 3 2 2 3" xfId="15991" xr:uid="{00000000-0005-0000-0000-0000373B0000}"/>
    <cellStyle name="Normal 7 2 2 2 3 2 3" xfId="15992" xr:uid="{00000000-0005-0000-0000-0000383B0000}"/>
    <cellStyle name="Normal 7 2 2 2 3 2 4" xfId="15993" xr:uid="{00000000-0005-0000-0000-0000393B0000}"/>
    <cellStyle name="Normal 7 2 2 2 3 2 5" xfId="15994" xr:uid="{00000000-0005-0000-0000-00003A3B0000}"/>
    <cellStyle name="Normal 7 2 2 2 3 2 6" xfId="15995" xr:uid="{00000000-0005-0000-0000-00003B3B0000}"/>
    <cellStyle name="Normal 7 2 2 2 3 3" xfId="15996" xr:uid="{00000000-0005-0000-0000-00003C3B0000}"/>
    <cellStyle name="Normal 7 2 2 2 3 3 2" xfId="15997" xr:uid="{00000000-0005-0000-0000-00003D3B0000}"/>
    <cellStyle name="Normal 7 2 2 2 3 3 2 2" xfId="15998" xr:uid="{00000000-0005-0000-0000-00003E3B0000}"/>
    <cellStyle name="Normal 7 2 2 2 3 3 2 3" xfId="15999" xr:uid="{00000000-0005-0000-0000-00003F3B0000}"/>
    <cellStyle name="Normal 7 2 2 2 3 3 3" xfId="16000" xr:uid="{00000000-0005-0000-0000-0000403B0000}"/>
    <cellStyle name="Normal 7 2 2 2 3 3 3 2" xfId="16001" xr:uid="{00000000-0005-0000-0000-0000413B0000}"/>
    <cellStyle name="Normal 7 2 2 2 3 3 4" xfId="16002" xr:uid="{00000000-0005-0000-0000-0000423B0000}"/>
    <cellStyle name="Normal 7 2 2 2 3 4" xfId="16003" xr:uid="{00000000-0005-0000-0000-0000433B0000}"/>
    <cellStyle name="Normal 7 2 2 2 3 4 2" xfId="16004" xr:uid="{00000000-0005-0000-0000-0000443B0000}"/>
    <cellStyle name="Normal 7 2 2 2 3 4 3" xfId="16005" xr:uid="{00000000-0005-0000-0000-0000453B0000}"/>
    <cellStyle name="Normal 7 2 2 2 3 5" xfId="16006" xr:uid="{00000000-0005-0000-0000-0000463B0000}"/>
    <cellStyle name="Normal 7 2 2 2 3 6" xfId="16007" xr:uid="{00000000-0005-0000-0000-0000473B0000}"/>
    <cellStyle name="Normal 7 2 2 2 3 7" xfId="16008" xr:uid="{00000000-0005-0000-0000-0000483B0000}"/>
    <cellStyle name="Normal 7 2 2 2 3 8" xfId="16009" xr:uid="{00000000-0005-0000-0000-0000493B0000}"/>
    <cellStyle name="Normal 7 2 2 2 4" xfId="16010" xr:uid="{00000000-0005-0000-0000-00004A3B0000}"/>
    <cellStyle name="Normal 7 2 2 2 4 2" xfId="16011" xr:uid="{00000000-0005-0000-0000-00004B3B0000}"/>
    <cellStyle name="Normal 7 2 2 2 4 2 2" xfId="16012" xr:uid="{00000000-0005-0000-0000-00004C3B0000}"/>
    <cellStyle name="Normal 7 2 2 2 4 2 3" xfId="16013" xr:uid="{00000000-0005-0000-0000-00004D3B0000}"/>
    <cellStyle name="Normal 7 2 2 2 4 2 4" xfId="16014" xr:uid="{00000000-0005-0000-0000-00004E3B0000}"/>
    <cellStyle name="Normal 7 2 2 2 4 3" xfId="16015" xr:uid="{00000000-0005-0000-0000-00004F3B0000}"/>
    <cellStyle name="Normal 7 2 2 2 4 4" xfId="16016" xr:uid="{00000000-0005-0000-0000-0000503B0000}"/>
    <cellStyle name="Normal 7 2 2 2 4 5" xfId="16017" xr:uid="{00000000-0005-0000-0000-0000513B0000}"/>
    <cellStyle name="Normal 7 2 2 2 4 6" xfId="16018" xr:uid="{00000000-0005-0000-0000-0000523B0000}"/>
    <cellStyle name="Normal 7 2 2 2 5" xfId="16019" xr:uid="{00000000-0005-0000-0000-0000533B0000}"/>
    <cellStyle name="Normal 7 2 2 2 5 2" xfId="16020" xr:uid="{00000000-0005-0000-0000-0000543B0000}"/>
    <cellStyle name="Normal 7 2 2 2 5 2 2" xfId="16021" xr:uid="{00000000-0005-0000-0000-0000553B0000}"/>
    <cellStyle name="Normal 7 2 2 2 5 2 3" xfId="16022" xr:uid="{00000000-0005-0000-0000-0000563B0000}"/>
    <cellStyle name="Normal 7 2 2 2 5 3" xfId="16023" xr:uid="{00000000-0005-0000-0000-0000573B0000}"/>
    <cellStyle name="Normal 7 2 2 2 5 4" xfId="16024" xr:uid="{00000000-0005-0000-0000-0000583B0000}"/>
    <cellStyle name="Normal 7 2 2 2 5 5" xfId="16025" xr:uid="{00000000-0005-0000-0000-0000593B0000}"/>
    <cellStyle name="Normal 7 2 2 2 5 6" xfId="16026" xr:uid="{00000000-0005-0000-0000-00005A3B0000}"/>
    <cellStyle name="Normal 7 2 2 2 6" xfId="16027" xr:uid="{00000000-0005-0000-0000-00005B3B0000}"/>
    <cellStyle name="Normal 7 2 2 2 6 2" xfId="16028" xr:uid="{00000000-0005-0000-0000-00005C3B0000}"/>
    <cellStyle name="Normal 7 2 2 2 6 3" xfId="16029" xr:uid="{00000000-0005-0000-0000-00005D3B0000}"/>
    <cellStyle name="Normal 7 2 2 2 7" xfId="16030" xr:uid="{00000000-0005-0000-0000-00005E3B0000}"/>
    <cellStyle name="Normal 7 2 2 2 8" xfId="16031" xr:uid="{00000000-0005-0000-0000-00005F3B0000}"/>
    <cellStyle name="Normal 7 2 2 2 9" xfId="16032" xr:uid="{00000000-0005-0000-0000-0000603B0000}"/>
    <cellStyle name="Normal 7 2 2 3" xfId="16033" xr:uid="{00000000-0005-0000-0000-0000613B0000}"/>
    <cellStyle name="Normal 7 2 2 3 2" xfId="16034" xr:uid="{00000000-0005-0000-0000-0000623B0000}"/>
    <cellStyle name="Normal 7 2 2 3 2 2" xfId="16035" xr:uid="{00000000-0005-0000-0000-0000633B0000}"/>
    <cellStyle name="Normal 7 2 2 3 2 2 2" xfId="16036" xr:uid="{00000000-0005-0000-0000-0000643B0000}"/>
    <cellStyle name="Normal 7 2 2 3 2 2 2 2" xfId="16037" xr:uid="{00000000-0005-0000-0000-0000653B0000}"/>
    <cellStyle name="Normal 7 2 2 3 2 2 2 3" xfId="16038" xr:uid="{00000000-0005-0000-0000-0000663B0000}"/>
    <cellStyle name="Normal 7 2 2 3 2 2 3" xfId="16039" xr:uid="{00000000-0005-0000-0000-0000673B0000}"/>
    <cellStyle name="Normal 7 2 2 3 2 2 4" xfId="16040" xr:uid="{00000000-0005-0000-0000-0000683B0000}"/>
    <cellStyle name="Normal 7 2 2 3 2 2 5" xfId="16041" xr:uid="{00000000-0005-0000-0000-0000693B0000}"/>
    <cellStyle name="Normal 7 2 2 3 2 2 6" xfId="16042" xr:uid="{00000000-0005-0000-0000-00006A3B0000}"/>
    <cellStyle name="Normal 7 2 2 3 2 3" xfId="16043" xr:uid="{00000000-0005-0000-0000-00006B3B0000}"/>
    <cellStyle name="Normal 7 2 2 3 2 3 2" xfId="16044" xr:uid="{00000000-0005-0000-0000-00006C3B0000}"/>
    <cellStyle name="Normal 7 2 2 3 2 3 2 2" xfId="16045" xr:uid="{00000000-0005-0000-0000-00006D3B0000}"/>
    <cellStyle name="Normal 7 2 2 3 2 3 2 3" xfId="16046" xr:uid="{00000000-0005-0000-0000-00006E3B0000}"/>
    <cellStyle name="Normal 7 2 2 3 2 3 3" xfId="16047" xr:uid="{00000000-0005-0000-0000-00006F3B0000}"/>
    <cellStyle name="Normal 7 2 2 3 2 3 3 2" xfId="16048" xr:uid="{00000000-0005-0000-0000-0000703B0000}"/>
    <cellStyle name="Normal 7 2 2 3 2 3 4" xfId="16049" xr:uid="{00000000-0005-0000-0000-0000713B0000}"/>
    <cellStyle name="Normal 7 2 2 3 2 4" xfId="16050" xr:uid="{00000000-0005-0000-0000-0000723B0000}"/>
    <cellStyle name="Normal 7 2 2 3 2 4 2" xfId="16051" xr:uid="{00000000-0005-0000-0000-0000733B0000}"/>
    <cellStyle name="Normal 7 2 2 3 2 4 3" xfId="16052" xr:uid="{00000000-0005-0000-0000-0000743B0000}"/>
    <cellStyle name="Normal 7 2 2 3 2 5" xfId="16053" xr:uid="{00000000-0005-0000-0000-0000753B0000}"/>
    <cellStyle name="Normal 7 2 2 3 2 6" xfId="16054" xr:uid="{00000000-0005-0000-0000-0000763B0000}"/>
    <cellStyle name="Normal 7 2 2 3 2 7" xfId="16055" xr:uid="{00000000-0005-0000-0000-0000773B0000}"/>
    <cellStyle name="Normal 7 2 2 3 2 8" xfId="16056" xr:uid="{00000000-0005-0000-0000-0000783B0000}"/>
    <cellStyle name="Normal 7 2 2 3 3" xfId="16057" xr:uid="{00000000-0005-0000-0000-0000793B0000}"/>
    <cellStyle name="Normal 7 2 2 3 3 2" xfId="16058" xr:uid="{00000000-0005-0000-0000-00007A3B0000}"/>
    <cellStyle name="Normal 7 2 2 3 3 2 2" xfId="16059" xr:uid="{00000000-0005-0000-0000-00007B3B0000}"/>
    <cellStyle name="Normal 7 2 2 3 3 2 3" xfId="16060" xr:uid="{00000000-0005-0000-0000-00007C3B0000}"/>
    <cellStyle name="Normal 7 2 2 3 3 3" xfId="16061" xr:uid="{00000000-0005-0000-0000-00007D3B0000}"/>
    <cellStyle name="Normal 7 2 2 3 3 4" xfId="16062" xr:uid="{00000000-0005-0000-0000-00007E3B0000}"/>
    <cellStyle name="Normal 7 2 2 3 3 5" xfId="16063" xr:uid="{00000000-0005-0000-0000-00007F3B0000}"/>
    <cellStyle name="Normal 7 2 2 3 3 6" xfId="16064" xr:uid="{00000000-0005-0000-0000-0000803B0000}"/>
    <cellStyle name="Normal 7 2 2 3 4" xfId="16065" xr:uid="{00000000-0005-0000-0000-0000813B0000}"/>
    <cellStyle name="Normal 7 2 2 3 4 2" xfId="16066" xr:uid="{00000000-0005-0000-0000-0000823B0000}"/>
    <cellStyle name="Normal 7 2 2 3 4 2 2" xfId="16067" xr:uid="{00000000-0005-0000-0000-0000833B0000}"/>
    <cellStyle name="Normal 7 2 2 3 4 2 3" xfId="16068" xr:uid="{00000000-0005-0000-0000-0000843B0000}"/>
    <cellStyle name="Normal 7 2 2 3 4 3" xfId="16069" xr:uid="{00000000-0005-0000-0000-0000853B0000}"/>
    <cellStyle name="Normal 7 2 2 3 4 3 2" xfId="16070" xr:uid="{00000000-0005-0000-0000-0000863B0000}"/>
    <cellStyle name="Normal 7 2 2 3 4 4" xfId="16071" xr:uid="{00000000-0005-0000-0000-0000873B0000}"/>
    <cellStyle name="Normal 7 2 2 3 5" xfId="16072" xr:uid="{00000000-0005-0000-0000-0000883B0000}"/>
    <cellStyle name="Normal 7 2 2 3 5 2" xfId="16073" xr:uid="{00000000-0005-0000-0000-0000893B0000}"/>
    <cellStyle name="Normal 7 2 2 3 5 3" xfId="16074" xr:uid="{00000000-0005-0000-0000-00008A3B0000}"/>
    <cellStyle name="Normal 7 2 2 3 6" xfId="16075" xr:uid="{00000000-0005-0000-0000-00008B3B0000}"/>
    <cellStyle name="Normal 7 2 2 3 7" xfId="16076" xr:uid="{00000000-0005-0000-0000-00008C3B0000}"/>
    <cellStyle name="Normal 7 2 2 3 8" xfId="16077" xr:uid="{00000000-0005-0000-0000-00008D3B0000}"/>
    <cellStyle name="Normal 7 2 2 3 9" xfId="16078" xr:uid="{00000000-0005-0000-0000-00008E3B0000}"/>
    <cellStyle name="Normal 7 2 2 4" xfId="16079" xr:uid="{00000000-0005-0000-0000-00008F3B0000}"/>
    <cellStyle name="Normal 7 2 2 4 2" xfId="16080" xr:uid="{00000000-0005-0000-0000-0000903B0000}"/>
    <cellStyle name="Normal 7 2 2 4 2 2" xfId="16081" xr:uid="{00000000-0005-0000-0000-0000913B0000}"/>
    <cellStyle name="Normal 7 2 2 4 2 2 2" xfId="16082" xr:uid="{00000000-0005-0000-0000-0000923B0000}"/>
    <cellStyle name="Normal 7 2 2 4 2 2 3" xfId="16083" xr:uid="{00000000-0005-0000-0000-0000933B0000}"/>
    <cellStyle name="Normal 7 2 2 4 2 2 4" xfId="16084" xr:uid="{00000000-0005-0000-0000-0000943B0000}"/>
    <cellStyle name="Normal 7 2 2 4 2 3" xfId="16085" xr:uid="{00000000-0005-0000-0000-0000953B0000}"/>
    <cellStyle name="Normal 7 2 2 4 2 4" xfId="16086" xr:uid="{00000000-0005-0000-0000-0000963B0000}"/>
    <cellStyle name="Normal 7 2 2 4 2 5" xfId="16087" xr:uid="{00000000-0005-0000-0000-0000973B0000}"/>
    <cellStyle name="Normal 7 2 2 4 2 6" xfId="16088" xr:uid="{00000000-0005-0000-0000-0000983B0000}"/>
    <cellStyle name="Normal 7 2 2 4 3" xfId="16089" xr:uid="{00000000-0005-0000-0000-0000993B0000}"/>
    <cellStyle name="Normal 7 2 2 4 3 2" xfId="16090" xr:uid="{00000000-0005-0000-0000-00009A3B0000}"/>
    <cellStyle name="Normal 7 2 2 4 3 2 2" xfId="16091" xr:uid="{00000000-0005-0000-0000-00009B3B0000}"/>
    <cellStyle name="Normal 7 2 2 4 3 2 3" xfId="16092" xr:uid="{00000000-0005-0000-0000-00009C3B0000}"/>
    <cellStyle name="Normal 7 2 2 4 3 3" xfId="16093" xr:uid="{00000000-0005-0000-0000-00009D3B0000}"/>
    <cellStyle name="Normal 7 2 2 4 3 4" xfId="16094" xr:uid="{00000000-0005-0000-0000-00009E3B0000}"/>
    <cellStyle name="Normal 7 2 2 4 3 5" xfId="16095" xr:uid="{00000000-0005-0000-0000-00009F3B0000}"/>
    <cellStyle name="Normal 7 2 2 4 3 6" xfId="16096" xr:uid="{00000000-0005-0000-0000-0000A03B0000}"/>
    <cellStyle name="Normal 7 2 2 4 4" xfId="16097" xr:uid="{00000000-0005-0000-0000-0000A13B0000}"/>
    <cellStyle name="Normal 7 2 2 4 4 2" xfId="16098" xr:uid="{00000000-0005-0000-0000-0000A23B0000}"/>
    <cellStyle name="Normal 7 2 2 4 4 3" xfId="16099" xr:uid="{00000000-0005-0000-0000-0000A33B0000}"/>
    <cellStyle name="Normal 7 2 2 4 5" xfId="16100" xr:uid="{00000000-0005-0000-0000-0000A43B0000}"/>
    <cellStyle name="Normal 7 2 2 4 6" xfId="16101" xr:uid="{00000000-0005-0000-0000-0000A53B0000}"/>
    <cellStyle name="Normal 7 2 2 4 7" xfId="16102" xr:uid="{00000000-0005-0000-0000-0000A63B0000}"/>
    <cellStyle name="Normal 7 2 2 4 8" xfId="16103" xr:uid="{00000000-0005-0000-0000-0000A73B0000}"/>
    <cellStyle name="Normal 7 2 2 5" xfId="16104" xr:uid="{00000000-0005-0000-0000-0000A83B0000}"/>
    <cellStyle name="Normal 7 2 2 5 2" xfId="16105" xr:uid="{00000000-0005-0000-0000-0000A93B0000}"/>
    <cellStyle name="Normal 7 2 2 5 2 2" xfId="16106" xr:uid="{00000000-0005-0000-0000-0000AA3B0000}"/>
    <cellStyle name="Normal 7 2 2 5 3" xfId="16107" xr:uid="{00000000-0005-0000-0000-0000AB3B0000}"/>
    <cellStyle name="Normal 7 2 2 5 4" xfId="16108" xr:uid="{00000000-0005-0000-0000-0000AC3B0000}"/>
    <cellStyle name="Normal 7 2 2 5 5" xfId="16109" xr:uid="{00000000-0005-0000-0000-0000AD3B0000}"/>
    <cellStyle name="Normal 7 2 2 6" xfId="16110" xr:uid="{00000000-0005-0000-0000-0000AE3B0000}"/>
    <cellStyle name="Normal 7 2 2 6 2" xfId="16111" xr:uid="{00000000-0005-0000-0000-0000AF3B0000}"/>
    <cellStyle name="Normal 7 2 2 6 2 2" xfId="16112" xr:uid="{00000000-0005-0000-0000-0000B03B0000}"/>
    <cellStyle name="Normal 7 2 2 6 2 3" xfId="16113" xr:uid="{00000000-0005-0000-0000-0000B13B0000}"/>
    <cellStyle name="Normal 7 2 2 6 3" xfId="16114" xr:uid="{00000000-0005-0000-0000-0000B23B0000}"/>
    <cellStyle name="Normal 7 2 2 6 4" xfId="16115" xr:uid="{00000000-0005-0000-0000-0000B33B0000}"/>
    <cellStyle name="Normal 7 2 2 6 5" xfId="16116" xr:uid="{00000000-0005-0000-0000-0000B43B0000}"/>
    <cellStyle name="Normal 7 2 2 6 6" xfId="16117" xr:uid="{00000000-0005-0000-0000-0000B53B0000}"/>
    <cellStyle name="Normal 7 2 2 7" xfId="16118" xr:uid="{00000000-0005-0000-0000-0000B63B0000}"/>
    <cellStyle name="Normal 7 2 2 7 2" xfId="16119" xr:uid="{00000000-0005-0000-0000-0000B73B0000}"/>
    <cellStyle name="Normal 7 2 2 7 2 2" xfId="16120" xr:uid="{00000000-0005-0000-0000-0000B83B0000}"/>
    <cellStyle name="Normal 7 2 2 7 2 3" xfId="16121" xr:uid="{00000000-0005-0000-0000-0000B93B0000}"/>
    <cellStyle name="Normal 7 2 2 7 3" xfId="16122" xr:uid="{00000000-0005-0000-0000-0000BA3B0000}"/>
    <cellStyle name="Normal 7 2 2 7 4" xfId="16123" xr:uid="{00000000-0005-0000-0000-0000BB3B0000}"/>
    <cellStyle name="Normal 7 2 2 7 5" xfId="16124" xr:uid="{00000000-0005-0000-0000-0000BC3B0000}"/>
    <cellStyle name="Normal 7 2 2 7 6" xfId="16125" xr:uid="{00000000-0005-0000-0000-0000BD3B0000}"/>
    <cellStyle name="Normal 7 2 2 8" xfId="16126" xr:uid="{00000000-0005-0000-0000-0000BE3B0000}"/>
    <cellStyle name="Normal 7 2 2 8 2" xfId="16127" xr:uid="{00000000-0005-0000-0000-0000BF3B0000}"/>
    <cellStyle name="Normal 7 2 2 8 3" xfId="16128" xr:uid="{00000000-0005-0000-0000-0000C03B0000}"/>
    <cellStyle name="Normal 7 2 2 9" xfId="16129" xr:uid="{00000000-0005-0000-0000-0000C13B0000}"/>
    <cellStyle name="Normal 7 2 2 9 2" xfId="16130" xr:uid="{00000000-0005-0000-0000-0000C23B0000}"/>
    <cellStyle name="Normal 7 2 20" xfId="2544" xr:uid="{00000000-0005-0000-0000-0000B7090000}"/>
    <cellStyle name="Normal 7 2 20 2" xfId="16131" xr:uid="{00000000-0005-0000-0000-0000C43B0000}"/>
    <cellStyle name="Normal 7 2 20 3" xfId="16132" xr:uid="{00000000-0005-0000-0000-0000C53B0000}"/>
    <cellStyle name="Normal 7 2 21" xfId="2545" xr:uid="{00000000-0005-0000-0000-0000B8090000}"/>
    <cellStyle name="Normal 7 2 21 2" xfId="16133" xr:uid="{00000000-0005-0000-0000-0000C73B0000}"/>
    <cellStyle name="Normal 7 2 21 3" xfId="16134" xr:uid="{00000000-0005-0000-0000-0000C83B0000}"/>
    <cellStyle name="Normal 7 2 22" xfId="2546" xr:uid="{00000000-0005-0000-0000-0000B9090000}"/>
    <cellStyle name="Normal 7 2 22 2" xfId="16135" xr:uid="{00000000-0005-0000-0000-0000CA3B0000}"/>
    <cellStyle name="Normal 7 2 22 3" xfId="16136" xr:uid="{00000000-0005-0000-0000-0000CB3B0000}"/>
    <cellStyle name="Normal 7 2 23" xfId="2547" xr:uid="{00000000-0005-0000-0000-0000BA090000}"/>
    <cellStyle name="Normal 7 2 23 2" xfId="16137" xr:uid="{00000000-0005-0000-0000-0000CD3B0000}"/>
    <cellStyle name="Normal 7 2 23 3" xfId="16138" xr:uid="{00000000-0005-0000-0000-0000CE3B0000}"/>
    <cellStyle name="Normal 7 2 24" xfId="16139" xr:uid="{00000000-0005-0000-0000-0000CF3B0000}"/>
    <cellStyle name="Normal 7 2 24 2" xfId="16140" xr:uid="{00000000-0005-0000-0000-0000D03B0000}"/>
    <cellStyle name="Normal 7 2 24 3" xfId="16141" xr:uid="{00000000-0005-0000-0000-0000D13B0000}"/>
    <cellStyle name="Normal 7 2 24 4" xfId="16142" xr:uid="{00000000-0005-0000-0000-0000D23B0000}"/>
    <cellStyle name="Normal 7 2 25" xfId="16143" xr:uid="{00000000-0005-0000-0000-0000D33B0000}"/>
    <cellStyle name="Normal 7 2 25 2" xfId="16144" xr:uid="{00000000-0005-0000-0000-0000D43B0000}"/>
    <cellStyle name="Normal 7 2 25 2 2" xfId="16145" xr:uid="{00000000-0005-0000-0000-0000D53B0000}"/>
    <cellStyle name="Normal 7 2 25 2 3" xfId="16146" xr:uid="{00000000-0005-0000-0000-0000D63B0000}"/>
    <cellStyle name="Normal 7 2 25 3" xfId="16147" xr:uid="{00000000-0005-0000-0000-0000D73B0000}"/>
    <cellStyle name="Normal 7 2 25 3 2" xfId="16148" xr:uid="{00000000-0005-0000-0000-0000D83B0000}"/>
    <cellStyle name="Normal 7 2 25 4" xfId="16149" xr:uid="{00000000-0005-0000-0000-0000D93B0000}"/>
    <cellStyle name="Normal 7 2 26" xfId="16150" xr:uid="{00000000-0005-0000-0000-0000DA3B0000}"/>
    <cellStyle name="Normal 7 2 26 2" xfId="16151" xr:uid="{00000000-0005-0000-0000-0000DB3B0000}"/>
    <cellStyle name="Normal 7 2 26 2 2" xfId="16152" xr:uid="{00000000-0005-0000-0000-0000DC3B0000}"/>
    <cellStyle name="Normal 7 2 26 2 3" xfId="16153" xr:uid="{00000000-0005-0000-0000-0000DD3B0000}"/>
    <cellStyle name="Normal 7 2 26 3" xfId="16154" xr:uid="{00000000-0005-0000-0000-0000DE3B0000}"/>
    <cellStyle name="Normal 7 2 26 3 2" xfId="16155" xr:uid="{00000000-0005-0000-0000-0000DF3B0000}"/>
    <cellStyle name="Normal 7 2 26 4" xfId="16156" xr:uid="{00000000-0005-0000-0000-0000E03B0000}"/>
    <cellStyle name="Normal 7 2 27" xfId="16157" xr:uid="{00000000-0005-0000-0000-0000E13B0000}"/>
    <cellStyle name="Normal 7 2 27 2" xfId="16158" xr:uid="{00000000-0005-0000-0000-0000E23B0000}"/>
    <cellStyle name="Normal 7 2 27 3" xfId="16159" xr:uid="{00000000-0005-0000-0000-0000E33B0000}"/>
    <cellStyle name="Normal 7 2 28" xfId="16160" xr:uid="{00000000-0005-0000-0000-0000E43B0000}"/>
    <cellStyle name="Normal 7 2 28 2" xfId="16161" xr:uid="{00000000-0005-0000-0000-0000E53B0000}"/>
    <cellStyle name="Normal 7 2 28 3" xfId="16162" xr:uid="{00000000-0005-0000-0000-0000E63B0000}"/>
    <cellStyle name="Normal 7 2 29" xfId="16163" xr:uid="{00000000-0005-0000-0000-0000E73B0000}"/>
    <cellStyle name="Normal 7 2 3" xfId="2548" xr:uid="{00000000-0005-0000-0000-0000BB090000}"/>
    <cellStyle name="Normal 7 2 3 10" xfId="16164" xr:uid="{00000000-0005-0000-0000-0000E93B0000}"/>
    <cellStyle name="Normal 7 2 3 2" xfId="16165" xr:uid="{00000000-0005-0000-0000-0000EA3B0000}"/>
    <cellStyle name="Normal 7 2 3 2 2" xfId="16166" xr:uid="{00000000-0005-0000-0000-0000EB3B0000}"/>
    <cellStyle name="Normal 7 2 3 2 2 2" xfId="16167" xr:uid="{00000000-0005-0000-0000-0000EC3B0000}"/>
    <cellStyle name="Normal 7 2 3 2 2 2 2" xfId="16168" xr:uid="{00000000-0005-0000-0000-0000ED3B0000}"/>
    <cellStyle name="Normal 7 2 3 2 2 2 2 2" xfId="16169" xr:uid="{00000000-0005-0000-0000-0000EE3B0000}"/>
    <cellStyle name="Normal 7 2 3 2 2 2 2 3" xfId="16170" xr:uid="{00000000-0005-0000-0000-0000EF3B0000}"/>
    <cellStyle name="Normal 7 2 3 2 2 2 3" xfId="16171" xr:uid="{00000000-0005-0000-0000-0000F03B0000}"/>
    <cellStyle name="Normal 7 2 3 2 2 2 4" xfId="16172" xr:uid="{00000000-0005-0000-0000-0000F13B0000}"/>
    <cellStyle name="Normal 7 2 3 2 2 2 5" xfId="16173" xr:uid="{00000000-0005-0000-0000-0000F23B0000}"/>
    <cellStyle name="Normal 7 2 3 2 2 2 6" xfId="16174" xr:uid="{00000000-0005-0000-0000-0000F33B0000}"/>
    <cellStyle name="Normal 7 2 3 2 2 3" xfId="16175" xr:uid="{00000000-0005-0000-0000-0000F43B0000}"/>
    <cellStyle name="Normal 7 2 3 2 2 3 2" xfId="16176" xr:uid="{00000000-0005-0000-0000-0000F53B0000}"/>
    <cellStyle name="Normal 7 2 3 2 2 3 2 2" xfId="16177" xr:uid="{00000000-0005-0000-0000-0000F63B0000}"/>
    <cellStyle name="Normal 7 2 3 2 2 3 2 3" xfId="16178" xr:uid="{00000000-0005-0000-0000-0000F73B0000}"/>
    <cellStyle name="Normal 7 2 3 2 2 3 3" xfId="16179" xr:uid="{00000000-0005-0000-0000-0000F83B0000}"/>
    <cellStyle name="Normal 7 2 3 2 2 3 3 2" xfId="16180" xr:uid="{00000000-0005-0000-0000-0000F93B0000}"/>
    <cellStyle name="Normal 7 2 3 2 2 3 4" xfId="16181" xr:uid="{00000000-0005-0000-0000-0000FA3B0000}"/>
    <cellStyle name="Normal 7 2 3 2 2 4" xfId="16182" xr:uid="{00000000-0005-0000-0000-0000FB3B0000}"/>
    <cellStyle name="Normal 7 2 3 2 2 4 2" xfId="16183" xr:uid="{00000000-0005-0000-0000-0000FC3B0000}"/>
    <cellStyle name="Normal 7 2 3 2 2 4 3" xfId="16184" xr:uid="{00000000-0005-0000-0000-0000FD3B0000}"/>
    <cellStyle name="Normal 7 2 3 2 2 5" xfId="16185" xr:uid="{00000000-0005-0000-0000-0000FE3B0000}"/>
    <cellStyle name="Normal 7 2 3 2 2 6" xfId="16186" xr:uid="{00000000-0005-0000-0000-0000FF3B0000}"/>
    <cellStyle name="Normal 7 2 3 2 2 7" xfId="16187" xr:uid="{00000000-0005-0000-0000-0000003C0000}"/>
    <cellStyle name="Normal 7 2 3 2 2 8" xfId="16188" xr:uid="{00000000-0005-0000-0000-0000013C0000}"/>
    <cellStyle name="Normal 7 2 3 2 3" xfId="16189" xr:uid="{00000000-0005-0000-0000-0000023C0000}"/>
    <cellStyle name="Normal 7 2 3 2 3 2" xfId="16190" xr:uid="{00000000-0005-0000-0000-0000033C0000}"/>
    <cellStyle name="Normal 7 2 3 2 3 2 2" xfId="16191" xr:uid="{00000000-0005-0000-0000-0000043C0000}"/>
    <cellStyle name="Normal 7 2 3 2 3 2 3" xfId="16192" xr:uid="{00000000-0005-0000-0000-0000053C0000}"/>
    <cellStyle name="Normal 7 2 3 2 3 3" xfId="16193" xr:uid="{00000000-0005-0000-0000-0000063C0000}"/>
    <cellStyle name="Normal 7 2 3 2 3 4" xfId="16194" xr:uid="{00000000-0005-0000-0000-0000073C0000}"/>
    <cellStyle name="Normal 7 2 3 2 3 5" xfId="16195" xr:uid="{00000000-0005-0000-0000-0000083C0000}"/>
    <cellStyle name="Normal 7 2 3 2 3 6" xfId="16196" xr:uid="{00000000-0005-0000-0000-0000093C0000}"/>
    <cellStyle name="Normal 7 2 3 2 4" xfId="16197" xr:uid="{00000000-0005-0000-0000-00000A3C0000}"/>
    <cellStyle name="Normal 7 2 3 2 4 2" xfId="16198" xr:uid="{00000000-0005-0000-0000-00000B3C0000}"/>
    <cellStyle name="Normal 7 2 3 2 4 2 2" xfId="16199" xr:uid="{00000000-0005-0000-0000-00000C3C0000}"/>
    <cellStyle name="Normal 7 2 3 2 4 2 3" xfId="16200" xr:uid="{00000000-0005-0000-0000-00000D3C0000}"/>
    <cellStyle name="Normal 7 2 3 2 4 3" xfId="16201" xr:uid="{00000000-0005-0000-0000-00000E3C0000}"/>
    <cellStyle name="Normal 7 2 3 2 4 3 2" xfId="16202" xr:uid="{00000000-0005-0000-0000-00000F3C0000}"/>
    <cellStyle name="Normal 7 2 3 2 4 4" xfId="16203" xr:uid="{00000000-0005-0000-0000-0000103C0000}"/>
    <cellStyle name="Normal 7 2 3 2 5" xfId="16204" xr:uid="{00000000-0005-0000-0000-0000113C0000}"/>
    <cellStyle name="Normal 7 2 3 2 5 2" xfId="16205" xr:uid="{00000000-0005-0000-0000-0000123C0000}"/>
    <cellStyle name="Normal 7 2 3 2 5 3" xfId="16206" xr:uid="{00000000-0005-0000-0000-0000133C0000}"/>
    <cellStyle name="Normal 7 2 3 2 6" xfId="16207" xr:uid="{00000000-0005-0000-0000-0000143C0000}"/>
    <cellStyle name="Normal 7 2 3 2 7" xfId="16208" xr:uid="{00000000-0005-0000-0000-0000153C0000}"/>
    <cellStyle name="Normal 7 2 3 2 8" xfId="16209" xr:uid="{00000000-0005-0000-0000-0000163C0000}"/>
    <cellStyle name="Normal 7 2 3 2 9" xfId="16210" xr:uid="{00000000-0005-0000-0000-0000173C0000}"/>
    <cellStyle name="Normal 7 2 3 3" xfId="16211" xr:uid="{00000000-0005-0000-0000-0000183C0000}"/>
    <cellStyle name="Normal 7 2 3 3 2" xfId="16212" xr:uid="{00000000-0005-0000-0000-0000193C0000}"/>
    <cellStyle name="Normal 7 2 3 3 2 2" xfId="16213" xr:uid="{00000000-0005-0000-0000-00001A3C0000}"/>
    <cellStyle name="Normal 7 2 3 3 2 2 2" xfId="16214" xr:uid="{00000000-0005-0000-0000-00001B3C0000}"/>
    <cellStyle name="Normal 7 2 3 3 2 2 3" xfId="16215" xr:uid="{00000000-0005-0000-0000-00001C3C0000}"/>
    <cellStyle name="Normal 7 2 3 3 2 2 4" xfId="16216" xr:uid="{00000000-0005-0000-0000-00001D3C0000}"/>
    <cellStyle name="Normal 7 2 3 3 2 3" xfId="16217" xr:uid="{00000000-0005-0000-0000-00001E3C0000}"/>
    <cellStyle name="Normal 7 2 3 3 2 4" xfId="16218" xr:uid="{00000000-0005-0000-0000-00001F3C0000}"/>
    <cellStyle name="Normal 7 2 3 3 2 5" xfId="16219" xr:uid="{00000000-0005-0000-0000-0000203C0000}"/>
    <cellStyle name="Normal 7 2 3 3 2 6" xfId="16220" xr:uid="{00000000-0005-0000-0000-0000213C0000}"/>
    <cellStyle name="Normal 7 2 3 3 3" xfId="16221" xr:uid="{00000000-0005-0000-0000-0000223C0000}"/>
    <cellStyle name="Normal 7 2 3 3 3 2" xfId="16222" xr:uid="{00000000-0005-0000-0000-0000233C0000}"/>
    <cellStyle name="Normal 7 2 3 3 3 2 2" xfId="16223" xr:uid="{00000000-0005-0000-0000-0000243C0000}"/>
    <cellStyle name="Normal 7 2 3 3 3 2 3" xfId="16224" xr:uid="{00000000-0005-0000-0000-0000253C0000}"/>
    <cellStyle name="Normal 7 2 3 3 3 3" xfId="16225" xr:uid="{00000000-0005-0000-0000-0000263C0000}"/>
    <cellStyle name="Normal 7 2 3 3 3 4" xfId="16226" xr:uid="{00000000-0005-0000-0000-0000273C0000}"/>
    <cellStyle name="Normal 7 2 3 3 3 5" xfId="16227" xr:uid="{00000000-0005-0000-0000-0000283C0000}"/>
    <cellStyle name="Normal 7 2 3 3 3 6" xfId="16228" xr:uid="{00000000-0005-0000-0000-0000293C0000}"/>
    <cellStyle name="Normal 7 2 3 3 4" xfId="16229" xr:uid="{00000000-0005-0000-0000-00002A3C0000}"/>
    <cellStyle name="Normal 7 2 3 3 4 2" xfId="16230" xr:uid="{00000000-0005-0000-0000-00002B3C0000}"/>
    <cellStyle name="Normal 7 2 3 3 4 3" xfId="16231" xr:uid="{00000000-0005-0000-0000-00002C3C0000}"/>
    <cellStyle name="Normal 7 2 3 3 5" xfId="16232" xr:uid="{00000000-0005-0000-0000-00002D3C0000}"/>
    <cellStyle name="Normal 7 2 3 3 6" xfId="16233" xr:uid="{00000000-0005-0000-0000-00002E3C0000}"/>
    <cellStyle name="Normal 7 2 3 3 7" xfId="16234" xr:uid="{00000000-0005-0000-0000-00002F3C0000}"/>
    <cellStyle name="Normal 7 2 3 3 8" xfId="16235" xr:uid="{00000000-0005-0000-0000-0000303C0000}"/>
    <cellStyle name="Normal 7 2 3 4" xfId="16236" xr:uid="{00000000-0005-0000-0000-0000313C0000}"/>
    <cellStyle name="Normal 7 2 3 4 2" xfId="16237" xr:uid="{00000000-0005-0000-0000-0000323C0000}"/>
    <cellStyle name="Normal 7 2 3 4 2 2" xfId="16238" xr:uid="{00000000-0005-0000-0000-0000333C0000}"/>
    <cellStyle name="Normal 7 2 3 4 3" xfId="16239" xr:uid="{00000000-0005-0000-0000-0000343C0000}"/>
    <cellStyle name="Normal 7 2 3 4 4" xfId="16240" xr:uid="{00000000-0005-0000-0000-0000353C0000}"/>
    <cellStyle name="Normal 7 2 3 4 5" xfId="16241" xr:uid="{00000000-0005-0000-0000-0000363C0000}"/>
    <cellStyle name="Normal 7 2 3 5" xfId="16242" xr:uid="{00000000-0005-0000-0000-0000373C0000}"/>
    <cellStyle name="Normal 7 2 3 5 2" xfId="16243" xr:uid="{00000000-0005-0000-0000-0000383C0000}"/>
    <cellStyle name="Normal 7 2 3 5 2 2" xfId="16244" xr:uid="{00000000-0005-0000-0000-0000393C0000}"/>
    <cellStyle name="Normal 7 2 3 5 2 3" xfId="16245" xr:uid="{00000000-0005-0000-0000-00003A3C0000}"/>
    <cellStyle name="Normal 7 2 3 5 3" xfId="16246" xr:uid="{00000000-0005-0000-0000-00003B3C0000}"/>
    <cellStyle name="Normal 7 2 3 5 4" xfId="16247" xr:uid="{00000000-0005-0000-0000-00003C3C0000}"/>
    <cellStyle name="Normal 7 2 3 5 5" xfId="16248" xr:uid="{00000000-0005-0000-0000-00003D3C0000}"/>
    <cellStyle name="Normal 7 2 3 5 6" xfId="16249" xr:uid="{00000000-0005-0000-0000-00003E3C0000}"/>
    <cellStyle name="Normal 7 2 3 6" xfId="16250" xr:uid="{00000000-0005-0000-0000-00003F3C0000}"/>
    <cellStyle name="Normal 7 2 3 6 2" xfId="16251" xr:uid="{00000000-0005-0000-0000-0000403C0000}"/>
    <cellStyle name="Normal 7 2 3 6 2 2" xfId="16252" xr:uid="{00000000-0005-0000-0000-0000413C0000}"/>
    <cellStyle name="Normal 7 2 3 6 2 3" xfId="16253" xr:uid="{00000000-0005-0000-0000-0000423C0000}"/>
    <cellStyle name="Normal 7 2 3 6 3" xfId="16254" xr:uid="{00000000-0005-0000-0000-0000433C0000}"/>
    <cellStyle name="Normal 7 2 3 6 4" xfId="16255" xr:uid="{00000000-0005-0000-0000-0000443C0000}"/>
    <cellStyle name="Normal 7 2 3 6 5" xfId="16256" xr:uid="{00000000-0005-0000-0000-0000453C0000}"/>
    <cellStyle name="Normal 7 2 3 6 6" xfId="16257" xr:uid="{00000000-0005-0000-0000-0000463C0000}"/>
    <cellStyle name="Normal 7 2 3 7" xfId="16258" xr:uid="{00000000-0005-0000-0000-0000473C0000}"/>
    <cellStyle name="Normal 7 2 3 7 2" xfId="16259" xr:uid="{00000000-0005-0000-0000-0000483C0000}"/>
    <cellStyle name="Normal 7 2 3 7 3" xfId="16260" xr:uid="{00000000-0005-0000-0000-0000493C0000}"/>
    <cellStyle name="Normal 7 2 3 8" xfId="16261" xr:uid="{00000000-0005-0000-0000-00004A3C0000}"/>
    <cellStyle name="Normal 7 2 3 9" xfId="16262" xr:uid="{00000000-0005-0000-0000-00004B3C0000}"/>
    <cellStyle name="Normal 7 2 4" xfId="2549" xr:uid="{00000000-0005-0000-0000-0000BC090000}"/>
    <cellStyle name="Normal 7 2 4 2" xfId="16263" xr:uid="{00000000-0005-0000-0000-00004D3C0000}"/>
    <cellStyle name="Normal 7 2 4 2 2" xfId="16264" xr:uid="{00000000-0005-0000-0000-00004E3C0000}"/>
    <cellStyle name="Normal 7 2 4 2 2 2" xfId="16265" xr:uid="{00000000-0005-0000-0000-00004F3C0000}"/>
    <cellStyle name="Normal 7 2 4 2 2 2 2" xfId="16266" xr:uid="{00000000-0005-0000-0000-0000503C0000}"/>
    <cellStyle name="Normal 7 2 4 2 2 2 2 2" xfId="16267" xr:uid="{00000000-0005-0000-0000-0000513C0000}"/>
    <cellStyle name="Normal 7 2 4 2 2 2 2 3" xfId="16268" xr:uid="{00000000-0005-0000-0000-0000523C0000}"/>
    <cellStyle name="Normal 7 2 4 2 2 2 3" xfId="16269" xr:uid="{00000000-0005-0000-0000-0000533C0000}"/>
    <cellStyle name="Normal 7 2 4 2 2 2 3 2" xfId="16270" xr:uid="{00000000-0005-0000-0000-0000543C0000}"/>
    <cellStyle name="Normal 7 2 4 2 2 2 4" xfId="16271" xr:uid="{00000000-0005-0000-0000-0000553C0000}"/>
    <cellStyle name="Normal 7 2 4 2 2 3" xfId="16272" xr:uid="{00000000-0005-0000-0000-0000563C0000}"/>
    <cellStyle name="Normal 7 2 4 2 2 3 2" xfId="16273" xr:uid="{00000000-0005-0000-0000-0000573C0000}"/>
    <cellStyle name="Normal 7 2 4 2 2 3 3" xfId="16274" xr:uid="{00000000-0005-0000-0000-0000583C0000}"/>
    <cellStyle name="Normal 7 2 4 2 2 4" xfId="16275" xr:uid="{00000000-0005-0000-0000-0000593C0000}"/>
    <cellStyle name="Normal 7 2 4 2 2 5" xfId="16276" xr:uid="{00000000-0005-0000-0000-00005A3C0000}"/>
    <cellStyle name="Normal 7 2 4 2 2 6" xfId="16277" xr:uid="{00000000-0005-0000-0000-00005B3C0000}"/>
    <cellStyle name="Normal 7 2 4 2 2 7" xfId="16278" xr:uid="{00000000-0005-0000-0000-00005C3C0000}"/>
    <cellStyle name="Normal 7 2 4 2 3" xfId="16279" xr:uid="{00000000-0005-0000-0000-00005D3C0000}"/>
    <cellStyle name="Normal 7 2 4 2 3 2" xfId="16280" xr:uid="{00000000-0005-0000-0000-00005E3C0000}"/>
    <cellStyle name="Normal 7 2 4 2 3 2 2" xfId="16281" xr:uid="{00000000-0005-0000-0000-00005F3C0000}"/>
    <cellStyle name="Normal 7 2 4 2 3 2 3" xfId="16282" xr:uid="{00000000-0005-0000-0000-0000603C0000}"/>
    <cellStyle name="Normal 7 2 4 2 3 3" xfId="16283" xr:uid="{00000000-0005-0000-0000-0000613C0000}"/>
    <cellStyle name="Normal 7 2 4 2 3 3 2" xfId="16284" xr:uid="{00000000-0005-0000-0000-0000623C0000}"/>
    <cellStyle name="Normal 7 2 4 2 3 4" xfId="16285" xr:uid="{00000000-0005-0000-0000-0000633C0000}"/>
    <cellStyle name="Normal 7 2 4 2 4" xfId="16286" xr:uid="{00000000-0005-0000-0000-0000643C0000}"/>
    <cellStyle name="Normal 7 2 4 2 5" xfId="16287" xr:uid="{00000000-0005-0000-0000-0000653C0000}"/>
    <cellStyle name="Normal 7 2 4 2 6" xfId="16288" xr:uid="{00000000-0005-0000-0000-0000663C0000}"/>
    <cellStyle name="Normal 7 2 4 3" xfId="16289" xr:uid="{00000000-0005-0000-0000-0000673C0000}"/>
    <cellStyle name="Normal 7 2 4 3 2" xfId="16290" xr:uid="{00000000-0005-0000-0000-0000683C0000}"/>
    <cellStyle name="Normal 7 2 4 3 2 2" xfId="16291" xr:uid="{00000000-0005-0000-0000-0000693C0000}"/>
    <cellStyle name="Normal 7 2 4 3 2 3" xfId="16292" xr:uid="{00000000-0005-0000-0000-00006A3C0000}"/>
    <cellStyle name="Normal 7 2 4 3 3" xfId="16293" xr:uid="{00000000-0005-0000-0000-00006B3C0000}"/>
    <cellStyle name="Normal 7 2 4 3 4" xfId="16294" xr:uid="{00000000-0005-0000-0000-00006C3C0000}"/>
    <cellStyle name="Normal 7 2 4 3 5" xfId="16295" xr:uid="{00000000-0005-0000-0000-00006D3C0000}"/>
    <cellStyle name="Normal 7 2 4 3 6" xfId="16296" xr:uid="{00000000-0005-0000-0000-00006E3C0000}"/>
    <cellStyle name="Normal 7 2 4 4" xfId="16297" xr:uid="{00000000-0005-0000-0000-00006F3C0000}"/>
    <cellStyle name="Normal 7 2 4 4 2" xfId="16298" xr:uid="{00000000-0005-0000-0000-0000703C0000}"/>
    <cellStyle name="Normal 7 2 4 4 2 2" xfId="16299" xr:uid="{00000000-0005-0000-0000-0000713C0000}"/>
    <cellStyle name="Normal 7 2 4 4 2 3" xfId="16300" xr:uid="{00000000-0005-0000-0000-0000723C0000}"/>
    <cellStyle name="Normal 7 2 4 4 3" xfId="16301" xr:uid="{00000000-0005-0000-0000-0000733C0000}"/>
    <cellStyle name="Normal 7 2 4 4 4" xfId="16302" xr:uid="{00000000-0005-0000-0000-0000743C0000}"/>
    <cellStyle name="Normal 7 2 4 4 5" xfId="16303" xr:uid="{00000000-0005-0000-0000-0000753C0000}"/>
    <cellStyle name="Normal 7 2 4 4 6" xfId="16304" xr:uid="{00000000-0005-0000-0000-0000763C0000}"/>
    <cellStyle name="Normal 7 2 4 5" xfId="16305" xr:uid="{00000000-0005-0000-0000-0000773C0000}"/>
    <cellStyle name="Normal 7 2 4 5 2" xfId="16306" xr:uid="{00000000-0005-0000-0000-0000783C0000}"/>
    <cellStyle name="Normal 7 2 4 5 3" xfId="16307" xr:uid="{00000000-0005-0000-0000-0000793C0000}"/>
    <cellStyle name="Normal 7 2 4 6" xfId="16308" xr:uid="{00000000-0005-0000-0000-00007A3C0000}"/>
    <cellStyle name="Normal 7 2 4 7" xfId="16309" xr:uid="{00000000-0005-0000-0000-00007B3C0000}"/>
    <cellStyle name="Normal 7 2 4 8" xfId="16310" xr:uid="{00000000-0005-0000-0000-00007C3C0000}"/>
    <cellStyle name="Normal 7 2 5" xfId="2550" xr:uid="{00000000-0005-0000-0000-0000BD090000}"/>
    <cellStyle name="Normal 7 2 5 2" xfId="16311" xr:uid="{00000000-0005-0000-0000-00007E3C0000}"/>
    <cellStyle name="Normal 7 2 5 2 2" xfId="16312" xr:uid="{00000000-0005-0000-0000-00007F3C0000}"/>
    <cellStyle name="Normal 7 2 5 2 2 2" xfId="16313" xr:uid="{00000000-0005-0000-0000-0000803C0000}"/>
    <cellStyle name="Normal 7 2 5 2 3" xfId="16314" xr:uid="{00000000-0005-0000-0000-0000813C0000}"/>
    <cellStyle name="Normal 7 2 5 2 4" xfId="16315" xr:uid="{00000000-0005-0000-0000-0000823C0000}"/>
    <cellStyle name="Normal 7 2 5 2 5" xfId="16316" xr:uid="{00000000-0005-0000-0000-0000833C0000}"/>
    <cellStyle name="Normal 7 2 5 3" xfId="16317" xr:uid="{00000000-0005-0000-0000-0000843C0000}"/>
    <cellStyle name="Normal 7 2 5 3 2" xfId="16318" xr:uid="{00000000-0005-0000-0000-0000853C0000}"/>
    <cellStyle name="Normal 7 2 5 3 2 2" xfId="16319" xr:uid="{00000000-0005-0000-0000-0000863C0000}"/>
    <cellStyle name="Normal 7 2 5 3 2 3" xfId="16320" xr:uid="{00000000-0005-0000-0000-0000873C0000}"/>
    <cellStyle name="Normal 7 2 5 3 3" xfId="16321" xr:uid="{00000000-0005-0000-0000-0000883C0000}"/>
    <cellStyle name="Normal 7 2 5 3 4" xfId="16322" xr:uid="{00000000-0005-0000-0000-0000893C0000}"/>
    <cellStyle name="Normal 7 2 5 3 5" xfId="16323" xr:uid="{00000000-0005-0000-0000-00008A3C0000}"/>
    <cellStyle name="Normal 7 2 5 3 6" xfId="16324" xr:uid="{00000000-0005-0000-0000-00008B3C0000}"/>
    <cellStyle name="Normal 7 2 5 4" xfId="16325" xr:uid="{00000000-0005-0000-0000-00008C3C0000}"/>
    <cellStyle name="Normal 7 2 5 4 2" xfId="16326" xr:uid="{00000000-0005-0000-0000-00008D3C0000}"/>
    <cellStyle name="Normal 7 2 5 4 2 2" xfId="16327" xr:uid="{00000000-0005-0000-0000-00008E3C0000}"/>
    <cellStyle name="Normal 7 2 5 4 2 3" xfId="16328" xr:uid="{00000000-0005-0000-0000-00008F3C0000}"/>
    <cellStyle name="Normal 7 2 5 4 3" xfId="16329" xr:uid="{00000000-0005-0000-0000-0000903C0000}"/>
    <cellStyle name="Normal 7 2 5 4 4" xfId="16330" xr:uid="{00000000-0005-0000-0000-0000913C0000}"/>
    <cellStyle name="Normal 7 2 5 4 5" xfId="16331" xr:uid="{00000000-0005-0000-0000-0000923C0000}"/>
    <cellStyle name="Normal 7 2 5 4 6" xfId="16332" xr:uid="{00000000-0005-0000-0000-0000933C0000}"/>
    <cellStyle name="Normal 7 2 5 5" xfId="16333" xr:uid="{00000000-0005-0000-0000-0000943C0000}"/>
    <cellStyle name="Normal 7 2 5 5 2" xfId="16334" xr:uid="{00000000-0005-0000-0000-0000953C0000}"/>
    <cellStyle name="Normal 7 2 5 5 3" xfId="16335" xr:uid="{00000000-0005-0000-0000-0000963C0000}"/>
    <cellStyle name="Normal 7 2 5 6" xfId="16336" xr:uid="{00000000-0005-0000-0000-0000973C0000}"/>
    <cellStyle name="Normal 7 2 5 7" xfId="16337" xr:uid="{00000000-0005-0000-0000-0000983C0000}"/>
    <cellStyle name="Normal 7 2 5 8" xfId="16338" xr:uid="{00000000-0005-0000-0000-0000993C0000}"/>
    <cellStyle name="Normal 7 2 6" xfId="2551" xr:uid="{00000000-0005-0000-0000-0000BE090000}"/>
    <cellStyle name="Normal 7 2 6 2" xfId="16339" xr:uid="{00000000-0005-0000-0000-00009B3C0000}"/>
    <cellStyle name="Normal 7 2 6 2 2" xfId="16340" xr:uid="{00000000-0005-0000-0000-00009C3C0000}"/>
    <cellStyle name="Normal 7 2 6 3" xfId="16341" xr:uid="{00000000-0005-0000-0000-00009D3C0000}"/>
    <cellStyle name="Normal 7 2 6 4" xfId="16342" xr:uid="{00000000-0005-0000-0000-00009E3C0000}"/>
    <cellStyle name="Normal 7 2 6 5" xfId="16343" xr:uid="{00000000-0005-0000-0000-00009F3C0000}"/>
    <cellStyle name="Normal 7 2 7" xfId="2552" xr:uid="{00000000-0005-0000-0000-0000BF090000}"/>
    <cellStyle name="Normal 7 2 7 2" xfId="16345" xr:uid="{00000000-0005-0000-0000-0000A13C0000}"/>
    <cellStyle name="Normal 7 2 7 3" xfId="16346" xr:uid="{00000000-0005-0000-0000-0000A23C0000}"/>
    <cellStyle name="Normal 7 2 8" xfId="2553" xr:uid="{00000000-0005-0000-0000-0000C0090000}"/>
    <cellStyle name="Normal 7 2 8 2" xfId="16347" xr:uid="{00000000-0005-0000-0000-0000A43C0000}"/>
    <cellStyle name="Normal 7 2 8 3" xfId="16348" xr:uid="{00000000-0005-0000-0000-0000A53C0000}"/>
    <cellStyle name="Normal 7 2 9" xfId="2554" xr:uid="{00000000-0005-0000-0000-0000C1090000}"/>
    <cellStyle name="Normal 7 2 9 2" xfId="16349" xr:uid="{00000000-0005-0000-0000-0000A73C0000}"/>
    <cellStyle name="Normal 7 2 9 3" xfId="16350" xr:uid="{00000000-0005-0000-0000-0000A83C0000}"/>
    <cellStyle name="Normal 7 2_App b.3 Unspent_" xfId="2555" xr:uid="{00000000-0005-0000-0000-0000C2090000}"/>
    <cellStyle name="Normal 7 20" xfId="2556" xr:uid="{00000000-0005-0000-0000-0000C3090000}"/>
    <cellStyle name="Normal 7 20 2" xfId="16351" xr:uid="{00000000-0005-0000-0000-0000AA3C0000}"/>
    <cellStyle name="Normal 7 20 3" xfId="16352" xr:uid="{00000000-0005-0000-0000-0000AB3C0000}"/>
    <cellStyle name="Normal 7 21" xfId="2557" xr:uid="{00000000-0005-0000-0000-0000C4090000}"/>
    <cellStyle name="Normal 7 21 2" xfId="16354" xr:uid="{00000000-0005-0000-0000-0000AD3C0000}"/>
    <cellStyle name="Normal 7 21 3" xfId="16355" xr:uid="{00000000-0005-0000-0000-0000AE3C0000}"/>
    <cellStyle name="Normal 7 22" xfId="2558" xr:uid="{00000000-0005-0000-0000-0000C5090000}"/>
    <cellStyle name="Normal 7 22 2" xfId="16356" xr:uid="{00000000-0005-0000-0000-0000B03C0000}"/>
    <cellStyle name="Normal 7 22 3" xfId="16357" xr:uid="{00000000-0005-0000-0000-0000B13C0000}"/>
    <cellStyle name="Normal 7 23" xfId="2559" xr:uid="{00000000-0005-0000-0000-0000C6090000}"/>
    <cellStyle name="Normal 7 23 2" xfId="16358" xr:uid="{00000000-0005-0000-0000-0000B33C0000}"/>
    <cellStyle name="Normal 7 23 3" xfId="16359" xr:uid="{00000000-0005-0000-0000-0000B43C0000}"/>
    <cellStyle name="Normal 7 24" xfId="2560" xr:uid="{00000000-0005-0000-0000-0000C7090000}"/>
    <cellStyle name="Normal 7 24 2" xfId="16360" xr:uid="{00000000-0005-0000-0000-0000B63C0000}"/>
    <cellStyle name="Normal 7 24 3" xfId="16361" xr:uid="{00000000-0005-0000-0000-0000B73C0000}"/>
    <cellStyle name="Normal 7 25" xfId="16362" xr:uid="{00000000-0005-0000-0000-0000B83C0000}"/>
    <cellStyle name="Normal 7 25 2" xfId="16363" xr:uid="{00000000-0005-0000-0000-0000B93C0000}"/>
    <cellStyle name="Normal 7 25 2 2" xfId="16364" xr:uid="{00000000-0005-0000-0000-0000BA3C0000}"/>
    <cellStyle name="Normal 7 25 2 3" xfId="16365" xr:uid="{00000000-0005-0000-0000-0000BB3C0000}"/>
    <cellStyle name="Normal 7 25 2 4" xfId="16366" xr:uid="{00000000-0005-0000-0000-0000BC3C0000}"/>
    <cellStyle name="Normal 7 25 3" xfId="16367" xr:uid="{00000000-0005-0000-0000-0000BD3C0000}"/>
    <cellStyle name="Normal 7 25 4" xfId="16368" xr:uid="{00000000-0005-0000-0000-0000BE3C0000}"/>
    <cellStyle name="Normal 7 25 5" xfId="16369" xr:uid="{00000000-0005-0000-0000-0000BF3C0000}"/>
    <cellStyle name="Normal 7 25 6" xfId="16370" xr:uid="{00000000-0005-0000-0000-0000C03C0000}"/>
    <cellStyle name="Normal 7 26" xfId="16371" xr:uid="{00000000-0005-0000-0000-0000C13C0000}"/>
    <cellStyle name="Normal 7 26 2" xfId="16372" xr:uid="{00000000-0005-0000-0000-0000C23C0000}"/>
    <cellStyle name="Normal 7 26 2 2" xfId="16373" xr:uid="{00000000-0005-0000-0000-0000C33C0000}"/>
    <cellStyle name="Normal 7 26 2 3" xfId="16374" xr:uid="{00000000-0005-0000-0000-0000C43C0000}"/>
    <cellStyle name="Normal 7 26 3" xfId="16375" xr:uid="{00000000-0005-0000-0000-0000C53C0000}"/>
    <cellStyle name="Normal 7 26 4" xfId="16376" xr:uid="{00000000-0005-0000-0000-0000C63C0000}"/>
    <cellStyle name="Normal 7 26 5" xfId="16377" xr:uid="{00000000-0005-0000-0000-0000C73C0000}"/>
    <cellStyle name="Normal 7 26 6" xfId="16378" xr:uid="{00000000-0005-0000-0000-0000C83C0000}"/>
    <cellStyle name="Normal 7 27" xfId="16379" xr:uid="{00000000-0005-0000-0000-0000C93C0000}"/>
    <cellStyle name="Normal 7 27 2" xfId="16380" xr:uid="{00000000-0005-0000-0000-0000CA3C0000}"/>
    <cellStyle name="Normal 7 27 3" xfId="16381" xr:uid="{00000000-0005-0000-0000-0000CB3C0000}"/>
    <cellStyle name="Normal 7 27 4" xfId="16382" xr:uid="{00000000-0005-0000-0000-0000CC3C0000}"/>
    <cellStyle name="Normal 7 28" xfId="16383" xr:uid="{00000000-0005-0000-0000-0000CD3C0000}"/>
    <cellStyle name="Normal 7 28 2" xfId="16384" xr:uid="{00000000-0005-0000-0000-0000CE3C0000}"/>
    <cellStyle name="Normal 7 28 3" xfId="16385" xr:uid="{00000000-0005-0000-0000-0000CF3C0000}"/>
    <cellStyle name="Normal 7 29" xfId="16386" xr:uid="{00000000-0005-0000-0000-0000D03C0000}"/>
    <cellStyle name="Normal 7 29 2" xfId="16387" xr:uid="{00000000-0005-0000-0000-0000D13C0000}"/>
    <cellStyle name="Normal 7 3" xfId="2561" xr:uid="{00000000-0005-0000-0000-0000C8090000}"/>
    <cellStyle name="Normal 7 3 2" xfId="16388" xr:uid="{00000000-0005-0000-0000-0000D33C0000}"/>
    <cellStyle name="Normal 7 3 2 2" xfId="16389" xr:uid="{00000000-0005-0000-0000-0000D43C0000}"/>
    <cellStyle name="Normal 7 3 2 2 2" xfId="16390" xr:uid="{00000000-0005-0000-0000-0000D53C0000}"/>
    <cellStyle name="Normal 7 3 2 3" xfId="16391" xr:uid="{00000000-0005-0000-0000-0000D63C0000}"/>
    <cellStyle name="Normal 7 3 2 4" xfId="16392" xr:uid="{00000000-0005-0000-0000-0000D73C0000}"/>
    <cellStyle name="Normal 7 3 2 5" xfId="16393" xr:uid="{00000000-0005-0000-0000-0000D83C0000}"/>
    <cellStyle name="Normal 7 3 3" xfId="16394" xr:uid="{00000000-0005-0000-0000-0000D93C0000}"/>
    <cellStyle name="Normal 7 3 3 2" xfId="16395" xr:uid="{00000000-0005-0000-0000-0000DA3C0000}"/>
    <cellStyle name="Normal 7 3 3 3" xfId="16396" xr:uid="{00000000-0005-0000-0000-0000DB3C0000}"/>
    <cellStyle name="Normal 7 3 3 4" xfId="16397" xr:uid="{00000000-0005-0000-0000-0000DC3C0000}"/>
    <cellStyle name="Normal 7 3 4" xfId="16398" xr:uid="{00000000-0005-0000-0000-0000DD3C0000}"/>
    <cellStyle name="Normal 7 3 5" xfId="16399" xr:uid="{00000000-0005-0000-0000-0000DE3C0000}"/>
    <cellStyle name="Normal 7 30" xfId="16400" xr:uid="{00000000-0005-0000-0000-0000DF3C0000}"/>
    <cellStyle name="Normal 7 4" xfId="2562" xr:uid="{00000000-0005-0000-0000-0000C9090000}"/>
    <cellStyle name="Normal 7 4 2" xfId="16401" xr:uid="{00000000-0005-0000-0000-0000E13C0000}"/>
    <cellStyle name="Normal 7 4 2 2" xfId="16402" xr:uid="{00000000-0005-0000-0000-0000E23C0000}"/>
    <cellStyle name="Normal 7 4 2 3" xfId="16403" xr:uid="{00000000-0005-0000-0000-0000E33C0000}"/>
    <cellStyle name="Normal 7 4 2 4" xfId="16404" xr:uid="{00000000-0005-0000-0000-0000E43C0000}"/>
    <cellStyle name="Normal 7 4 3" xfId="16405" xr:uid="{00000000-0005-0000-0000-0000E53C0000}"/>
    <cellStyle name="Normal 7 4 4" xfId="16406" xr:uid="{00000000-0005-0000-0000-0000E63C0000}"/>
    <cellStyle name="Normal 7 4 5" xfId="16407" xr:uid="{00000000-0005-0000-0000-0000E73C0000}"/>
    <cellStyle name="Normal 7 4 6" xfId="16408" xr:uid="{00000000-0005-0000-0000-0000E83C0000}"/>
    <cellStyle name="Normal 7 5" xfId="2563" xr:uid="{00000000-0005-0000-0000-0000CA090000}"/>
    <cellStyle name="Normal 7 5 2" xfId="16409" xr:uid="{00000000-0005-0000-0000-0000EA3C0000}"/>
    <cellStyle name="Normal 7 5 2 2" xfId="16410" xr:uid="{00000000-0005-0000-0000-0000EB3C0000}"/>
    <cellStyle name="Normal 7 5 2 3" xfId="16411" xr:uid="{00000000-0005-0000-0000-0000EC3C0000}"/>
    <cellStyle name="Normal 7 5 3" xfId="16412" xr:uid="{00000000-0005-0000-0000-0000ED3C0000}"/>
    <cellStyle name="Normal 7 5 4" xfId="16413" xr:uid="{00000000-0005-0000-0000-0000EE3C0000}"/>
    <cellStyle name="Normal 7 6" xfId="2564" xr:uid="{00000000-0005-0000-0000-0000CB090000}"/>
    <cellStyle name="Normal 7 6 2" xfId="16414" xr:uid="{00000000-0005-0000-0000-0000F03C0000}"/>
    <cellStyle name="Normal 7 6 2 2" xfId="16415" xr:uid="{00000000-0005-0000-0000-0000F13C0000}"/>
    <cellStyle name="Normal 7 6 3" xfId="16416" xr:uid="{00000000-0005-0000-0000-0000F23C0000}"/>
    <cellStyle name="Normal 7 7" xfId="2565" xr:uid="{00000000-0005-0000-0000-0000CC090000}"/>
    <cellStyle name="Normal 7 7 2" xfId="16417" xr:uid="{00000000-0005-0000-0000-0000F43C0000}"/>
    <cellStyle name="Normal 7 7 2 2" xfId="16418" xr:uid="{00000000-0005-0000-0000-0000F53C0000}"/>
    <cellStyle name="Normal 7 7 3" xfId="16419" xr:uid="{00000000-0005-0000-0000-0000F63C0000}"/>
    <cellStyle name="Normal 7 7 4" xfId="16420" xr:uid="{00000000-0005-0000-0000-0000F73C0000}"/>
    <cellStyle name="Normal 7 7 5" xfId="16421" xr:uid="{00000000-0005-0000-0000-0000F83C0000}"/>
    <cellStyle name="Normal 7 8" xfId="2566" xr:uid="{00000000-0005-0000-0000-0000CD090000}"/>
    <cellStyle name="Normal 7 8 2" xfId="16422" xr:uid="{00000000-0005-0000-0000-0000FA3C0000}"/>
    <cellStyle name="Normal 7 8 2 2" xfId="16423" xr:uid="{00000000-0005-0000-0000-0000FB3C0000}"/>
    <cellStyle name="Normal 7 8 3" xfId="16424" xr:uid="{00000000-0005-0000-0000-0000FC3C0000}"/>
    <cellStyle name="Normal 7 8 4" xfId="16425" xr:uid="{00000000-0005-0000-0000-0000FD3C0000}"/>
    <cellStyle name="Normal 7 8 5" xfId="16426" xr:uid="{00000000-0005-0000-0000-0000FE3C0000}"/>
    <cellStyle name="Normal 7 9" xfId="2567" xr:uid="{00000000-0005-0000-0000-0000CE090000}"/>
    <cellStyle name="Normal 7 9 2" xfId="16427" xr:uid="{00000000-0005-0000-0000-0000003D0000}"/>
    <cellStyle name="Normal 7 9 3" xfId="16428" xr:uid="{00000000-0005-0000-0000-0000013D0000}"/>
    <cellStyle name="Normal 7_App b.3 Unspent_" xfId="2568" xr:uid="{00000000-0005-0000-0000-0000CF090000}"/>
    <cellStyle name="Normal 70" xfId="16429" xr:uid="{00000000-0005-0000-0000-0000033D0000}"/>
    <cellStyle name="Normal 70 2" xfId="16430" xr:uid="{00000000-0005-0000-0000-0000043D0000}"/>
    <cellStyle name="Normal 71" xfId="16431" xr:uid="{00000000-0005-0000-0000-0000053D0000}"/>
    <cellStyle name="Normal 71 2" xfId="16432" xr:uid="{00000000-0005-0000-0000-0000063D0000}"/>
    <cellStyle name="Normal 71 3" xfId="49" xr:uid="{00000000-0005-0000-0000-000034000000}"/>
    <cellStyle name="Normal 71 3 2" xfId="151" xr:uid="{00000000-0005-0000-0000-000034000000}"/>
    <cellStyle name="Normal 72" xfId="16433" xr:uid="{00000000-0005-0000-0000-0000073D0000}"/>
    <cellStyle name="Normal 72 2" xfId="16434" xr:uid="{00000000-0005-0000-0000-0000083D0000}"/>
    <cellStyle name="Normal 72 3" xfId="50" xr:uid="{00000000-0005-0000-0000-000035000000}"/>
    <cellStyle name="Normal 72 3 2" xfId="152" xr:uid="{00000000-0005-0000-0000-000035000000}"/>
    <cellStyle name="Normal 73" xfId="16435" xr:uid="{00000000-0005-0000-0000-0000093D0000}"/>
    <cellStyle name="Normal 73 2" xfId="16436" xr:uid="{00000000-0005-0000-0000-00000A3D0000}"/>
    <cellStyle name="Normal 73 3" xfId="51" xr:uid="{00000000-0005-0000-0000-000036000000}"/>
    <cellStyle name="Normal 73 3 2" xfId="153" xr:uid="{00000000-0005-0000-0000-000036000000}"/>
    <cellStyle name="Normal 74" xfId="16437" xr:uid="{00000000-0005-0000-0000-00000B3D0000}"/>
    <cellStyle name="Normal 74 2" xfId="16438" xr:uid="{00000000-0005-0000-0000-00000C3D0000}"/>
    <cellStyle name="Normal 74 3" xfId="55" xr:uid="{00000000-0005-0000-0000-000037000000}"/>
    <cellStyle name="Normal 74 3 2" xfId="157" xr:uid="{00000000-0005-0000-0000-000037000000}"/>
    <cellStyle name="Normal 75" xfId="16439" xr:uid="{00000000-0005-0000-0000-00000D3D0000}"/>
    <cellStyle name="Normal 75 2" xfId="16440" xr:uid="{00000000-0005-0000-0000-00000E3D0000}"/>
    <cellStyle name="Normal 75 3" xfId="52" xr:uid="{00000000-0005-0000-0000-000038000000}"/>
    <cellStyle name="Normal 75 3 2" xfId="154" xr:uid="{00000000-0005-0000-0000-000038000000}"/>
    <cellStyle name="Normal 76" xfId="16441" xr:uid="{00000000-0005-0000-0000-00000F3D0000}"/>
    <cellStyle name="Normal 76 2" xfId="16442" xr:uid="{00000000-0005-0000-0000-0000103D0000}"/>
    <cellStyle name="Normal 76 3" xfId="54" xr:uid="{00000000-0005-0000-0000-000039000000}"/>
    <cellStyle name="Normal 76 3 2" xfId="156" xr:uid="{00000000-0005-0000-0000-000039000000}"/>
    <cellStyle name="Normal 77" xfId="16443" xr:uid="{00000000-0005-0000-0000-0000113D0000}"/>
    <cellStyle name="Normal 77 2" xfId="16444" xr:uid="{00000000-0005-0000-0000-0000123D0000}"/>
    <cellStyle name="Normal 77 3" xfId="53" xr:uid="{00000000-0005-0000-0000-00003A000000}"/>
    <cellStyle name="Normal 77 3 2" xfId="155" xr:uid="{00000000-0005-0000-0000-00003A000000}"/>
    <cellStyle name="Normal 78" xfId="16445" xr:uid="{00000000-0005-0000-0000-0000133D0000}"/>
    <cellStyle name="Normal 78 2" xfId="16446" xr:uid="{00000000-0005-0000-0000-0000143D0000}"/>
    <cellStyle name="Normal 78 2 2" xfId="16447" xr:uid="{00000000-0005-0000-0000-0000153D0000}"/>
    <cellStyle name="Normal 78 3" xfId="16448" xr:uid="{00000000-0005-0000-0000-0000163D0000}"/>
    <cellStyle name="Normal 79" xfId="16449" xr:uid="{00000000-0005-0000-0000-0000173D0000}"/>
    <cellStyle name="Normal 79 2" xfId="16450" xr:uid="{00000000-0005-0000-0000-0000183D0000}"/>
    <cellStyle name="Normal 79 2 2" xfId="16451" xr:uid="{00000000-0005-0000-0000-0000193D0000}"/>
    <cellStyle name="Normal 79 3" xfId="56" xr:uid="{00000000-0005-0000-0000-00003B000000}"/>
    <cellStyle name="Normal 79 3 2" xfId="158" xr:uid="{00000000-0005-0000-0000-00003B000000}"/>
    <cellStyle name="Normal 8" xfId="2569" xr:uid="{00000000-0005-0000-0000-0000D0090000}"/>
    <cellStyle name="Normal 8 10" xfId="16452" xr:uid="{00000000-0005-0000-0000-00001C3D0000}"/>
    <cellStyle name="Normal 8 10 2" xfId="16453" xr:uid="{00000000-0005-0000-0000-00001D3D0000}"/>
    <cellStyle name="Normal 8 10 3" xfId="16454" xr:uid="{00000000-0005-0000-0000-00001E3D0000}"/>
    <cellStyle name="Normal 8 10 4" xfId="16455" xr:uid="{00000000-0005-0000-0000-00001F3D0000}"/>
    <cellStyle name="Normal 8 11" xfId="16456" xr:uid="{00000000-0005-0000-0000-0000203D0000}"/>
    <cellStyle name="Normal 8 11 2" xfId="16457" xr:uid="{00000000-0005-0000-0000-0000213D0000}"/>
    <cellStyle name="Normal 8 11 2 2" xfId="16458" xr:uid="{00000000-0005-0000-0000-0000223D0000}"/>
    <cellStyle name="Normal 8 11 3" xfId="16459" xr:uid="{00000000-0005-0000-0000-0000233D0000}"/>
    <cellStyle name="Normal 8 12" xfId="16460" xr:uid="{00000000-0005-0000-0000-0000243D0000}"/>
    <cellStyle name="Normal 8 12 2" xfId="16461" xr:uid="{00000000-0005-0000-0000-0000253D0000}"/>
    <cellStyle name="Normal 8 13" xfId="16462" xr:uid="{00000000-0005-0000-0000-0000263D0000}"/>
    <cellStyle name="Normal 8 14" xfId="16463" xr:uid="{00000000-0005-0000-0000-0000273D0000}"/>
    <cellStyle name="Normal 8 15" xfId="16464" xr:uid="{00000000-0005-0000-0000-0000283D0000}"/>
    <cellStyle name="Normal 8 16" xfId="5335" xr:uid="{00000000-0005-0000-0000-00001B3D0000}"/>
    <cellStyle name="Normal 8 2" xfId="2570" xr:uid="{00000000-0005-0000-0000-0000D1090000}"/>
    <cellStyle name="Normal 8 2 2" xfId="16465" xr:uid="{00000000-0005-0000-0000-00002A3D0000}"/>
    <cellStyle name="Normal 8 2 2 2" xfId="16466" xr:uid="{00000000-0005-0000-0000-00002B3D0000}"/>
    <cellStyle name="Normal 8 2 2 2 2" xfId="16467" xr:uid="{00000000-0005-0000-0000-00002C3D0000}"/>
    <cellStyle name="Normal 8 2 2 2 2 2" xfId="16468" xr:uid="{00000000-0005-0000-0000-00002D3D0000}"/>
    <cellStyle name="Normal 8 2 2 2 2 2 2" xfId="16469" xr:uid="{00000000-0005-0000-0000-00002E3D0000}"/>
    <cellStyle name="Normal 8 2 2 2 2 2 3" xfId="16470" xr:uid="{00000000-0005-0000-0000-00002F3D0000}"/>
    <cellStyle name="Normal 8 2 2 2 2 3" xfId="16471" xr:uid="{00000000-0005-0000-0000-0000303D0000}"/>
    <cellStyle name="Normal 8 2 2 2 2 4" xfId="16472" xr:uid="{00000000-0005-0000-0000-0000313D0000}"/>
    <cellStyle name="Normal 8 2 2 2 2 5" xfId="16473" xr:uid="{00000000-0005-0000-0000-0000323D0000}"/>
    <cellStyle name="Normal 8 2 2 2 2 6" xfId="16474" xr:uid="{00000000-0005-0000-0000-0000333D0000}"/>
    <cellStyle name="Normal 8 2 2 2 3" xfId="16475" xr:uid="{00000000-0005-0000-0000-0000343D0000}"/>
    <cellStyle name="Normal 8 2 2 2 3 2" xfId="16476" xr:uid="{00000000-0005-0000-0000-0000353D0000}"/>
    <cellStyle name="Normal 8 2 2 2 3 2 2" xfId="16477" xr:uid="{00000000-0005-0000-0000-0000363D0000}"/>
    <cellStyle name="Normal 8 2 2 2 3 2 3" xfId="16478" xr:uid="{00000000-0005-0000-0000-0000373D0000}"/>
    <cellStyle name="Normal 8 2 2 2 3 3" xfId="16479" xr:uid="{00000000-0005-0000-0000-0000383D0000}"/>
    <cellStyle name="Normal 8 2 2 2 3 3 2" xfId="16480" xr:uid="{00000000-0005-0000-0000-0000393D0000}"/>
    <cellStyle name="Normal 8 2 2 2 3 4" xfId="16481" xr:uid="{00000000-0005-0000-0000-00003A3D0000}"/>
    <cellStyle name="Normal 8 2 2 2 4" xfId="16482" xr:uid="{00000000-0005-0000-0000-00003B3D0000}"/>
    <cellStyle name="Normal 8 2 2 2 4 2" xfId="16483" xr:uid="{00000000-0005-0000-0000-00003C3D0000}"/>
    <cellStyle name="Normal 8 2 2 2 4 3" xfId="16484" xr:uid="{00000000-0005-0000-0000-00003D3D0000}"/>
    <cellStyle name="Normal 8 2 2 2 5" xfId="16485" xr:uid="{00000000-0005-0000-0000-00003E3D0000}"/>
    <cellStyle name="Normal 8 2 2 2 6" xfId="16486" xr:uid="{00000000-0005-0000-0000-00003F3D0000}"/>
    <cellStyle name="Normal 8 2 2 2 7" xfId="16487" xr:uid="{00000000-0005-0000-0000-0000403D0000}"/>
    <cellStyle name="Normal 8 2 2 2 8" xfId="16488" xr:uid="{00000000-0005-0000-0000-0000413D0000}"/>
    <cellStyle name="Normal 8 2 2 3" xfId="16489" xr:uid="{00000000-0005-0000-0000-0000423D0000}"/>
    <cellStyle name="Normal 8 2 2 3 2" xfId="16490" xr:uid="{00000000-0005-0000-0000-0000433D0000}"/>
    <cellStyle name="Normal 8 2 2 3 2 2" xfId="16491" xr:uid="{00000000-0005-0000-0000-0000443D0000}"/>
    <cellStyle name="Normal 8 2 2 3 2 3" xfId="16492" xr:uid="{00000000-0005-0000-0000-0000453D0000}"/>
    <cellStyle name="Normal 8 2 2 3 2 4" xfId="16493" xr:uid="{00000000-0005-0000-0000-0000463D0000}"/>
    <cellStyle name="Normal 8 2 2 3 3" xfId="16494" xr:uid="{00000000-0005-0000-0000-0000473D0000}"/>
    <cellStyle name="Normal 8 2 2 3 4" xfId="16495" xr:uid="{00000000-0005-0000-0000-0000483D0000}"/>
    <cellStyle name="Normal 8 2 2 3 5" xfId="16496" xr:uid="{00000000-0005-0000-0000-0000493D0000}"/>
    <cellStyle name="Normal 8 2 2 3 6" xfId="16497" xr:uid="{00000000-0005-0000-0000-00004A3D0000}"/>
    <cellStyle name="Normal 8 2 2 4" xfId="16498" xr:uid="{00000000-0005-0000-0000-00004B3D0000}"/>
    <cellStyle name="Normal 8 2 2 4 2" xfId="16499" xr:uid="{00000000-0005-0000-0000-00004C3D0000}"/>
    <cellStyle name="Normal 8 2 2 4 2 2" xfId="16500" xr:uid="{00000000-0005-0000-0000-00004D3D0000}"/>
    <cellStyle name="Normal 8 2 2 4 2 3" xfId="16501" xr:uid="{00000000-0005-0000-0000-00004E3D0000}"/>
    <cellStyle name="Normal 8 2 2 4 3" xfId="16502" xr:uid="{00000000-0005-0000-0000-00004F3D0000}"/>
    <cellStyle name="Normal 8 2 2 4 3 2" xfId="16503" xr:uid="{00000000-0005-0000-0000-0000503D0000}"/>
    <cellStyle name="Normal 8 2 2 4 4" xfId="16504" xr:uid="{00000000-0005-0000-0000-0000513D0000}"/>
    <cellStyle name="Normal 8 2 2 5" xfId="16505" xr:uid="{00000000-0005-0000-0000-0000523D0000}"/>
    <cellStyle name="Normal 8 2 2 5 2" xfId="16506" xr:uid="{00000000-0005-0000-0000-0000533D0000}"/>
    <cellStyle name="Normal 8 2 2 5 3" xfId="16507" xr:uid="{00000000-0005-0000-0000-0000543D0000}"/>
    <cellStyle name="Normal 8 2 2 6" xfId="16508" xr:uid="{00000000-0005-0000-0000-0000553D0000}"/>
    <cellStyle name="Normal 8 2 2 7" xfId="16509" xr:uid="{00000000-0005-0000-0000-0000563D0000}"/>
    <cellStyle name="Normal 8 2 2 8" xfId="16510" xr:uid="{00000000-0005-0000-0000-0000573D0000}"/>
    <cellStyle name="Normal 8 2 2 9" xfId="16511" xr:uid="{00000000-0005-0000-0000-0000583D0000}"/>
    <cellStyle name="Normal 8 2 3" xfId="16512" xr:uid="{00000000-0005-0000-0000-0000593D0000}"/>
    <cellStyle name="Normal 8 2 3 2" xfId="16513" xr:uid="{00000000-0005-0000-0000-00005A3D0000}"/>
    <cellStyle name="Normal 8 2 3 2 2" xfId="16514" xr:uid="{00000000-0005-0000-0000-00005B3D0000}"/>
    <cellStyle name="Normal 8 2 3 2 2 2" xfId="16515" xr:uid="{00000000-0005-0000-0000-00005C3D0000}"/>
    <cellStyle name="Normal 8 2 3 2 2 3" xfId="16516" xr:uid="{00000000-0005-0000-0000-00005D3D0000}"/>
    <cellStyle name="Normal 8 2 3 2 2 4" xfId="16517" xr:uid="{00000000-0005-0000-0000-00005E3D0000}"/>
    <cellStyle name="Normal 8 2 3 2 3" xfId="16518" xr:uid="{00000000-0005-0000-0000-00005F3D0000}"/>
    <cellStyle name="Normal 8 2 3 2 4" xfId="16519" xr:uid="{00000000-0005-0000-0000-0000603D0000}"/>
    <cellStyle name="Normal 8 2 3 2 5" xfId="16520" xr:uid="{00000000-0005-0000-0000-0000613D0000}"/>
    <cellStyle name="Normal 8 2 3 2 6" xfId="16521" xr:uid="{00000000-0005-0000-0000-0000623D0000}"/>
    <cellStyle name="Normal 8 2 3 3" xfId="16522" xr:uid="{00000000-0005-0000-0000-0000633D0000}"/>
    <cellStyle name="Normal 8 2 3 3 2" xfId="16523" xr:uid="{00000000-0005-0000-0000-0000643D0000}"/>
    <cellStyle name="Normal 8 2 3 3 2 2" xfId="16524" xr:uid="{00000000-0005-0000-0000-0000653D0000}"/>
    <cellStyle name="Normal 8 2 3 3 2 3" xfId="16525" xr:uid="{00000000-0005-0000-0000-0000663D0000}"/>
    <cellStyle name="Normal 8 2 3 3 3" xfId="16526" xr:uid="{00000000-0005-0000-0000-0000673D0000}"/>
    <cellStyle name="Normal 8 2 3 3 4" xfId="16527" xr:uid="{00000000-0005-0000-0000-0000683D0000}"/>
    <cellStyle name="Normal 8 2 3 3 5" xfId="16528" xr:uid="{00000000-0005-0000-0000-0000693D0000}"/>
    <cellStyle name="Normal 8 2 3 3 6" xfId="16529" xr:uid="{00000000-0005-0000-0000-00006A3D0000}"/>
    <cellStyle name="Normal 8 2 3 4" xfId="16530" xr:uid="{00000000-0005-0000-0000-00006B3D0000}"/>
    <cellStyle name="Normal 8 2 3 4 2" xfId="16531" xr:uid="{00000000-0005-0000-0000-00006C3D0000}"/>
    <cellStyle name="Normal 8 2 3 4 3" xfId="16532" xr:uid="{00000000-0005-0000-0000-00006D3D0000}"/>
    <cellStyle name="Normal 8 2 3 5" xfId="16533" xr:uid="{00000000-0005-0000-0000-00006E3D0000}"/>
    <cellStyle name="Normal 8 2 3 6" xfId="16534" xr:uid="{00000000-0005-0000-0000-00006F3D0000}"/>
    <cellStyle name="Normal 8 2 3 7" xfId="16535" xr:uid="{00000000-0005-0000-0000-0000703D0000}"/>
    <cellStyle name="Normal 8 2 3 8" xfId="16536" xr:uid="{00000000-0005-0000-0000-0000713D0000}"/>
    <cellStyle name="Normal 8 2 4" xfId="16537" xr:uid="{00000000-0005-0000-0000-0000723D0000}"/>
    <cellStyle name="Normal 8 2 4 2" xfId="16538" xr:uid="{00000000-0005-0000-0000-0000733D0000}"/>
    <cellStyle name="Normal 8 2 4 2 2" xfId="16539" xr:uid="{00000000-0005-0000-0000-0000743D0000}"/>
    <cellStyle name="Normal 8 2 4 2 3" xfId="16540" xr:uid="{00000000-0005-0000-0000-0000753D0000}"/>
    <cellStyle name="Normal 8 2 4 2 4" xfId="16541" xr:uid="{00000000-0005-0000-0000-0000763D0000}"/>
    <cellStyle name="Normal 8 2 4 3" xfId="16542" xr:uid="{00000000-0005-0000-0000-0000773D0000}"/>
    <cellStyle name="Normal 8 2 4 4" xfId="16543" xr:uid="{00000000-0005-0000-0000-0000783D0000}"/>
    <cellStyle name="Normal 8 2 4 5" xfId="16544" xr:uid="{00000000-0005-0000-0000-0000793D0000}"/>
    <cellStyle name="Normal 8 2 4 6" xfId="16545" xr:uid="{00000000-0005-0000-0000-00007A3D0000}"/>
    <cellStyle name="Normal 8 2 5" xfId="16546" xr:uid="{00000000-0005-0000-0000-00007B3D0000}"/>
    <cellStyle name="Normal 8 2 5 2" xfId="16547" xr:uid="{00000000-0005-0000-0000-00007C3D0000}"/>
    <cellStyle name="Normal 8 2 5 2 2" xfId="16548" xr:uid="{00000000-0005-0000-0000-00007D3D0000}"/>
    <cellStyle name="Normal 8 2 5 2 3" xfId="16549" xr:uid="{00000000-0005-0000-0000-00007E3D0000}"/>
    <cellStyle name="Normal 8 2 5 3" xfId="16550" xr:uid="{00000000-0005-0000-0000-00007F3D0000}"/>
    <cellStyle name="Normal 8 2 5 3 2" xfId="16551" xr:uid="{00000000-0005-0000-0000-0000803D0000}"/>
    <cellStyle name="Normal 8 2 5 4" xfId="16552" xr:uid="{00000000-0005-0000-0000-0000813D0000}"/>
    <cellStyle name="Normal 8 2 6" xfId="16553" xr:uid="{00000000-0005-0000-0000-0000823D0000}"/>
    <cellStyle name="Normal 8 2 6 2" xfId="16554" xr:uid="{00000000-0005-0000-0000-0000833D0000}"/>
    <cellStyle name="Normal 8 2 6 3" xfId="16555" xr:uid="{00000000-0005-0000-0000-0000843D0000}"/>
    <cellStyle name="Normal 8 2 7" xfId="16556" xr:uid="{00000000-0005-0000-0000-0000853D0000}"/>
    <cellStyle name="Normal 8 2 7 2" xfId="16557" xr:uid="{00000000-0005-0000-0000-0000863D0000}"/>
    <cellStyle name="Normal 8 2 7 3" xfId="16558" xr:uid="{00000000-0005-0000-0000-0000873D0000}"/>
    <cellStyle name="Normal 8 2 8" xfId="16559" xr:uid="{00000000-0005-0000-0000-0000883D0000}"/>
    <cellStyle name="Normal 8 3" xfId="2571" xr:uid="{00000000-0005-0000-0000-0000D2090000}"/>
    <cellStyle name="Normal 8 3 2" xfId="16560" xr:uid="{00000000-0005-0000-0000-00008A3D0000}"/>
    <cellStyle name="Normal 8 3 2 2" xfId="16561" xr:uid="{00000000-0005-0000-0000-00008B3D0000}"/>
    <cellStyle name="Normal 8 3 2 2 2" xfId="16562" xr:uid="{00000000-0005-0000-0000-00008C3D0000}"/>
    <cellStyle name="Normal 8 3 2 2 2 2" xfId="16563" xr:uid="{00000000-0005-0000-0000-00008D3D0000}"/>
    <cellStyle name="Normal 8 3 2 2 2 3" xfId="16564" xr:uid="{00000000-0005-0000-0000-00008E3D0000}"/>
    <cellStyle name="Normal 8 3 2 2 3" xfId="16565" xr:uid="{00000000-0005-0000-0000-00008F3D0000}"/>
    <cellStyle name="Normal 8 3 2 2 4" xfId="16566" xr:uid="{00000000-0005-0000-0000-0000903D0000}"/>
    <cellStyle name="Normal 8 3 2 2 5" xfId="16567" xr:uid="{00000000-0005-0000-0000-0000913D0000}"/>
    <cellStyle name="Normal 8 3 2 2 6" xfId="16568" xr:uid="{00000000-0005-0000-0000-0000923D0000}"/>
    <cellStyle name="Normal 8 3 2 3" xfId="16569" xr:uid="{00000000-0005-0000-0000-0000933D0000}"/>
    <cellStyle name="Normal 8 3 2 3 2" xfId="16570" xr:uid="{00000000-0005-0000-0000-0000943D0000}"/>
    <cellStyle name="Normal 8 3 2 3 2 2" xfId="16571" xr:uid="{00000000-0005-0000-0000-0000953D0000}"/>
    <cellStyle name="Normal 8 3 2 3 2 3" xfId="16572" xr:uid="{00000000-0005-0000-0000-0000963D0000}"/>
    <cellStyle name="Normal 8 3 2 3 3" xfId="16573" xr:uid="{00000000-0005-0000-0000-0000973D0000}"/>
    <cellStyle name="Normal 8 3 2 3 3 2" xfId="16574" xr:uid="{00000000-0005-0000-0000-0000983D0000}"/>
    <cellStyle name="Normal 8 3 2 3 4" xfId="16575" xr:uid="{00000000-0005-0000-0000-0000993D0000}"/>
    <cellStyle name="Normal 8 3 2 4" xfId="16576" xr:uid="{00000000-0005-0000-0000-00009A3D0000}"/>
    <cellStyle name="Normal 8 3 2 4 2" xfId="16577" xr:uid="{00000000-0005-0000-0000-00009B3D0000}"/>
    <cellStyle name="Normal 8 3 2 4 3" xfId="16578" xr:uid="{00000000-0005-0000-0000-00009C3D0000}"/>
    <cellStyle name="Normal 8 3 2 5" xfId="16579" xr:uid="{00000000-0005-0000-0000-00009D3D0000}"/>
    <cellStyle name="Normal 8 3 2 6" xfId="16580" xr:uid="{00000000-0005-0000-0000-00009E3D0000}"/>
    <cellStyle name="Normal 8 3 2 7" xfId="16581" xr:uid="{00000000-0005-0000-0000-00009F3D0000}"/>
    <cellStyle name="Normal 8 3 2 8" xfId="16582" xr:uid="{00000000-0005-0000-0000-0000A03D0000}"/>
    <cellStyle name="Normal 8 3 3" xfId="16583" xr:uid="{00000000-0005-0000-0000-0000A13D0000}"/>
    <cellStyle name="Normal 8 3 3 2" xfId="16584" xr:uid="{00000000-0005-0000-0000-0000A23D0000}"/>
    <cellStyle name="Normal 8 3 3 2 2" xfId="16585" xr:uid="{00000000-0005-0000-0000-0000A33D0000}"/>
    <cellStyle name="Normal 8 3 3 2 3" xfId="16586" xr:uid="{00000000-0005-0000-0000-0000A43D0000}"/>
    <cellStyle name="Normal 8 3 3 2 4" xfId="16587" xr:uid="{00000000-0005-0000-0000-0000A53D0000}"/>
    <cellStyle name="Normal 8 3 3 3" xfId="16588" xr:uid="{00000000-0005-0000-0000-0000A63D0000}"/>
    <cellStyle name="Normal 8 3 3 4" xfId="16589" xr:uid="{00000000-0005-0000-0000-0000A73D0000}"/>
    <cellStyle name="Normal 8 3 3 5" xfId="16590" xr:uid="{00000000-0005-0000-0000-0000A83D0000}"/>
    <cellStyle name="Normal 8 3 3 6" xfId="16591" xr:uid="{00000000-0005-0000-0000-0000A93D0000}"/>
    <cellStyle name="Normal 8 3 4" xfId="16592" xr:uid="{00000000-0005-0000-0000-0000AA3D0000}"/>
    <cellStyle name="Normal 8 3 4 2" xfId="16593" xr:uid="{00000000-0005-0000-0000-0000AB3D0000}"/>
    <cellStyle name="Normal 8 3 4 2 2" xfId="16594" xr:uid="{00000000-0005-0000-0000-0000AC3D0000}"/>
    <cellStyle name="Normal 8 3 4 2 3" xfId="16595" xr:uid="{00000000-0005-0000-0000-0000AD3D0000}"/>
    <cellStyle name="Normal 8 3 4 2 4" xfId="16596" xr:uid="{00000000-0005-0000-0000-0000AE3D0000}"/>
    <cellStyle name="Normal 8 3 4 3" xfId="16597" xr:uid="{00000000-0005-0000-0000-0000AF3D0000}"/>
    <cellStyle name="Normal 8 3 4 4" xfId="16598" xr:uid="{00000000-0005-0000-0000-0000B03D0000}"/>
    <cellStyle name="Normal 8 3 4 5" xfId="16599" xr:uid="{00000000-0005-0000-0000-0000B13D0000}"/>
    <cellStyle name="Normal 8 3 4 6" xfId="16600" xr:uid="{00000000-0005-0000-0000-0000B23D0000}"/>
    <cellStyle name="Normal 8 3 5" xfId="16601" xr:uid="{00000000-0005-0000-0000-0000B33D0000}"/>
    <cellStyle name="Normal 8 3 5 2" xfId="16602" xr:uid="{00000000-0005-0000-0000-0000B43D0000}"/>
    <cellStyle name="Normal 8 3 5 2 2" xfId="16603" xr:uid="{00000000-0005-0000-0000-0000B53D0000}"/>
    <cellStyle name="Normal 8 3 5 3" xfId="16604" xr:uid="{00000000-0005-0000-0000-0000B63D0000}"/>
    <cellStyle name="Normal 8 3 5 4" xfId="16605" xr:uid="{00000000-0005-0000-0000-0000B73D0000}"/>
    <cellStyle name="Normal 8 3 5 5" xfId="16606" xr:uid="{00000000-0005-0000-0000-0000B83D0000}"/>
    <cellStyle name="Normal 8 3 6" xfId="16607" xr:uid="{00000000-0005-0000-0000-0000B93D0000}"/>
    <cellStyle name="Normal 8 3 6 2" xfId="16608" xr:uid="{00000000-0005-0000-0000-0000BA3D0000}"/>
    <cellStyle name="Normal 8 3 7" xfId="16609" xr:uid="{00000000-0005-0000-0000-0000BB3D0000}"/>
    <cellStyle name="Normal 8 3 8" xfId="5334" xr:uid="{00000000-0005-0000-0000-0000893D0000}"/>
    <cellStyle name="Normal 8 4" xfId="16610" xr:uid="{00000000-0005-0000-0000-0000BC3D0000}"/>
    <cellStyle name="Normal 8 4 2" xfId="16611" xr:uid="{00000000-0005-0000-0000-0000BD3D0000}"/>
    <cellStyle name="Normal 8 4 2 2" xfId="16612" xr:uid="{00000000-0005-0000-0000-0000BE3D0000}"/>
    <cellStyle name="Normal 8 4 2 3" xfId="16613" xr:uid="{00000000-0005-0000-0000-0000BF3D0000}"/>
    <cellStyle name="Normal 8 4 2 4" xfId="16614" xr:uid="{00000000-0005-0000-0000-0000C03D0000}"/>
    <cellStyle name="Normal 8 4 2 5" xfId="16615" xr:uid="{00000000-0005-0000-0000-0000C13D0000}"/>
    <cellStyle name="Normal 8 4 3" xfId="16616" xr:uid="{00000000-0005-0000-0000-0000C23D0000}"/>
    <cellStyle name="Normal 8 4 3 2" xfId="16617" xr:uid="{00000000-0005-0000-0000-0000C33D0000}"/>
    <cellStyle name="Normal 8 4 3 2 2" xfId="16618" xr:uid="{00000000-0005-0000-0000-0000C43D0000}"/>
    <cellStyle name="Normal 8 4 3 2 3" xfId="16619" xr:uid="{00000000-0005-0000-0000-0000C53D0000}"/>
    <cellStyle name="Normal 8 4 3 2 4" xfId="16620" xr:uid="{00000000-0005-0000-0000-0000C63D0000}"/>
    <cellStyle name="Normal 8 4 3 3" xfId="16621" xr:uid="{00000000-0005-0000-0000-0000C73D0000}"/>
    <cellStyle name="Normal 8 4 3 4" xfId="16622" xr:uid="{00000000-0005-0000-0000-0000C83D0000}"/>
    <cellStyle name="Normal 8 4 3 5" xfId="16623" xr:uid="{00000000-0005-0000-0000-0000C93D0000}"/>
    <cellStyle name="Normal 8 4 3 6" xfId="16624" xr:uid="{00000000-0005-0000-0000-0000CA3D0000}"/>
    <cellStyle name="Normal 8 4 4" xfId="16625" xr:uid="{00000000-0005-0000-0000-0000CB3D0000}"/>
    <cellStyle name="Normal 8 4 4 2" xfId="16626" xr:uid="{00000000-0005-0000-0000-0000CC3D0000}"/>
    <cellStyle name="Normal 8 4 4 3" xfId="16627" xr:uid="{00000000-0005-0000-0000-0000CD3D0000}"/>
    <cellStyle name="Normal 8 4 4 4" xfId="16628" xr:uid="{00000000-0005-0000-0000-0000CE3D0000}"/>
    <cellStyle name="Normal 8 4 5" xfId="16629" xr:uid="{00000000-0005-0000-0000-0000CF3D0000}"/>
    <cellStyle name="Normal 8 4 5 2" xfId="16630" xr:uid="{00000000-0005-0000-0000-0000D03D0000}"/>
    <cellStyle name="Normal 8 4 5 3" xfId="16631" xr:uid="{00000000-0005-0000-0000-0000D13D0000}"/>
    <cellStyle name="Normal 8 4 6" xfId="16632" xr:uid="{00000000-0005-0000-0000-0000D23D0000}"/>
    <cellStyle name="Normal 8 4 7" xfId="16633" xr:uid="{00000000-0005-0000-0000-0000D33D0000}"/>
    <cellStyle name="Normal 8 5" xfId="16634" xr:uid="{00000000-0005-0000-0000-0000D43D0000}"/>
    <cellStyle name="Normal 8 5 2" xfId="16635" xr:uid="{00000000-0005-0000-0000-0000D53D0000}"/>
    <cellStyle name="Normal 8 5 2 2" xfId="16636" xr:uid="{00000000-0005-0000-0000-0000D63D0000}"/>
    <cellStyle name="Normal 8 5 2 2 2" xfId="16637" xr:uid="{00000000-0005-0000-0000-0000D73D0000}"/>
    <cellStyle name="Normal 8 5 2 2 2 2" xfId="16638" xr:uid="{00000000-0005-0000-0000-0000D83D0000}"/>
    <cellStyle name="Normal 8 5 2 2 2 3" xfId="16639" xr:uid="{00000000-0005-0000-0000-0000D93D0000}"/>
    <cellStyle name="Normal 8 5 2 2 3" xfId="16640" xr:uid="{00000000-0005-0000-0000-0000DA3D0000}"/>
    <cellStyle name="Normal 8 5 2 2 3 2" xfId="16641" xr:uid="{00000000-0005-0000-0000-0000DB3D0000}"/>
    <cellStyle name="Normal 8 5 2 2 4" xfId="16642" xr:uid="{00000000-0005-0000-0000-0000DC3D0000}"/>
    <cellStyle name="Normal 8 5 2 3" xfId="16643" xr:uid="{00000000-0005-0000-0000-0000DD3D0000}"/>
    <cellStyle name="Normal 8 5 2 3 2" xfId="16644" xr:uid="{00000000-0005-0000-0000-0000DE3D0000}"/>
    <cellStyle name="Normal 8 5 2 3 3" xfId="16645" xr:uid="{00000000-0005-0000-0000-0000DF3D0000}"/>
    <cellStyle name="Normal 8 5 2 4" xfId="16646" xr:uid="{00000000-0005-0000-0000-0000E03D0000}"/>
    <cellStyle name="Normal 8 5 2 4 2" xfId="16647" xr:uid="{00000000-0005-0000-0000-0000E13D0000}"/>
    <cellStyle name="Normal 8 5 2 5" xfId="16648" xr:uid="{00000000-0005-0000-0000-0000E23D0000}"/>
    <cellStyle name="Normal 8 5 3" xfId="16649" xr:uid="{00000000-0005-0000-0000-0000E33D0000}"/>
    <cellStyle name="Normal 8 5 3 2" xfId="16650" xr:uid="{00000000-0005-0000-0000-0000E43D0000}"/>
    <cellStyle name="Normal 8 5 3 2 2" xfId="16651" xr:uid="{00000000-0005-0000-0000-0000E53D0000}"/>
    <cellStyle name="Normal 8 5 3 2 3" xfId="16652" xr:uid="{00000000-0005-0000-0000-0000E63D0000}"/>
    <cellStyle name="Normal 8 5 3 3" xfId="16653" xr:uid="{00000000-0005-0000-0000-0000E73D0000}"/>
    <cellStyle name="Normal 8 5 3 3 2" xfId="16654" xr:uid="{00000000-0005-0000-0000-0000E83D0000}"/>
    <cellStyle name="Normal 8 5 3 4" xfId="16655" xr:uid="{00000000-0005-0000-0000-0000E93D0000}"/>
    <cellStyle name="Normal 8 5 4" xfId="16656" xr:uid="{00000000-0005-0000-0000-0000EA3D0000}"/>
    <cellStyle name="Normal 8 5 4 2" xfId="16657" xr:uid="{00000000-0005-0000-0000-0000EB3D0000}"/>
    <cellStyle name="Normal 8 5 5" xfId="16658" xr:uid="{00000000-0005-0000-0000-0000EC3D0000}"/>
    <cellStyle name="Normal 8 5 6" xfId="16659" xr:uid="{00000000-0005-0000-0000-0000ED3D0000}"/>
    <cellStyle name="Normal 8 5 7" xfId="16660" xr:uid="{00000000-0005-0000-0000-0000EE3D0000}"/>
    <cellStyle name="Normal 8 6" xfId="16661" xr:uid="{00000000-0005-0000-0000-0000EF3D0000}"/>
    <cellStyle name="Normal 8 6 2" xfId="16662" xr:uid="{00000000-0005-0000-0000-0000F03D0000}"/>
    <cellStyle name="Normal 8 6 2 2" xfId="16663" xr:uid="{00000000-0005-0000-0000-0000F13D0000}"/>
    <cellStyle name="Normal 8 6 2 3" xfId="16664" xr:uid="{00000000-0005-0000-0000-0000F23D0000}"/>
    <cellStyle name="Normal 8 6 2 4" xfId="16665" xr:uid="{00000000-0005-0000-0000-0000F33D0000}"/>
    <cellStyle name="Normal 8 6 3" xfId="16666" xr:uid="{00000000-0005-0000-0000-0000F43D0000}"/>
    <cellStyle name="Normal 8 6 4" xfId="16667" xr:uid="{00000000-0005-0000-0000-0000F53D0000}"/>
    <cellStyle name="Normal 8 6 5" xfId="16668" xr:uid="{00000000-0005-0000-0000-0000F63D0000}"/>
    <cellStyle name="Normal 8 6 6" xfId="16669" xr:uid="{00000000-0005-0000-0000-0000F73D0000}"/>
    <cellStyle name="Normal 8 7" xfId="16670" xr:uid="{00000000-0005-0000-0000-0000F83D0000}"/>
    <cellStyle name="Normal 8 7 2" xfId="16671" xr:uid="{00000000-0005-0000-0000-0000F93D0000}"/>
    <cellStyle name="Normal 8 7 2 2" xfId="16672" xr:uid="{00000000-0005-0000-0000-0000FA3D0000}"/>
    <cellStyle name="Normal 8 7 2 3" xfId="16673" xr:uid="{00000000-0005-0000-0000-0000FB3D0000}"/>
    <cellStyle name="Normal 8 7 2 4" xfId="16674" xr:uid="{00000000-0005-0000-0000-0000FC3D0000}"/>
    <cellStyle name="Normal 8 7 3" xfId="16675" xr:uid="{00000000-0005-0000-0000-0000FD3D0000}"/>
    <cellStyle name="Normal 8 7 4" xfId="16676" xr:uid="{00000000-0005-0000-0000-0000FE3D0000}"/>
    <cellStyle name="Normal 8 7 5" xfId="16677" xr:uid="{00000000-0005-0000-0000-0000FF3D0000}"/>
    <cellStyle name="Normal 8 7 6" xfId="16678" xr:uid="{00000000-0005-0000-0000-0000003E0000}"/>
    <cellStyle name="Normal 8 8" xfId="16679" xr:uid="{00000000-0005-0000-0000-0000013E0000}"/>
    <cellStyle name="Normal 8 8 2" xfId="16680" xr:uid="{00000000-0005-0000-0000-0000023E0000}"/>
    <cellStyle name="Normal 8 8 2 2" xfId="16681" xr:uid="{00000000-0005-0000-0000-0000033E0000}"/>
    <cellStyle name="Normal 8 8 2 3" xfId="16682" xr:uid="{00000000-0005-0000-0000-0000043E0000}"/>
    <cellStyle name="Normal 8 8 2 4" xfId="16683" xr:uid="{00000000-0005-0000-0000-0000053E0000}"/>
    <cellStyle name="Normal 8 8 3" xfId="16684" xr:uid="{00000000-0005-0000-0000-0000063E0000}"/>
    <cellStyle name="Normal 8 8 4" xfId="16685" xr:uid="{00000000-0005-0000-0000-0000073E0000}"/>
    <cellStyle name="Normal 8 8 5" xfId="16686" xr:uid="{00000000-0005-0000-0000-0000083E0000}"/>
    <cellStyle name="Normal 8 8 6" xfId="16687" xr:uid="{00000000-0005-0000-0000-0000093E0000}"/>
    <cellStyle name="Normal 8 9" xfId="16688" xr:uid="{00000000-0005-0000-0000-00000A3E0000}"/>
    <cellStyle name="Normal 8 9 2" xfId="16689" xr:uid="{00000000-0005-0000-0000-00000B3E0000}"/>
    <cellStyle name="Normal 8 9 3" xfId="16690" xr:uid="{00000000-0005-0000-0000-00000C3E0000}"/>
    <cellStyle name="Normal 8_App b.3 Unspent_" xfId="2572" xr:uid="{00000000-0005-0000-0000-0000D3090000}"/>
    <cellStyle name="Normal 80" xfId="16691" xr:uid="{00000000-0005-0000-0000-00000D3E0000}"/>
    <cellStyle name="Normal 80 2" xfId="16692" xr:uid="{00000000-0005-0000-0000-00000E3E0000}"/>
    <cellStyle name="Normal 80 2 2" xfId="16693" xr:uid="{00000000-0005-0000-0000-00000F3E0000}"/>
    <cellStyle name="Normal 80 3" xfId="16694" xr:uid="{00000000-0005-0000-0000-0000103E0000}"/>
    <cellStyle name="Normal 81" xfId="16695" xr:uid="{00000000-0005-0000-0000-0000113E0000}"/>
    <cellStyle name="Normal 81 2" xfId="16696" xr:uid="{00000000-0005-0000-0000-0000123E0000}"/>
    <cellStyle name="Normal 81 2 2" xfId="16697" xr:uid="{00000000-0005-0000-0000-0000133E0000}"/>
    <cellStyle name="Normal 81 3" xfId="16698" xr:uid="{00000000-0005-0000-0000-0000143E0000}"/>
    <cellStyle name="Normal 82" xfId="16699" xr:uid="{00000000-0005-0000-0000-0000153E0000}"/>
    <cellStyle name="Normal 82 2" xfId="16700" xr:uid="{00000000-0005-0000-0000-0000163E0000}"/>
    <cellStyle name="Normal 82 2 2" xfId="16701" xr:uid="{00000000-0005-0000-0000-0000173E0000}"/>
    <cellStyle name="Normal 82 3" xfId="16702" xr:uid="{00000000-0005-0000-0000-0000183E0000}"/>
    <cellStyle name="Normal 83" xfId="16703" xr:uid="{00000000-0005-0000-0000-0000193E0000}"/>
    <cellStyle name="Normal 83 2" xfId="16704" xr:uid="{00000000-0005-0000-0000-00001A3E0000}"/>
    <cellStyle name="Normal 83 2 2" xfId="16705" xr:uid="{00000000-0005-0000-0000-00001B3E0000}"/>
    <cellStyle name="Normal 83 3" xfId="16706" xr:uid="{00000000-0005-0000-0000-00001C3E0000}"/>
    <cellStyle name="Normal 84" xfId="16707" xr:uid="{00000000-0005-0000-0000-00001D3E0000}"/>
    <cellStyle name="Normal 84 2" xfId="16708" xr:uid="{00000000-0005-0000-0000-00001E3E0000}"/>
    <cellStyle name="Normal 84 2 2" xfId="16709" xr:uid="{00000000-0005-0000-0000-00001F3E0000}"/>
    <cellStyle name="Normal 84 3" xfId="16710" xr:uid="{00000000-0005-0000-0000-0000203E0000}"/>
    <cellStyle name="Normal 85" xfId="16711" xr:uid="{00000000-0005-0000-0000-0000213E0000}"/>
    <cellStyle name="Normal 85 2" xfId="16712" xr:uid="{00000000-0005-0000-0000-0000223E0000}"/>
    <cellStyle name="Normal 85 2 2" xfId="16713" xr:uid="{00000000-0005-0000-0000-0000233E0000}"/>
    <cellStyle name="Normal 85 3" xfId="16714" xr:uid="{00000000-0005-0000-0000-0000243E0000}"/>
    <cellStyle name="Normal 86" xfId="16715" xr:uid="{00000000-0005-0000-0000-0000253E0000}"/>
    <cellStyle name="Normal 86 2" xfId="16716" xr:uid="{00000000-0005-0000-0000-0000263E0000}"/>
    <cellStyle name="Normal 87" xfId="16717" xr:uid="{00000000-0005-0000-0000-0000273E0000}"/>
    <cellStyle name="Normal 87 2" xfId="16718" xr:uid="{00000000-0005-0000-0000-0000283E0000}"/>
    <cellStyle name="Normal 87 4" xfId="20561" xr:uid="{965650D4-4923-47E5-8D8B-7FB6C83294BB}"/>
    <cellStyle name="Normal 88" xfId="16719" xr:uid="{00000000-0005-0000-0000-0000293E0000}"/>
    <cellStyle name="Normal 88 2" xfId="16720" xr:uid="{00000000-0005-0000-0000-00002A3E0000}"/>
    <cellStyle name="Normal 89" xfId="16721" xr:uid="{00000000-0005-0000-0000-00002B3E0000}"/>
    <cellStyle name="Normal 89 2" xfId="16722" xr:uid="{00000000-0005-0000-0000-00002C3E0000}"/>
    <cellStyle name="Normal 9" xfId="2573" xr:uid="{00000000-0005-0000-0000-0000D4090000}"/>
    <cellStyle name="Normal 9 10" xfId="16723" xr:uid="{00000000-0005-0000-0000-00002E3E0000}"/>
    <cellStyle name="Normal 9 11" xfId="16724" xr:uid="{00000000-0005-0000-0000-00002F3E0000}"/>
    <cellStyle name="Normal 9 2" xfId="2574" xr:uid="{00000000-0005-0000-0000-0000D5090000}"/>
    <cellStyle name="Normal 9 2 2" xfId="16725" xr:uid="{00000000-0005-0000-0000-0000313E0000}"/>
    <cellStyle name="Normal 9 2 2 2" xfId="16726" xr:uid="{00000000-0005-0000-0000-0000323E0000}"/>
    <cellStyle name="Normal 9 2 3" xfId="16727" xr:uid="{00000000-0005-0000-0000-0000333E0000}"/>
    <cellStyle name="Normal 9 3" xfId="16728" xr:uid="{00000000-0005-0000-0000-0000343E0000}"/>
    <cellStyle name="Normal 9 3 2" xfId="16729" xr:uid="{00000000-0005-0000-0000-0000353E0000}"/>
    <cellStyle name="Normal 9 3 2 2" xfId="16730" xr:uid="{00000000-0005-0000-0000-0000363E0000}"/>
    <cellStyle name="Normal 9 3 2 3" xfId="16731" xr:uid="{00000000-0005-0000-0000-0000373E0000}"/>
    <cellStyle name="Normal 9 3 2 4" xfId="16732" xr:uid="{00000000-0005-0000-0000-0000383E0000}"/>
    <cellStyle name="Normal 9 3 3" xfId="16733" xr:uid="{00000000-0005-0000-0000-0000393E0000}"/>
    <cellStyle name="Normal 9 3 3 2" xfId="16734" xr:uid="{00000000-0005-0000-0000-00003A3E0000}"/>
    <cellStyle name="Normal 9 3 4" xfId="16735" xr:uid="{00000000-0005-0000-0000-00003B3E0000}"/>
    <cellStyle name="Normal 9 3 5" xfId="16736" xr:uid="{00000000-0005-0000-0000-00003C3E0000}"/>
    <cellStyle name="Normal 9 3 6" xfId="16737" xr:uid="{00000000-0005-0000-0000-00003D3E0000}"/>
    <cellStyle name="Normal 9 4" xfId="16738" xr:uid="{00000000-0005-0000-0000-00003E3E0000}"/>
    <cellStyle name="Normal 9 4 2" xfId="16739" xr:uid="{00000000-0005-0000-0000-00003F3E0000}"/>
    <cellStyle name="Normal 9 4 2 2" xfId="16740" xr:uid="{00000000-0005-0000-0000-0000403E0000}"/>
    <cellStyle name="Normal 9 4 2 2 2" xfId="16741" xr:uid="{00000000-0005-0000-0000-0000413E0000}"/>
    <cellStyle name="Normal 9 4 2 2 3" xfId="16742" xr:uid="{00000000-0005-0000-0000-0000423E0000}"/>
    <cellStyle name="Normal 9 4 2 3" xfId="16743" xr:uid="{00000000-0005-0000-0000-0000433E0000}"/>
    <cellStyle name="Normal 9 4 2 4" xfId="16744" xr:uid="{00000000-0005-0000-0000-0000443E0000}"/>
    <cellStyle name="Normal 9 4 2 5" xfId="16745" xr:uid="{00000000-0005-0000-0000-0000453E0000}"/>
    <cellStyle name="Normal 9 4 2 6" xfId="16746" xr:uid="{00000000-0005-0000-0000-0000463E0000}"/>
    <cellStyle name="Normal 9 4 3" xfId="16747" xr:uid="{00000000-0005-0000-0000-0000473E0000}"/>
    <cellStyle name="Normal 9 4 3 2" xfId="16748" xr:uid="{00000000-0005-0000-0000-0000483E0000}"/>
    <cellStyle name="Normal 9 4 3 2 2" xfId="16749" xr:uid="{00000000-0005-0000-0000-0000493E0000}"/>
    <cellStyle name="Normal 9 4 3 2 3" xfId="16750" xr:uid="{00000000-0005-0000-0000-00004A3E0000}"/>
    <cellStyle name="Normal 9 4 3 3" xfId="16751" xr:uid="{00000000-0005-0000-0000-00004B3E0000}"/>
    <cellStyle name="Normal 9 4 3 3 2" xfId="16752" xr:uid="{00000000-0005-0000-0000-00004C3E0000}"/>
    <cellStyle name="Normal 9 4 3 4" xfId="16753" xr:uid="{00000000-0005-0000-0000-00004D3E0000}"/>
    <cellStyle name="Normal 9 4 4" xfId="16754" xr:uid="{00000000-0005-0000-0000-00004E3E0000}"/>
    <cellStyle name="Normal 9 4 4 2" xfId="16755" xr:uid="{00000000-0005-0000-0000-00004F3E0000}"/>
    <cellStyle name="Normal 9 4 4 3" xfId="16756" xr:uid="{00000000-0005-0000-0000-0000503E0000}"/>
    <cellStyle name="Normal 9 4 5" xfId="16757" xr:uid="{00000000-0005-0000-0000-0000513E0000}"/>
    <cellStyle name="Normal 9 4 6" xfId="16758" xr:uid="{00000000-0005-0000-0000-0000523E0000}"/>
    <cellStyle name="Normal 9 4 7" xfId="16759" xr:uid="{00000000-0005-0000-0000-0000533E0000}"/>
    <cellStyle name="Normal 9 4 8" xfId="16760" xr:uid="{00000000-0005-0000-0000-0000543E0000}"/>
    <cellStyle name="Normal 9 5" xfId="16761" xr:uid="{00000000-0005-0000-0000-0000553E0000}"/>
    <cellStyle name="Normal 9 5 2" xfId="16762" xr:uid="{00000000-0005-0000-0000-0000563E0000}"/>
    <cellStyle name="Normal 9 5 2 2" xfId="16763" xr:uid="{00000000-0005-0000-0000-0000573E0000}"/>
    <cellStyle name="Normal 9 5 3" xfId="16764" xr:uid="{00000000-0005-0000-0000-0000583E0000}"/>
    <cellStyle name="Normal 9 5 4" xfId="16765" xr:uid="{00000000-0005-0000-0000-0000593E0000}"/>
    <cellStyle name="Normal 9 5 5" xfId="16766" xr:uid="{00000000-0005-0000-0000-00005A3E0000}"/>
    <cellStyle name="Normal 9 6" xfId="16767" xr:uid="{00000000-0005-0000-0000-00005B3E0000}"/>
    <cellStyle name="Normal 9 6 2" xfId="16768" xr:uid="{00000000-0005-0000-0000-00005C3E0000}"/>
    <cellStyle name="Normal 9 6 2 2" xfId="16769" xr:uid="{00000000-0005-0000-0000-00005D3E0000}"/>
    <cellStyle name="Normal 9 6 2 3" xfId="16770" xr:uid="{00000000-0005-0000-0000-00005E3E0000}"/>
    <cellStyle name="Normal 9 6 3" xfId="16771" xr:uid="{00000000-0005-0000-0000-00005F3E0000}"/>
    <cellStyle name="Normal 9 6 4" xfId="16772" xr:uid="{00000000-0005-0000-0000-0000603E0000}"/>
    <cellStyle name="Normal 9 6 5" xfId="16773" xr:uid="{00000000-0005-0000-0000-0000613E0000}"/>
    <cellStyle name="Normal 9 6 6" xfId="16774" xr:uid="{00000000-0005-0000-0000-0000623E0000}"/>
    <cellStyle name="Normal 9 7" xfId="16775" xr:uid="{00000000-0005-0000-0000-0000633E0000}"/>
    <cellStyle name="Normal 9 7 2" xfId="16776" xr:uid="{00000000-0005-0000-0000-0000643E0000}"/>
    <cellStyle name="Normal 9 7 2 2" xfId="16777" xr:uid="{00000000-0005-0000-0000-0000653E0000}"/>
    <cellStyle name="Normal 9 7 2 3" xfId="16778" xr:uid="{00000000-0005-0000-0000-0000663E0000}"/>
    <cellStyle name="Normal 9 7 3" xfId="16779" xr:uid="{00000000-0005-0000-0000-0000673E0000}"/>
    <cellStyle name="Normal 9 7 4" xfId="16780" xr:uid="{00000000-0005-0000-0000-0000683E0000}"/>
    <cellStyle name="Normal 9 7 5" xfId="16781" xr:uid="{00000000-0005-0000-0000-0000693E0000}"/>
    <cellStyle name="Normal 9 7 6" xfId="16782" xr:uid="{00000000-0005-0000-0000-00006A3E0000}"/>
    <cellStyle name="Normal 9 8" xfId="16783" xr:uid="{00000000-0005-0000-0000-00006B3E0000}"/>
    <cellStyle name="Normal 9 8 2" xfId="16784" xr:uid="{00000000-0005-0000-0000-00006C3E0000}"/>
    <cellStyle name="Normal 9 8 3" xfId="16785" xr:uid="{00000000-0005-0000-0000-00006D3E0000}"/>
    <cellStyle name="Normal 9 9" xfId="16786" xr:uid="{00000000-0005-0000-0000-00006E3E0000}"/>
    <cellStyle name="Normal 9 9 2" xfId="16787" xr:uid="{00000000-0005-0000-0000-00006F3E0000}"/>
    <cellStyle name="Normal 9 9 3" xfId="16788" xr:uid="{00000000-0005-0000-0000-0000703E0000}"/>
    <cellStyle name="Normal 9_App b.3 Unspent_" xfId="2575" xr:uid="{00000000-0005-0000-0000-0000D6090000}"/>
    <cellStyle name="Normal 90" xfId="16789" xr:uid="{00000000-0005-0000-0000-0000713E0000}"/>
    <cellStyle name="Normal 90 2" xfId="16790" xr:uid="{00000000-0005-0000-0000-0000723E0000}"/>
    <cellStyle name="Normal 91" xfId="16791" xr:uid="{00000000-0005-0000-0000-0000733E0000}"/>
    <cellStyle name="Normal 91 2" xfId="16792" xr:uid="{00000000-0005-0000-0000-0000743E0000}"/>
    <cellStyle name="Normal 92" xfId="16793" xr:uid="{00000000-0005-0000-0000-0000753E0000}"/>
    <cellStyle name="Normal 92 2" xfId="16794" xr:uid="{00000000-0005-0000-0000-0000763E0000}"/>
    <cellStyle name="Normal 93" xfId="16795" xr:uid="{00000000-0005-0000-0000-0000773E0000}"/>
    <cellStyle name="Normal 93 2" xfId="16796" xr:uid="{00000000-0005-0000-0000-0000783E0000}"/>
    <cellStyle name="Normal 93 3" xfId="16797" xr:uid="{00000000-0005-0000-0000-0000793E0000}"/>
    <cellStyle name="Normal 94" xfId="16798" xr:uid="{00000000-0005-0000-0000-00007A3E0000}"/>
    <cellStyle name="Normal 94 2" xfId="16799" xr:uid="{00000000-0005-0000-0000-00007B3E0000}"/>
    <cellStyle name="Normal 94 3" xfId="16800" xr:uid="{00000000-0005-0000-0000-00007C3E0000}"/>
    <cellStyle name="Normal 95" xfId="16801" xr:uid="{00000000-0005-0000-0000-00007D3E0000}"/>
    <cellStyle name="Normal 95 2" xfId="16802" xr:uid="{00000000-0005-0000-0000-00007E3E0000}"/>
    <cellStyle name="Normal 95 3" xfId="16803" xr:uid="{00000000-0005-0000-0000-00007F3E0000}"/>
    <cellStyle name="Normal 96" xfId="16804" xr:uid="{00000000-0005-0000-0000-0000803E0000}"/>
    <cellStyle name="Normal 96 2" xfId="16805" xr:uid="{00000000-0005-0000-0000-0000813E0000}"/>
    <cellStyle name="Normal 96 3" xfId="16806" xr:uid="{00000000-0005-0000-0000-0000823E0000}"/>
    <cellStyle name="Normal 97" xfId="16807" xr:uid="{00000000-0005-0000-0000-0000833E0000}"/>
    <cellStyle name="Normal 97 2" xfId="16808" xr:uid="{00000000-0005-0000-0000-0000843E0000}"/>
    <cellStyle name="Normal 97 3" xfId="16809" xr:uid="{00000000-0005-0000-0000-0000853E0000}"/>
    <cellStyle name="Normal 98" xfId="16810" xr:uid="{00000000-0005-0000-0000-0000863E0000}"/>
    <cellStyle name="Normal 98 2" xfId="16811" xr:uid="{00000000-0005-0000-0000-0000873E0000}"/>
    <cellStyle name="Normal 98 3" xfId="16812" xr:uid="{00000000-0005-0000-0000-0000883E0000}"/>
    <cellStyle name="Normal 99" xfId="16813" xr:uid="{00000000-0005-0000-0000-0000893E0000}"/>
    <cellStyle name="Normal 99 2" xfId="16814" xr:uid="{00000000-0005-0000-0000-00008A3E0000}"/>
    <cellStyle name="Normal 99 3" xfId="16815" xr:uid="{00000000-0005-0000-0000-00008B3E0000}"/>
    <cellStyle name="Normal_Attachment 5A - Program Budget Workbook Dec22" xfId="6" xr:uid="{00000000-0005-0000-0000-00003C000000}"/>
    <cellStyle name="Normal_DRAFT_June1Filing_v02_zap041405" xfId="20559" xr:uid="{E01134FE-BB5F-48EE-BA76-F3563DA614E8}"/>
    <cellStyle name="Normal_DRAFT_June1Filing_v05_zap041705" xfId="9" xr:uid="{00000000-0005-0000-0000-00003D000000}"/>
    <cellStyle name="Normal_DRAFT_June1Filing_v05_zap041705 2" xfId="20558" xr:uid="{ABB86883-0E33-45BC-895A-E85E0B614677}"/>
    <cellStyle name="Normal_New Budget Table - 4.2" xfId="20557" xr:uid="{7CC6DD39-2CD1-439D-87A7-62259A36A113}"/>
    <cellStyle name="Normal_PY2006-8_Planning_PreliminaryFunding-Budgets_forJune1Filing_05-23-05" xfId="2" xr:uid="{00000000-0005-0000-0000-00003E000000}"/>
    <cellStyle name="Note 10" xfId="16816" xr:uid="{00000000-0005-0000-0000-0000903E0000}"/>
    <cellStyle name="Note 10 2" xfId="20157" xr:uid="{00000000-0005-0000-0000-0000903E0000}"/>
    <cellStyle name="Note 11" xfId="16817" xr:uid="{00000000-0005-0000-0000-0000913E0000}"/>
    <cellStyle name="Note 2" xfId="2577" xr:uid="{00000000-0005-0000-0000-0000D8090000}"/>
    <cellStyle name="Note 2 10" xfId="16819" xr:uid="{00000000-0005-0000-0000-0000933E0000}"/>
    <cellStyle name="Note 2 10 2" xfId="16820" xr:uid="{00000000-0005-0000-0000-0000943E0000}"/>
    <cellStyle name="Note 2 10 3" xfId="16821" xr:uid="{00000000-0005-0000-0000-0000953E0000}"/>
    <cellStyle name="Note 2 11" xfId="16822" xr:uid="{00000000-0005-0000-0000-0000963E0000}"/>
    <cellStyle name="Note 2 11 2" xfId="16823" xr:uid="{00000000-0005-0000-0000-0000973E0000}"/>
    <cellStyle name="Note 2 11 2 2" xfId="16824" xr:uid="{00000000-0005-0000-0000-0000983E0000}"/>
    <cellStyle name="Note 2 11 3" xfId="16825" xr:uid="{00000000-0005-0000-0000-0000993E0000}"/>
    <cellStyle name="Note 2 12" xfId="16826" xr:uid="{00000000-0005-0000-0000-00009A3E0000}"/>
    <cellStyle name="Note 2 12 2" xfId="16827" xr:uid="{00000000-0005-0000-0000-00009B3E0000}"/>
    <cellStyle name="Note 2 13" xfId="16828" xr:uid="{00000000-0005-0000-0000-00009C3E0000}"/>
    <cellStyle name="Note 2 13 2" xfId="20158" xr:uid="{00000000-0005-0000-0000-00009C3E0000}"/>
    <cellStyle name="Note 2 14" xfId="16829" xr:uid="{00000000-0005-0000-0000-00009D3E0000}"/>
    <cellStyle name="Note 2 15" xfId="16818" xr:uid="{00000000-0005-0000-0000-0000923E0000}"/>
    <cellStyle name="Note 2 2" xfId="16830" xr:uid="{00000000-0005-0000-0000-00009E3E0000}"/>
    <cellStyle name="Note 2 2 2" xfId="16831" xr:uid="{00000000-0005-0000-0000-00009F3E0000}"/>
    <cellStyle name="Note 2 2 2 2" xfId="16832" xr:uid="{00000000-0005-0000-0000-0000A03E0000}"/>
    <cellStyle name="Note 2 2 2 2 2" xfId="16833" xr:uid="{00000000-0005-0000-0000-0000A13E0000}"/>
    <cellStyle name="Note 2 2 2 2 3" xfId="16834" xr:uid="{00000000-0005-0000-0000-0000A23E0000}"/>
    <cellStyle name="Note 2 2 2 2 4" xfId="16835" xr:uid="{00000000-0005-0000-0000-0000A33E0000}"/>
    <cellStyle name="Note 2 2 2 3" xfId="16836" xr:uid="{00000000-0005-0000-0000-0000A43E0000}"/>
    <cellStyle name="Note 2 2 2 4" xfId="16837" xr:uid="{00000000-0005-0000-0000-0000A53E0000}"/>
    <cellStyle name="Note 2 2 2 5" xfId="16838" xr:uid="{00000000-0005-0000-0000-0000A63E0000}"/>
    <cellStyle name="Note 2 2 3" xfId="16839" xr:uid="{00000000-0005-0000-0000-0000A73E0000}"/>
    <cellStyle name="Note 2 2 3 2" xfId="16840" xr:uid="{00000000-0005-0000-0000-0000A83E0000}"/>
    <cellStyle name="Note 2 2 3 2 2" xfId="20159" xr:uid="{00000000-0005-0000-0000-0000A83E0000}"/>
    <cellStyle name="Note 2 2 4" xfId="16841" xr:uid="{00000000-0005-0000-0000-0000A93E0000}"/>
    <cellStyle name="Note 2 2 4 2" xfId="20160" xr:uid="{00000000-0005-0000-0000-0000A93E0000}"/>
    <cellStyle name="Note 2 2 5" xfId="16842" xr:uid="{00000000-0005-0000-0000-0000AA3E0000}"/>
    <cellStyle name="Note 2 3" xfId="16843" xr:uid="{00000000-0005-0000-0000-0000AB3E0000}"/>
    <cellStyle name="Note 2 3 2" xfId="16844" xr:uid="{00000000-0005-0000-0000-0000AC3E0000}"/>
    <cellStyle name="Note 2 3 2 2" xfId="16845" xr:uid="{00000000-0005-0000-0000-0000AD3E0000}"/>
    <cellStyle name="Note 2 3 2 2 2" xfId="20162" xr:uid="{00000000-0005-0000-0000-0000AD3E0000}"/>
    <cellStyle name="Note 2 3 2 3" xfId="16846" xr:uid="{00000000-0005-0000-0000-0000AE3E0000}"/>
    <cellStyle name="Note 2 3 2 4" xfId="20161" xr:uid="{00000000-0005-0000-0000-0000AC3E0000}"/>
    <cellStyle name="Note 2 3 3" xfId="16847" xr:uid="{00000000-0005-0000-0000-0000AF3E0000}"/>
    <cellStyle name="Note 2 3 4" xfId="16848" xr:uid="{00000000-0005-0000-0000-0000B03E0000}"/>
    <cellStyle name="Note 2 3 5" xfId="16849" xr:uid="{00000000-0005-0000-0000-0000B13E0000}"/>
    <cellStyle name="Note 2 3 6" xfId="16850" xr:uid="{00000000-0005-0000-0000-0000B23E0000}"/>
    <cellStyle name="Note 2 4" xfId="16851" xr:uid="{00000000-0005-0000-0000-0000B33E0000}"/>
    <cellStyle name="Note 2 4 2" xfId="16852" xr:uid="{00000000-0005-0000-0000-0000B43E0000}"/>
    <cellStyle name="Note 2 4 2 2" xfId="16853" xr:uid="{00000000-0005-0000-0000-0000B53E0000}"/>
    <cellStyle name="Note 2 4 2 3" xfId="16854" xr:uid="{00000000-0005-0000-0000-0000B63E0000}"/>
    <cellStyle name="Note 2 4 2 4" xfId="16855" xr:uid="{00000000-0005-0000-0000-0000B73E0000}"/>
    <cellStyle name="Note 2 4 3" xfId="16856" xr:uid="{00000000-0005-0000-0000-0000B83E0000}"/>
    <cellStyle name="Note 2 4 3 2" xfId="16857" xr:uid="{00000000-0005-0000-0000-0000B93E0000}"/>
    <cellStyle name="Note 2 4 3 2 2" xfId="20163" xr:uid="{00000000-0005-0000-0000-0000B93E0000}"/>
    <cellStyle name="Note 2 4 3 3" xfId="16858" xr:uid="{00000000-0005-0000-0000-0000BA3E0000}"/>
    <cellStyle name="Note 2 4 4" xfId="16859" xr:uid="{00000000-0005-0000-0000-0000BB3E0000}"/>
    <cellStyle name="Note 2 4 5" xfId="16860" xr:uid="{00000000-0005-0000-0000-0000BC3E0000}"/>
    <cellStyle name="Note 2 4 6" xfId="16861" xr:uid="{00000000-0005-0000-0000-0000BD3E0000}"/>
    <cellStyle name="Note 2 4 7" xfId="16862" xr:uid="{00000000-0005-0000-0000-0000BE3E0000}"/>
    <cellStyle name="Note 2 5" xfId="16863" xr:uid="{00000000-0005-0000-0000-0000BF3E0000}"/>
    <cellStyle name="Note 2 5 2" xfId="16864" xr:uid="{00000000-0005-0000-0000-0000C03E0000}"/>
    <cellStyle name="Note 2 5 3" xfId="16865" xr:uid="{00000000-0005-0000-0000-0000C13E0000}"/>
    <cellStyle name="Note 2 5 4" xfId="16866" xr:uid="{00000000-0005-0000-0000-0000C23E0000}"/>
    <cellStyle name="Note 2 6" xfId="16867" xr:uid="{00000000-0005-0000-0000-0000C33E0000}"/>
    <cellStyle name="Note 2 6 2" xfId="16868" xr:uid="{00000000-0005-0000-0000-0000C43E0000}"/>
    <cellStyle name="Note 2 6 2 2" xfId="16869" xr:uid="{00000000-0005-0000-0000-0000C53E0000}"/>
    <cellStyle name="Note 2 6 2 2 2" xfId="16870" xr:uid="{00000000-0005-0000-0000-0000C63E0000}"/>
    <cellStyle name="Note 2 6 2 2 2 2" xfId="16871" xr:uid="{00000000-0005-0000-0000-0000C73E0000}"/>
    <cellStyle name="Note 2 6 2 2 3" xfId="16872" xr:uid="{00000000-0005-0000-0000-0000C83E0000}"/>
    <cellStyle name="Note 2 6 2 3" xfId="16873" xr:uid="{00000000-0005-0000-0000-0000C93E0000}"/>
    <cellStyle name="Note 2 6 2 3 2" xfId="16874" xr:uid="{00000000-0005-0000-0000-0000CA3E0000}"/>
    <cellStyle name="Note 2 6 2 4" xfId="16875" xr:uid="{00000000-0005-0000-0000-0000CB3E0000}"/>
    <cellStyle name="Note 2 6 3" xfId="16876" xr:uid="{00000000-0005-0000-0000-0000CC3E0000}"/>
    <cellStyle name="Note 2 6 4" xfId="16877" xr:uid="{00000000-0005-0000-0000-0000CD3E0000}"/>
    <cellStyle name="Note 2 6 4 2" xfId="20164" xr:uid="{00000000-0005-0000-0000-0000CD3E0000}"/>
    <cellStyle name="Note 2 6 5" xfId="16878" xr:uid="{00000000-0005-0000-0000-0000CE3E0000}"/>
    <cellStyle name="Note 2 6 6" xfId="16879" xr:uid="{00000000-0005-0000-0000-0000CF3E0000}"/>
    <cellStyle name="Note 2 7" xfId="16880" xr:uid="{00000000-0005-0000-0000-0000D03E0000}"/>
    <cellStyle name="Note 2 7 2" xfId="16881" xr:uid="{00000000-0005-0000-0000-0000D13E0000}"/>
    <cellStyle name="Note 2 7 2 2" xfId="16882" xr:uid="{00000000-0005-0000-0000-0000D23E0000}"/>
    <cellStyle name="Note 2 7 2 3" xfId="16883" xr:uid="{00000000-0005-0000-0000-0000D33E0000}"/>
    <cellStyle name="Note 2 7 2 4" xfId="16884" xr:uid="{00000000-0005-0000-0000-0000D43E0000}"/>
    <cellStyle name="Note 2 7 2 5" xfId="16885" xr:uid="{00000000-0005-0000-0000-0000D53E0000}"/>
    <cellStyle name="Note 2 7 3" xfId="16886" xr:uid="{00000000-0005-0000-0000-0000D63E0000}"/>
    <cellStyle name="Note 2 7 4" xfId="16887" xr:uid="{00000000-0005-0000-0000-0000D73E0000}"/>
    <cellStyle name="Note 2 7 5" xfId="16888" xr:uid="{00000000-0005-0000-0000-0000D83E0000}"/>
    <cellStyle name="Note 2 7 6" xfId="16889" xr:uid="{00000000-0005-0000-0000-0000D93E0000}"/>
    <cellStyle name="Note 2 8" xfId="16890" xr:uid="{00000000-0005-0000-0000-0000DA3E0000}"/>
    <cellStyle name="Note 2 8 2" xfId="16891" xr:uid="{00000000-0005-0000-0000-0000DB3E0000}"/>
    <cellStyle name="Note 2 8 2 2" xfId="16892" xr:uid="{00000000-0005-0000-0000-0000DC3E0000}"/>
    <cellStyle name="Note 2 8 2 2 2" xfId="16893" xr:uid="{00000000-0005-0000-0000-0000DD3E0000}"/>
    <cellStyle name="Note 2 8 2 3" xfId="16894" xr:uid="{00000000-0005-0000-0000-0000DE3E0000}"/>
    <cellStyle name="Note 2 8 3" xfId="16895" xr:uid="{00000000-0005-0000-0000-0000DF3E0000}"/>
    <cellStyle name="Note 2 8 4" xfId="16896" xr:uid="{00000000-0005-0000-0000-0000E03E0000}"/>
    <cellStyle name="Note 2 8 5" xfId="16897" xr:uid="{00000000-0005-0000-0000-0000E13E0000}"/>
    <cellStyle name="Note 2 8 5 2" xfId="20165" xr:uid="{00000000-0005-0000-0000-0000E13E0000}"/>
    <cellStyle name="Note 2 8 6" xfId="16898" xr:uid="{00000000-0005-0000-0000-0000E23E0000}"/>
    <cellStyle name="Note 2 9" xfId="16899" xr:uid="{00000000-0005-0000-0000-0000E33E0000}"/>
    <cellStyle name="Note 2 9 2" xfId="16900" xr:uid="{00000000-0005-0000-0000-0000E43E0000}"/>
    <cellStyle name="Note 2 9 2 2" xfId="16901" xr:uid="{00000000-0005-0000-0000-0000E53E0000}"/>
    <cellStyle name="Note 2 9 2 3" xfId="16902" xr:uid="{00000000-0005-0000-0000-0000E63E0000}"/>
    <cellStyle name="Note 2 9 3" xfId="16903" xr:uid="{00000000-0005-0000-0000-0000E73E0000}"/>
    <cellStyle name="Note 2 9 4" xfId="16904" xr:uid="{00000000-0005-0000-0000-0000E83E0000}"/>
    <cellStyle name="Note 2 9 5" xfId="16905" xr:uid="{00000000-0005-0000-0000-0000E93E0000}"/>
    <cellStyle name="Note 2 9 6" xfId="16906" xr:uid="{00000000-0005-0000-0000-0000EA3E0000}"/>
    <cellStyle name="Note 3" xfId="2578" xr:uid="{00000000-0005-0000-0000-0000D9090000}"/>
    <cellStyle name="Note 3 10" xfId="16908" xr:uid="{00000000-0005-0000-0000-0000EC3E0000}"/>
    <cellStyle name="Note 3 10 2" xfId="16909" xr:uid="{00000000-0005-0000-0000-0000ED3E0000}"/>
    <cellStyle name="Note 3 10 2 2" xfId="16910" xr:uid="{00000000-0005-0000-0000-0000EE3E0000}"/>
    <cellStyle name="Note 3 10 2 2 2" xfId="16911" xr:uid="{00000000-0005-0000-0000-0000EF3E0000}"/>
    <cellStyle name="Note 3 10 2 3" xfId="16912" xr:uid="{00000000-0005-0000-0000-0000F03E0000}"/>
    <cellStyle name="Note 3 10 3" xfId="16913" xr:uid="{00000000-0005-0000-0000-0000F13E0000}"/>
    <cellStyle name="Note 3 10 3 2" xfId="16914" xr:uid="{00000000-0005-0000-0000-0000F23E0000}"/>
    <cellStyle name="Note 3 10 4" xfId="16915" xr:uid="{00000000-0005-0000-0000-0000F33E0000}"/>
    <cellStyle name="Note 3 11" xfId="16916" xr:uid="{00000000-0005-0000-0000-0000F43E0000}"/>
    <cellStyle name="Note 3 11 2" xfId="16917" xr:uid="{00000000-0005-0000-0000-0000F53E0000}"/>
    <cellStyle name="Note 3 11 2 2" xfId="16918" xr:uid="{00000000-0005-0000-0000-0000F63E0000}"/>
    <cellStyle name="Note 3 11 2 3" xfId="16919" xr:uid="{00000000-0005-0000-0000-0000F73E0000}"/>
    <cellStyle name="Note 3 11 3" xfId="16920" xr:uid="{00000000-0005-0000-0000-0000F83E0000}"/>
    <cellStyle name="Note 3 11 3 2" xfId="16921" xr:uid="{00000000-0005-0000-0000-0000F93E0000}"/>
    <cellStyle name="Note 3 11 4" xfId="16922" xr:uid="{00000000-0005-0000-0000-0000FA3E0000}"/>
    <cellStyle name="Note 3 12" xfId="16923" xr:uid="{00000000-0005-0000-0000-0000FB3E0000}"/>
    <cellStyle name="Note 3 12 2" xfId="16924" xr:uid="{00000000-0005-0000-0000-0000FC3E0000}"/>
    <cellStyle name="Note 3 12 2 2" xfId="16925" xr:uid="{00000000-0005-0000-0000-0000FD3E0000}"/>
    <cellStyle name="Note 3 12 2 3" xfId="16926" xr:uid="{00000000-0005-0000-0000-0000FE3E0000}"/>
    <cellStyle name="Note 3 12 3" xfId="16927" xr:uid="{00000000-0005-0000-0000-0000FF3E0000}"/>
    <cellStyle name="Note 3 12 3 2" xfId="16928" xr:uid="{00000000-0005-0000-0000-0000003F0000}"/>
    <cellStyle name="Note 3 12 4" xfId="16929" xr:uid="{00000000-0005-0000-0000-0000013F0000}"/>
    <cellStyle name="Note 3 13" xfId="16930" xr:uid="{00000000-0005-0000-0000-0000023F0000}"/>
    <cellStyle name="Note 3 13 2" xfId="16931" xr:uid="{00000000-0005-0000-0000-0000033F0000}"/>
    <cellStyle name="Note 3 13 3" xfId="16932" xr:uid="{00000000-0005-0000-0000-0000043F0000}"/>
    <cellStyle name="Note 3 14" xfId="16933" xr:uid="{00000000-0005-0000-0000-0000053F0000}"/>
    <cellStyle name="Note 3 15" xfId="16934" xr:uid="{00000000-0005-0000-0000-0000063F0000}"/>
    <cellStyle name="Note 3 16" xfId="16935" xr:uid="{00000000-0005-0000-0000-0000073F0000}"/>
    <cellStyle name="Note 3 17" xfId="16936" xr:uid="{00000000-0005-0000-0000-0000083F0000}"/>
    <cellStyle name="Note 3 18" xfId="16907" xr:uid="{00000000-0005-0000-0000-0000EB3E0000}"/>
    <cellStyle name="Note 3 2" xfId="2579" xr:uid="{00000000-0005-0000-0000-0000DA090000}"/>
    <cellStyle name="Note 3 2 10" xfId="16938" xr:uid="{00000000-0005-0000-0000-00000A3F0000}"/>
    <cellStyle name="Note 3 2 11" xfId="16939" xr:uid="{00000000-0005-0000-0000-00000B3F0000}"/>
    <cellStyle name="Note 3 2 12" xfId="16937" xr:uid="{00000000-0005-0000-0000-0000093F0000}"/>
    <cellStyle name="Note 3 2 2" xfId="16940" xr:uid="{00000000-0005-0000-0000-00000C3F0000}"/>
    <cellStyle name="Note 3 2 2 2" xfId="16941" xr:uid="{00000000-0005-0000-0000-00000D3F0000}"/>
    <cellStyle name="Note 3 2 2 2 2" xfId="16942" xr:uid="{00000000-0005-0000-0000-00000E3F0000}"/>
    <cellStyle name="Note 3 2 2 2 2 2" xfId="16943" xr:uid="{00000000-0005-0000-0000-00000F3F0000}"/>
    <cellStyle name="Note 3 2 2 2 2 2 2" xfId="16944" xr:uid="{00000000-0005-0000-0000-0000103F0000}"/>
    <cellStyle name="Note 3 2 2 2 2 3" xfId="16945" xr:uid="{00000000-0005-0000-0000-0000113F0000}"/>
    <cellStyle name="Note 3 2 2 2 3" xfId="16946" xr:uid="{00000000-0005-0000-0000-0000123F0000}"/>
    <cellStyle name="Note 3 2 2 2 4" xfId="16947" xr:uid="{00000000-0005-0000-0000-0000133F0000}"/>
    <cellStyle name="Note 3 2 2 2 5" xfId="16948" xr:uid="{00000000-0005-0000-0000-0000143F0000}"/>
    <cellStyle name="Note 3 2 2 2 6" xfId="16949" xr:uid="{00000000-0005-0000-0000-0000153F0000}"/>
    <cellStyle name="Note 3 2 2 3" xfId="16950" xr:uid="{00000000-0005-0000-0000-0000163F0000}"/>
    <cellStyle name="Note 3 2 2 3 2" xfId="16951" xr:uid="{00000000-0005-0000-0000-0000173F0000}"/>
    <cellStyle name="Note 3 2 2 3 2 2" xfId="16952" xr:uid="{00000000-0005-0000-0000-0000183F0000}"/>
    <cellStyle name="Note 3 2 2 3 3" xfId="16953" xr:uid="{00000000-0005-0000-0000-0000193F0000}"/>
    <cellStyle name="Note 3 2 2 4" xfId="16954" xr:uid="{00000000-0005-0000-0000-00001A3F0000}"/>
    <cellStyle name="Note 3 2 2 4 2" xfId="16955" xr:uid="{00000000-0005-0000-0000-00001B3F0000}"/>
    <cellStyle name="Note 3 2 2 4 2 2" xfId="16956" xr:uid="{00000000-0005-0000-0000-00001C3F0000}"/>
    <cellStyle name="Note 3 2 2 4 2 2 2" xfId="16957" xr:uid="{00000000-0005-0000-0000-00001D3F0000}"/>
    <cellStyle name="Note 3 2 2 4 2 3" xfId="16958" xr:uid="{00000000-0005-0000-0000-00001E3F0000}"/>
    <cellStyle name="Note 3 2 2 4 3" xfId="16959" xr:uid="{00000000-0005-0000-0000-00001F3F0000}"/>
    <cellStyle name="Note 3 2 2 4 3 2" xfId="16960" xr:uid="{00000000-0005-0000-0000-0000203F0000}"/>
    <cellStyle name="Note 3 2 2 4 4" xfId="16961" xr:uid="{00000000-0005-0000-0000-0000213F0000}"/>
    <cellStyle name="Note 3 2 2 5" xfId="16962" xr:uid="{00000000-0005-0000-0000-0000223F0000}"/>
    <cellStyle name="Note 3 2 2 5 2" xfId="16963" xr:uid="{00000000-0005-0000-0000-0000233F0000}"/>
    <cellStyle name="Note 3 2 2 5 2 2" xfId="16964" xr:uid="{00000000-0005-0000-0000-0000243F0000}"/>
    <cellStyle name="Note 3 2 2 5 2 3" xfId="16965" xr:uid="{00000000-0005-0000-0000-0000253F0000}"/>
    <cellStyle name="Note 3 2 2 5 3" xfId="16966" xr:uid="{00000000-0005-0000-0000-0000263F0000}"/>
    <cellStyle name="Note 3 2 2 5 3 2" xfId="16967" xr:uid="{00000000-0005-0000-0000-0000273F0000}"/>
    <cellStyle name="Note 3 2 2 5 4" xfId="16968" xr:uid="{00000000-0005-0000-0000-0000283F0000}"/>
    <cellStyle name="Note 3 2 2 6" xfId="16969" xr:uid="{00000000-0005-0000-0000-0000293F0000}"/>
    <cellStyle name="Note 3 2 2 7" xfId="16970" xr:uid="{00000000-0005-0000-0000-00002A3F0000}"/>
    <cellStyle name="Note 3 2 2 8" xfId="16971" xr:uid="{00000000-0005-0000-0000-00002B3F0000}"/>
    <cellStyle name="Note 3 2 2 9" xfId="16972" xr:uid="{00000000-0005-0000-0000-00002C3F0000}"/>
    <cellStyle name="Note 3 2 3" xfId="16973" xr:uid="{00000000-0005-0000-0000-00002D3F0000}"/>
    <cellStyle name="Note 3 2 3 2" xfId="16974" xr:uid="{00000000-0005-0000-0000-00002E3F0000}"/>
    <cellStyle name="Note 3 2 3 2 2" xfId="16975" xr:uid="{00000000-0005-0000-0000-00002F3F0000}"/>
    <cellStyle name="Note 3 2 3 2 2 2" xfId="16976" xr:uid="{00000000-0005-0000-0000-0000303F0000}"/>
    <cellStyle name="Note 3 2 3 2 3" xfId="16977" xr:uid="{00000000-0005-0000-0000-0000313F0000}"/>
    <cellStyle name="Note 3 2 3 3" xfId="16978" xr:uid="{00000000-0005-0000-0000-0000323F0000}"/>
    <cellStyle name="Note 3 2 3 4" xfId="16979" xr:uid="{00000000-0005-0000-0000-0000333F0000}"/>
    <cellStyle name="Note 3 2 3 5" xfId="16980" xr:uid="{00000000-0005-0000-0000-0000343F0000}"/>
    <cellStyle name="Note 3 2 3 6" xfId="16981" xr:uid="{00000000-0005-0000-0000-0000353F0000}"/>
    <cellStyle name="Note 3 2 4" xfId="16982" xr:uid="{00000000-0005-0000-0000-0000363F0000}"/>
    <cellStyle name="Note 3 2 4 2" xfId="16983" xr:uid="{00000000-0005-0000-0000-0000373F0000}"/>
    <cellStyle name="Note 3 2 4 2 2" xfId="16984" xr:uid="{00000000-0005-0000-0000-0000383F0000}"/>
    <cellStyle name="Note 3 2 4 2 2 2" xfId="16985" xr:uid="{00000000-0005-0000-0000-0000393F0000}"/>
    <cellStyle name="Note 3 2 4 2 3" xfId="16986" xr:uid="{00000000-0005-0000-0000-00003A3F0000}"/>
    <cellStyle name="Note 3 2 4 3" xfId="16987" xr:uid="{00000000-0005-0000-0000-00003B3F0000}"/>
    <cellStyle name="Note 3 2 4 3 2" xfId="16988" xr:uid="{00000000-0005-0000-0000-00003C3F0000}"/>
    <cellStyle name="Note 3 2 4 4" xfId="16989" xr:uid="{00000000-0005-0000-0000-00003D3F0000}"/>
    <cellStyle name="Note 3 2 5" xfId="16990" xr:uid="{00000000-0005-0000-0000-00003E3F0000}"/>
    <cellStyle name="Note 3 2 5 2" xfId="16991" xr:uid="{00000000-0005-0000-0000-00003F3F0000}"/>
    <cellStyle name="Note 3 2 5 2 2" xfId="16992" xr:uid="{00000000-0005-0000-0000-0000403F0000}"/>
    <cellStyle name="Note 3 2 5 3" xfId="16993" xr:uid="{00000000-0005-0000-0000-0000413F0000}"/>
    <cellStyle name="Note 3 2 6" xfId="16994" xr:uid="{00000000-0005-0000-0000-0000423F0000}"/>
    <cellStyle name="Note 3 2 6 2" xfId="16995" xr:uid="{00000000-0005-0000-0000-0000433F0000}"/>
    <cellStyle name="Note 3 2 6 2 2" xfId="16996" xr:uid="{00000000-0005-0000-0000-0000443F0000}"/>
    <cellStyle name="Note 3 2 6 2 2 2" xfId="16997" xr:uid="{00000000-0005-0000-0000-0000453F0000}"/>
    <cellStyle name="Note 3 2 6 2 3" xfId="16998" xr:uid="{00000000-0005-0000-0000-0000463F0000}"/>
    <cellStyle name="Note 3 2 6 3" xfId="16999" xr:uid="{00000000-0005-0000-0000-0000473F0000}"/>
    <cellStyle name="Note 3 2 6 3 2" xfId="17000" xr:uid="{00000000-0005-0000-0000-0000483F0000}"/>
    <cellStyle name="Note 3 2 6 4" xfId="17001" xr:uid="{00000000-0005-0000-0000-0000493F0000}"/>
    <cellStyle name="Note 3 2 7" xfId="17002" xr:uid="{00000000-0005-0000-0000-00004A3F0000}"/>
    <cellStyle name="Note 3 2 7 2" xfId="17003" xr:uid="{00000000-0005-0000-0000-00004B3F0000}"/>
    <cellStyle name="Note 3 2 7 2 2" xfId="17004" xr:uid="{00000000-0005-0000-0000-00004C3F0000}"/>
    <cellStyle name="Note 3 2 7 2 3" xfId="17005" xr:uid="{00000000-0005-0000-0000-00004D3F0000}"/>
    <cellStyle name="Note 3 2 7 3" xfId="17006" xr:uid="{00000000-0005-0000-0000-00004E3F0000}"/>
    <cellStyle name="Note 3 2 7 3 2" xfId="17007" xr:uid="{00000000-0005-0000-0000-00004F3F0000}"/>
    <cellStyle name="Note 3 2 7 4" xfId="17008" xr:uid="{00000000-0005-0000-0000-0000503F0000}"/>
    <cellStyle name="Note 3 2 8" xfId="17009" xr:uid="{00000000-0005-0000-0000-0000513F0000}"/>
    <cellStyle name="Note 3 2 9" xfId="17010" xr:uid="{00000000-0005-0000-0000-0000523F0000}"/>
    <cellStyle name="Note 3 3" xfId="17011" xr:uid="{00000000-0005-0000-0000-0000533F0000}"/>
    <cellStyle name="Note 3 3 10" xfId="17012" xr:uid="{00000000-0005-0000-0000-0000543F0000}"/>
    <cellStyle name="Note 3 3 11" xfId="17013" xr:uid="{00000000-0005-0000-0000-0000553F0000}"/>
    <cellStyle name="Note 3 3 2" xfId="17014" xr:uid="{00000000-0005-0000-0000-0000563F0000}"/>
    <cellStyle name="Note 3 3 2 2" xfId="17015" xr:uid="{00000000-0005-0000-0000-0000573F0000}"/>
    <cellStyle name="Note 3 3 2 2 2" xfId="17016" xr:uid="{00000000-0005-0000-0000-0000583F0000}"/>
    <cellStyle name="Note 3 3 2 2 2 2" xfId="17017" xr:uid="{00000000-0005-0000-0000-0000593F0000}"/>
    <cellStyle name="Note 3 3 2 2 2 2 2" xfId="17018" xr:uid="{00000000-0005-0000-0000-00005A3F0000}"/>
    <cellStyle name="Note 3 3 2 2 2 3" xfId="17019" xr:uid="{00000000-0005-0000-0000-00005B3F0000}"/>
    <cellStyle name="Note 3 3 2 2 3" xfId="17020" xr:uid="{00000000-0005-0000-0000-00005C3F0000}"/>
    <cellStyle name="Note 3 3 2 2 3 2" xfId="17021" xr:uid="{00000000-0005-0000-0000-00005D3F0000}"/>
    <cellStyle name="Note 3 3 2 2 4" xfId="17022" xr:uid="{00000000-0005-0000-0000-00005E3F0000}"/>
    <cellStyle name="Note 3 3 2 3" xfId="17023" xr:uid="{00000000-0005-0000-0000-00005F3F0000}"/>
    <cellStyle name="Note 3 3 2 3 2" xfId="17024" xr:uid="{00000000-0005-0000-0000-0000603F0000}"/>
    <cellStyle name="Note 3 3 2 3 2 2" xfId="17025" xr:uid="{00000000-0005-0000-0000-0000613F0000}"/>
    <cellStyle name="Note 3 3 2 3 3" xfId="17026" xr:uid="{00000000-0005-0000-0000-0000623F0000}"/>
    <cellStyle name="Note 3 3 2 4" xfId="17027" xr:uid="{00000000-0005-0000-0000-0000633F0000}"/>
    <cellStyle name="Note 3 3 2 4 2" xfId="17028" xr:uid="{00000000-0005-0000-0000-0000643F0000}"/>
    <cellStyle name="Note 3 3 2 4 2 2" xfId="17029" xr:uid="{00000000-0005-0000-0000-0000653F0000}"/>
    <cellStyle name="Note 3 3 2 4 2 2 2" xfId="17030" xr:uid="{00000000-0005-0000-0000-0000663F0000}"/>
    <cellStyle name="Note 3 3 2 4 2 3" xfId="17031" xr:uid="{00000000-0005-0000-0000-0000673F0000}"/>
    <cellStyle name="Note 3 3 2 4 3" xfId="17032" xr:uid="{00000000-0005-0000-0000-0000683F0000}"/>
    <cellStyle name="Note 3 3 2 4 3 2" xfId="17033" xr:uid="{00000000-0005-0000-0000-0000693F0000}"/>
    <cellStyle name="Note 3 3 2 4 4" xfId="17034" xr:uid="{00000000-0005-0000-0000-00006A3F0000}"/>
    <cellStyle name="Note 3 3 2 5" xfId="17035" xr:uid="{00000000-0005-0000-0000-00006B3F0000}"/>
    <cellStyle name="Note 3 3 2 5 2" xfId="17036" xr:uid="{00000000-0005-0000-0000-00006C3F0000}"/>
    <cellStyle name="Note 3 3 2 5 2 2" xfId="17037" xr:uid="{00000000-0005-0000-0000-00006D3F0000}"/>
    <cellStyle name="Note 3 3 2 5 2 3" xfId="17038" xr:uid="{00000000-0005-0000-0000-00006E3F0000}"/>
    <cellStyle name="Note 3 3 2 5 3" xfId="17039" xr:uid="{00000000-0005-0000-0000-00006F3F0000}"/>
    <cellStyle name="Note 3 3 2 5 3 2" xfId="17040" xr:uid="{00000000-0005-0000-0000-0000703F0000}"/>
    <cellStyle name="Note 3 3 2 5 4" xfId="17041" xr:uid="{00000000-0005-0000-0000-0000713F0000}"/>
    <cellStyle name="Note 3 3 2 6" xfId="17042" xr:uid="{00000000-0005-0000-0000-0000723F0000}"/>
    <cellStyle name="Note 3 3 2 7" xfId="17043" xr:uid="{00000000-0005-0000-0000-0000733F0000}"/>
    <cellStyle name="Note 3 3 2 8" xfId="17044" xr:uid="{00000000-0005-0000-0000-0000743F0000}"/>
    <cellStyle name="Note 3 3 2 9" xfId="17045" xr:uid="{00000000-0005-0000-0000-0000753F0000}"/>
    <cellStyle name="Note 3 3 3" xfId="17046" xr:uid="{00000000-0005-0000-0000-0000763F0000}"/>
    <cellStyle name="Note 3 3 3 2" xfId="17047" xr:uid="{00000000-0005-0000-0000-0000773F0000}"/>
    <cellStyle name="Note 3 3 3 2 2" xfId="17048" xr:uid="{00000000-0005-0000-0000-0000783F0000}"/>
    <cellStyle name="Note 3 3 3 2 2 2" xfId="17049" xr:uid="{00000000-0005-0000-0000-0000793F0000}"/>
    <cellStyle name="Note 3 3 3 2 3" xfId="17050" xr:uid="{00000000-0005-0000-0000-00007A3F0000}"/>
    <cellStyle name="Note 3 3 3 3" xfId="17051" xr:uid="{00000000-0005-0000-0000-00007B3F0000}"/>
    <cellStyle name="Note 3 3 3 3 2" xfId="17052" xr:uid="{00000000-0005-0000-0000-00007C3F0000}"/>
    <cellStyle name="Note 3 3 3 4" xfId="17053" xr:uid="{00000000-0005-0000-0000-00007D3F0000}"/>
    <cellStyle name="Note 3 3 4" xfId="17054" xr:uid="{00000000-0005-0000-0000-00007E3F0000}"/>
    <cellStyle name="Note 3 3 4 2" xfId="17055" xr:uid="{00000000-0005-0000-0000-00007F3F0000}"/>
    <cellStyle name="Note 3 3 4 2 2" xfId="17056" xr:uid="{00000000-0005-0000-0000-0000803F0000}"/>
    <cellStyle name="Note 3 3 4 2 2 2" xfId="17057" xr:uid="{00000000-0005-0000-0000-0000813F0000}"/>
    <cellStyle name="Note 3 3 4 2 3" xfId="17058" xr:uid="{00000000-0005-0000-0000-0000823F0000}"/>
    <cellStyle name="Note 3 3 4 3" xfId="17059" xr:uid="{00000000-0005-0000-0000-0000833F0000}"/>
    <cellStyle name="Note 3 3 4 3 2" xfId="17060" xr:uid="{00000000-0005-0000-0000-0000843F0000}"/>
    <cellStyle name="Note 3 3 4 4" xfId="17061" xr:uid="{00000000-0005-0000-0000-0000853F0000}"/>
    <cellStyle name="Note 3 3 5" xfId="17062" xr:uid="{00000000-0005-0000-0000-0000863F0000}"/>
    <cellStyle name="Note 3 3 5 2" xfId="17063" xr:uid="{00000000-0005-0000-0000-0000873F0000}"/>
    <cellStyle name="Note 3 3 5 2 2" xfId="17064" xr:uid="{00000000-0005-0000-0000-0000883F0000}"/>
    <cellStyle name="Note 3 3 5 3" xfId="17065" xr:uid="{00000000-0005-0000-0000-0000893F0000}"/>
    <cellStyle name="Note 3 3 6" xfId="17066" xr:uid="{00000000-0005-0000-0000-00008A3F0000}"/>
    <cellStyle name="Note 3 3 6 2" xfId="17067" xr:uid="{00000000-0005-0000-0000-00008B3F0000}"/>
    <cellStyle name="Note 3 3 6 2 2" xfId="17068" xr:uid="{00000000-0005-0000-0000-00008C3F0000}"/>
    <cellStyle name="Note 3 3 6 2 2 2" xfId="17069" xr:uid="{00000000-0005-0000-0000-00008D3F0000}"/>
    <cellStyle name="Note 3 3 6 2 3" xfId="17070" xr:uid="{00000000-0005-0000-0000-00008E3F0000}"/>
    <cellStyle name="Note 3 3 6 3" xfId="17071" xr:uid="{00000000-0005-0000-0000-00008F3F0000}"/>
    <cellStyle name="Note 3 3 6 3 2" xfId="17072" xr:uid="{00000000-0005-0000-0000-0000903F0000}"/>
    <cellStyle name="Note 3 3 6 4" xfId="17073" xr:uid="{00000000-0005-0000-0000-0000913F0000}"/>
    <cellStyle name="Note 3 3 7" xfId="17074" xr:uid="{00000000-0005-0000-0000-0000923F0000}"/>
    <cellStyle name="Note 3 3 7 2" xfId="17075" xr:uid="{00000000-0005-0000-0000-0000933F0000}"/>
    <cellStyle name="Note 3 3 7 2 2" xfId="17076" xr:uid="{00000000-0005-0000-0000-0000943F0000}"/>
    <cellStyle name="Note 3 3 7 2 3" xfId="17077" xr:uid="{00000000-0005-0000-0000-0000953F0000}"/>
    <cellStyle name="Note 3 3 7 3" xfId="17078" xr:uid="{00000000-0005-0000-0000-0000963F0000}"/>
    <cellStyle name="Note 3 3 7 3 2" xfId="17079" xr:uid="{00000000-0005-0000-0000-0000973F0000}"/>
    <cellStyle name="Note 3 3 7 4" xfId="17080" xr:uid="{00000000-0005-0000-0000-0000983F0000}"/>
    <cellStyle name="Note 3 3 8" xfId="17081" xr:uid="{00000000-0005-0000-0000-0000993F0000}"/>
    <cellStyle name="Note 3 3 9" xfId="17082" xr:uid="{00000000-0005-0000-0000-00009A3F0000}"/>
    <cellStyle name="Note 3 4" xfId="17083" xr:uid="{00000000-0005-0000-0000-00009B3F0000}"/>
    <cellStyle name="Note 3 4 10" xfId="17084" xr:uid="{00000000-0005-0000-0000-00009C3F0000}"/>
    <cellStyle name="Note 3 4 11" xfId="17085" xr:uid="{00000000-0005-0000-0000-00009D3F0000}"/>
    <cellStyle name="Note 3 4 2" xfId="17086" xr:uid="{00000000-0005-0000-0000-00009E3F0000}"/>
    <cellStyle name="Note 3 4 2 2" xfId="17087" xr:uid="{00000000-0005-0000-0000-00009F3F0000}"/>
    <cellStyle name="Note 3 4 2 2 2" xfId="17088" xr:uid="{00000000-0005-0000-0000-0000A03F0000}"/>
    <cellStyle name="Note 3 4 2 2 2 2" xfId="17089" xr:uid="{00000000-0005-0000-0000-0000A13F0000}"/>
    <cellStyle name="Note 3 4 2 2 2 2 2" xfId="17090" xr:uid="{00000000-0005-0000-0000-0000A23F0000}"/>
    <cellStyle name="Note 3 4 2 2 2 3" xfId="17091" xr:uid="{00000000-0005-0000-0000-0000A33F0000}"/>
    <cellStyle name="Note 3 4 2 2 3" xfId="17092" xr:uid="{00000000-0005-0000-0000-0000A43F0000}"/>
    <cellStyle name="Note 3 4 2 2 3 2" xfId="17093" xr:uid="{00000000-0005-0000-0000-0000A53F0000}"/>
    <cellStyle name="Note 3 4 2 2 4" xfId="17094" xr:uid="{00000000-0005-0000-0000-0000A63F0000}"/>
    <cellStyle name="Note 3 4 2 3" xfId="17095" xr:uid="{00000000-0005-0000-0000-0000A73F0000}"/>
    <cellStyle name="Note 3 4 2 3 2" xfId="17096" xr:uid="{00000000-0005-0000-0000-0000A83F0000}"/>
    <cellStyle name="Note 3 4 2 3 2 2" xfId="17097" xr:uid="{00000000-0005-0000-0000-0000A93F0000}"/>
    <cellStyle name="Note 3 4 2 3 3" xfId="17098" xr:uid="{00000000-0005-0000-0000-0000AA3F0000}"/>
    <cellStyle name="Note 3 4 2 4" xfId="17099" xr:uid="{00000000-0005-0000-0000-0000AB3F0000}"/>
    <cellStyle name="Note 3 4 2 4 2" xfId="17100" xr:uid="{00000000-0005-0000-0000-0000AC3F0000}"/>
    <cellStyle name="Note 3 4 2 4 2 2" xfId="17101" xr:uid="{00000000-0005-0000-0000-0000AD3F0000}"/>
    <cellStyle name="Note 3 4 2 4 2 2 2" xfId="17102" xr:uid="{00000000-0005-0000-0000-0000AE3F0000}"/>
    <cellStyle name="Note 3 4 2 4 2 3" xfId="17103" xr:uid="{00000000-0005-0000-0000-0000AF3F0000}"/>
    <cellStyle name="Note 3 4 2 4 3" xfId="17104" xr:uid="{00000000-0005-0000-0000-0000B03F0000}"/>
    <cellStyle name="Note 3 4 2 4 3 2" xfId="17105" xr:uid="{00000000-0005-0000-0000-0000B13F0000}"/>
    <cellStyle name="Note 3 4 2 4 4" xfId="17106" xr:uid="{00000000-0005-0000-0000-0000B23F0000}"/>
    <cellStyle name="Note 3 4 2 5" xfId="17107" xr:uid="{00000000-0005-0000-0000-0000B33F0000}"/>
    <cellStyle name="Note 3 4 2 5 2" xfId="17108" xr:uid="{00000000-0005-0000-0000-0000B43F0000}"/>
    <cellStyle name="Note 3 4 2 5 2 2" xfId="17109" xr:uid="{00000000-0005-0000-0000-0000B53F0000}"/>
    <cellStyle name="Note 3 4 2 5 2 3" xfId="17110" xr:uid="{00000000-0005-0000-0000-0000B63F0000}"/>
    <cellStyle name="Note 3 4 2 5 3" xfId="17111" xr:uid="{00000000-0005-0000-0000-0000B73F0000}"/>
    <cellStyle name="Note 3 4 2 5 3 2" xfId="17112" xr:uid="{00000000-0005-0000-0000-0000B83F0000}"/>
    <cellStyle name="Note 3 4 2 5 4" xfId="17113" xr:uid="{00000000-0005-0000-0000-0000B93F0000}"/>
    <cellStyle name="Note 3 4 2 6" xfId="17114" xr:uid="{00000000-0005-0000-0000-0000BA3F0000}"/>
    <cellStyle name="Note 3 4 2 7" xfId="17115" xr:uid="{00000000-0005-0000-0000-0000BB3F0000}"/>
    <cellStyle name="Note 3 4 2 8" xfId="17116" xr:uid="{00000000-0005-0000-0000-0000BC3F0000}"/>
    <cellStyle name="Note 3 4 2 9" xfId="17117" xr:uid="{00000000-0005-0000-0000-0000BD3F0000}"/>
    <cellStyle name="Note 3 4 3" xfId="17118" xr:uid="{00000000-0005-0000-0000-0000BE3F0000}"/>
    <cellStyle name="Note 3 4 3 2" xfId="17119" xr:uid="{00000000-0005-0000-0000-0000BF3F0000}"/>
    <cellStyle name="Note 3 4 3 2 2" xfId="17120" xr:uid="{00000000-0005-0000-0000-0000C03F0000}"/>
    <cellStyle name="Note 3 4 3 2 2 2" xfId="17121" xr:uid="{00000000-0005-0000-0000-0000C13F0000}"/>
    <cellStyle name="Note 3 4 3 2 3" xfId="17122" xr:uid="{00000000-0005-0000-0000-0000C23F0000}"/>
    <cellStyle name="Note 3 4 3 3" xfId="17123" xr:uid="{00000000-0005-0000-0000-0000C33F0000}"/>
    <cellStyle name="Note 3 4 3 3 2" xfId="17124" xr:uid="{00000000-0005-0000-0000-0000C43F0000}"/>
    <cellStyle name="Note 3 4 3 4" xfId="17125" xr:uid="{00000000-0005-0000-0000-0000C53F0000}"/>
    <cellStyle name="Note 3 4 4" xfId="17126" xr:uid="{00000000-0005-0000-0000-0000C63F0000}"/>
    <cellStyle name="Note 3 4 4 2" xfId="17127" xr:uid="{00000000-0005-0000-0000-0000C73F0000}"/>
    <cellStyle name="Note 3 4 4 2 2" xfId="17128" xr:uid="{00000000-0005-0000-0000-0000C83F0000}"/>
    <cellStyle name="Note 3 4 4 2 2 2" xfId="17129" xr:uid="{00000000-0005-0000-0000-0000C93F0000}"/>
    <cellStyle name="Note 3 4 4 2 3" xfId="17130" xr:uid="{00000000-0005-0000-0000-0000CA3F0000}"/>
    <cellStyle name="Note 3 4 4 3" xfId="17131" xr:uid="{00000000-0005-0000-0000-0000CB3F0000}"/>
    <cellStyle name="Note 3 4 4 3 2" xfId="17132" xr:uid="{00000000-0005-0000-0000-0000CC3F0000}"/>
    <cellStyle name="Note 3 4 4 4" xfId="17133" xr:uid="{00000000-0005-0000-0000-0000CD3F0000}"/>
    <cellStyle name="Note 3 4 5" xfId="17134" xr:uid="{00000000-0005-0000-0000-0000CE3F0000}"/>
    <cellStyle name="Note 3 4 5 2" xfId="17135" xr:uid="{00000000-0005-0000-0000-0000CF3F0000}"/>
    <cellStyle name="Note 3 4 5 2 2" xfId="17136" xr:uid="{00000000-0005-0000-0000-0000D03F0000}"/>
    <cellStyle name="Note 3 4 5 3" xfId="17137" xr:uid="{00000000-0005-0000-0000-0000D13F0000}"/>
    <cellStyle name="Note 3 4 6" xfId="17138" xr:uid="{00000000-0005-0000-0000-0000D23F0000}"/>
    <cellStyle name="Note 3 4 6 2" xfId="17139" xr:uid="{00000000-0005-0000-0000-0000D33F0000}"/>
    <cellStyle name="Note 3 4 6 2 2" xfId="17140" xr:uid="{00000000-0005-0000-0000-0000D43F0000}"/>
    <cellStyle name="Note 3 4 6 2 2 2" xfId="17141" xr:uid="{00000000-0005-0000-0000-0000D53F0000}"/>
    <cellStyle name="Note 3 4 6 2 3" xfId="17142" xr:uid="{00000000-0005-0000-0000-0000D63F0000}"/>
    <cellStyle name="Note 3 4 6 3" xfId="17143" xr:uid="{00000000-0005-0000-0000-0000D73F0000}"/>
    <cellStyle name="Note 3 4 6 3 2" xfId="17144" xr:uid="{00000000-0005-0000-0000-0000D83F0000}"/>
    <cellStyle name="Note 3 4 6 4" xfId="17145" xr:uid="{00000000-0005-0000-0000-0000D93F0000}"/>
    <cellStyle name="Note 3 4 7" xfId="17146" xr:uid="{00000000-0005-0000-0000-0000DA3F0000}"/>
    <cellStyle name="Note 3 4 7 2" xfId="17147" xr:uid="{00000000-0005-0000-0000-0000DB3F0000}"/>
    <cellStyle name="Note 3 4 7 2 2" xfId="17148" xr:uid="{00000000-0005-0000-0000-0000DC3F0000}"/>
    <cellStyle name="Note 3 4 7 2 3" xfId="17149" xr:uid="{00000000-0005-0000-0000-0000DD3F0000}"/>
    <cellStyle name="Note 3 4 7 3" xfId="17150" xr:uid="{00000000-0005-0000-0000-0000DE3F0000}"/>
    <cellStyle name="Note 3 4 7 3 2" xfId="17151" xr:uid="{00000000-0005-0000-0000-0000DF3F0000}"/>
    <cellStyle name="Note 3 4 7 4" xfId="17152" xr:uid="{00000000-0005-0000-0000-0000E03F0000}"/>
    <cellStyle name="Note 3 4 8" xfId="17153" xr:uid="{00000000-0005-0000-0000-0000E13F0000}"/>
    <cellStyle name="Note 3 4 9" xfId="17154" xr:uid="{00000000-0005-0000-0000-0000E23F0000}"/>
    <cellStyle name="Note 3 5" xfId="17155" xr:uid="{00000000-0005-0000-0000-0000E33F0000}"/>
    <cellStyle name="Note 3 5 2" xfId="17156" xr:uid="{00000000-0005-0000-0000-0000E43F0000}"/>
    <cellStyle name="Note 3 5 2 2" xfId="17157" xr:uid="{00000000-0005-0000-0000-0000E53F0000}"/>
    <cellStyle name="Note 3 5 2 2 2" xfId="17158" xr:uid="{00000000-0005-0000-0000-0000E63F0000}"/>
    <cellStyle name="Note 3 5 2 2 2 2" xfId="17159" xr:uid="{00000000-0005-0000-0000-0000E73F0000}"/>
    <cellStyle name="Note 3 5 2 2 3" xfId="17160" xr:uid="{00000000-0005-0000-0000-0000E83F0000}"/>
    <cellStyle name="Note 3 5 2 3" xfId="17161" xr:uid="{00000000-0005-0000-0000-0000E93F0000}"/>
    <cellStyle name="Note 3 5 2 4" xfId="17162" xr:uid="{00000000-0005-0000-0000-0000EA3F0000}"/>
    <cellStyle name="Note 3 5 2 5" xfId="17163" xr:uid="{00000000-0005-0000-0000-0000EB3F0000}"/>
    <cellStyle name="Note 3 5 2 6" xfId="17164" xr:uid="{00000000-0005-0000-0000-0000EC3F0000}"/>
    <cellStyle name="Note 3 5 3" xfId="17165" xr:uid="{00000000-0005-0000-0000-0000ED3F0000}"/>
    <cellStyle name="Note 3 5 3 2" xfId="17166" xr:uid="{00000000-0005-0000-0000-0000EE3F0000}"/>
    <cellStyle name="Note 3 5 3 2 2" xfId="17167" xr:uid="{00000000-0005-0000-0000-0000EF3F0000}"/>
    <cellStyle name="Note 3 5 3 2 2 2" xfId="17168" xr:uid="{00000000-0005-0000-0000-0000F03F0000}"/>
    <cellStyle name="Note 3 5 3 2 3" xfId="17169" xr:uid="{00000000-0005-0000-0000-0000F13F0000}"/>
    <cellStyle name="Note 3 5 3 3" xfId="17170" xr:uid="{00000000-0005-0000-0000-0000F23F0000}"/>
    <cellStyle name="Note 3 5 3 3 2" xfId="17171" xr:uid="{00000000-0005-0000-0000-0000F33F0000}"/>
    <cellStyle name="Note 3 5 3 4" xfId="17172" xr:uid="{00000000-0005-0000-0000-0000F43F0000}"/>
    <cellStyle name="Note 3 5 4" xfId="17173" xr:uid="{00000000-0005-0000-0000-0000F53F0000}"/>
    <cellStyle name="Note 3 5 4 2" xfId="17174" xr:uid="{00000000-0005-0000-0000-0000F63F0000}"/>
    <cellStyle name="Note 3 5 4 2 2" xfId="17175" xr:uid="{00000000-0005-0000-0000-0000F73F0000}"/>
    <cellStyle name="Note 3 5 4 2 2 2" xfId="17176" xr:uid="{00000000-0005-0000-0000-0000F83F0000}"/>
    <cellStyle name="Note 3 5 4 2 3" xfId="17177" xr:uid="{00000000-0005-0000-0000-0000F93F0000}"/>
    <cellStyle name="Note 3 5 4 3" xfId="17178" xr:uid="{00000000-0005-0000-0000-0000FA3F0000}"/>
    <cellStyle name="Note 3 5 4 3 2" xfId="17179" xr:uid="{00000000-0005-0000-0000-0000FB3F0000}"/>
    <cellStyle name="Note 3 5 4 4" xfId="17180" xr:uid="{00000000-0005-0000-0000-0000FC3F0000}"/>
    <cellStyle name="Note 3 5 5" xfId="17181" xr:uid="{00000000-0005-0000-0000-0000FD3F0000}"/>
    <cellStyle name="Note 3 5 5 2" xfId="17182" xr:uid="{00000000-0005-0000-0000-0000FE3F0000}"/>
    <cellStyle name="Note 3 5 5 2 2" xfId="17183" xr:uid="{00000000-0005-0000-0000-0000FF3F0000}"/>
    <cellStyle name="Note 3 5 5 2 3" xfId="17184" xr:uid="{00000000-0005-0000-0000-000000400000}"/>
    <cellStyle name="Note 3 5 5 3" xfId="17185" xr:uid="{00000000-0005-0000-0000-000001400000}"/>
    <cellStyle name="Note 3 5 5 3 2" xfId="17186" xr:uid="{00000000-0005-0000-0000-000002400000}"/>
    <cellStyle name="Note 3 5 5 4" xfId="17187" xr:uid="{00000000-0005-0000-0000-000003400000}"/>
    <cellStyle name="Note 3 5 6" xfId="17188" xr:uid="{00000000-0005-0000-0000-000004400000}"/>
    <cellStyle name="Note 3 5 7" xfId="17189" xr:uid="{00000000-0005-0000-0000-000005400000}"/>
    <cellStyle name="Note 3 5 7 2" xfId="20166" xr:uid="{00000000-0005-0000-0000-000005400000}"/>
    <cellStyle name="Note 3 5 8" xfId="17190" xr:uid="{00000000-0005-0000-0000-000006400000}"/>
    <cellStyle name="Note 3 5 9" xfId="17191" xr:uid="{00000000-0005-0000-0000-000007400000}"/>
    <cellStyle name="Note 3 6" xfId="17192" xr:uid="{00000000-0005-0000-0000-000008400000}"/>
    <cellStyle name="Note 3 6 2" xfId="17193" xr:uid="{00000000-0005-0000-0000-000009400000}"/>
    <cellStyle name="Note 3 6 2 2" xfId="17194" xr:uid="{00000000-0005-0000-0000-00000A400000}"/>
    <cellStyle name="Note 3 6 2 2 2" xfId="17195" xr:uid="{00000000-0005-0000-0000-00000B400000}"/>
    <cellStyle name="Note 3 6 2 3" xfId="17196" xr:uid="{00000000-0005-0000-0000-00000C400000}"/>
    <cellStyle name="Note 3 6 3" xfId="17197" xr:uid="{00000000-0005-0000-0000-00000D400000}"/>
    <cellStyle name="Note 3 6 4" xfId="17198" xr:uid="{00000000-0005-0000-0000-00000E400000}"/>
    <cellStyle name="Note 3 6 5" xfId="17199" xr:uid="{00000000-0005-0000-0000-00000F400000}"/>
    <cellStyle name="Note 3 6 6" xfId="17200" xr:uid="{00000000-0005-0000-0000-000010400000}"/>
    <cellStyle name="Note 3 7" xfId="17201" xr:uid="{00000000-0005-0000-0000-000011400000}"/>
    <cellStyle name="Note 3 7 2" xfId="17202" xr:uid="{00000000-0005-0000-0000-000012400000}"/>
    <cellStyle name="Note 3 7 2 2" xfId="17203" xr:uid="{00000000-0005-0000-0000-000013400000}"/>
    <cellStyle name="Note 3 7 2 2 2" xfId="17204" xr:uid="{00000000-0005-0000-0000-000014400000}"/>
    <cellStyle name="Note 3 7 2 3" xfId="17205" xr:uid="{00000000-0005-0000-0000-000015400000}"/>
    <cellStyle name="Note 3 7 3" xfId="17206" xr:uid="{00000000-0005-0000-0000-000016400000}"/>
    <cellStyle name="Note 3 7 3 2" xfId="17207" xr:uid="{00000000-0005-0000-0000-000017400000}"/>
    <cellStyle name="Note 3 7 4" xfId="17208" xr:uid="{00000000-0005-0000-0000-000018400000}"/>
    <cellStyle name="Note 3 8" xfId="17209" xr:uid="{00000000-0005-0000-0000-000019400000}"/>
    <cellStyle name="Note 3 8 2" xfId="17210" xr:uid="{00000000-0005-0000-0000-00001A400000}"/>
    <cellStyle name="Note 3 8 2 2" xfId="17211" xr:uid="{00000000-0005-0000-0000-00001B400000}"/>
    <cellStyle name="Note 3 8 2 2 2" xfId="17212" xr:uid="{00000000-0005-0000-0000-00001C400000}"/>
    <cellStyle name="Note 3 8 2 3" xfId="17213" xr:uid="{00000000-0005-0000-0000-00001D400000}"/>
    <cellStyle name="Note 3 8 3" xfId="17214" xr:uid="{00000000-0005-0000-0000-00001E400000}"/>
    <cellStyle name="Note 3 8 3 2" xfId="17215" xr:uid="{00000000-0005-0000-0000-00001F400000}"/>
    <cellStyle name="Note 3 8 4" xfId="17216" xr:uid="{00000000-0005-0000-0000-000020400000}"/>
    <cellStyle name="Note 3 9" xfId="17217" xr:uid="{00000000-0005-0000-0000-000021400000}"/>
    <cellStyle name="Note 3 9 2" xfId="17218" xr:uid="{00000000-0005-0000-0000-000022400000}"/>
    <cellStyle name="Note 3 9 2 2" xfId="17219" xr:uid="{00000000-0005-0000-0000-000023400000}"/>
    <cellStyle name="Note 3 9 3" xfId="17220" xr:uid="{00000000-0005-0000-0000-000024400000}"/>
    <cellStyle name="Note 4" xfId="2580" xr:uid="{00000000-0005-0000-0000-0000DB090000}"/>
    <cellStyle name="Note 4 2" xfId="2581" xr:uid="{00000000-0005-0000-0000-0000DC090000}"/>
    <cellStyle name="Note 4 2 2" xfId="17223" xr:uid="{00000000-0005-0000-0000-000027400000}"/>
    <cellStyle name="Note 4 2 2 2" xfId="17224" xr:uid="{00000000-0005-0000-0000-000028400000}"/>
    <cellStyle name="Note 4 2 2 3" xfId="20167" xr:uid="{00000000-0005-0000-0000-000027400000}"/>
    <cellStyle name="Note 4 2 3" xfId="17225" xr:uid="{00000000-0005-0000-0000-000029400000}"/>
    <cellStyle name="Note 4 2 4" xfId="17222" xr:uid="{00000000-0005-0000-0000-000026400000}"/>
    <cellStyle name="Note 4 3" xfId="17226" xr:uid="{00000000-0005-0000-0000-00002A400000}"/>
    <cellStyle name="Note 4 3 2" xfId="17227" xr:uid="{00000000-0005-0000-0000-00002B400000}"/>
    <cellStyle name="Note 4 3 2 2" xfId="17228" xr:uid="{00000000-0005-0000-0000-00002C400000}"/>
    <cellStyle name="Note 4 3 2 3" xfId="17229" xr:uid="{00000000-0005-0000-0000-00002D400000}"/>
    <cellStyle name="Note 4 3 3" xfId="17230" xr:uid="{00000000-0005-0000-0000-00002E400000}"/>
    <cellStyle name="Note 4 3 3 2" xfId="17231" xr:uid="{00000000-0005-0000-0000-00002F400000}"/>
    <cellStyle name="Note 4 3 4" xfId="17232" xr:uid="{00000000-0005-0000-0000-000030400000}"/>
    <cellStyle name="Note 4 4" xfId="17233" xr:uid="{00000000-0005-0000-0000-000031400000}"/>
    <cellStyle name="Note 4 5" xfId="17234" xr:uid="{00000000-0005-0000-0000-000032400000}"/>
    <cellStyle name="Note 4 5 2" xfId="20168" xr:uid="{00000000-0005-0000-0000-000032400000}"/>
    <cellStyle name="Note 4 6" xfId="17235" xr:uid="{00000000-0005-0000-0000-000033400000}"/>
    <cellStyle name="Note 4 7" xfId="17221" xr:uid="{00000000-0005-0000-0000-000025400000}"/>
    <cellStyle name="Note 5" xfId="2582" xr:uid="{00000000-0005-0000-0000-0000DD090000}"/>
    <cellStyle name="Note 5 10" xfId="17237" xr:uid="{00000000-0005-0000-0000-000035400000}"/>
    <cellStyle name="Note 5 11" xfId="17238" xr:uid="{00000000-0005-0000-0000-000036400000}"/>
    <cellStyle name="Note 5 12" xfId="17239" xr:uid="{00000000-0005-0000-0000-000037400000}"/>
    <cellStyle name="Note 5 13" xfId="17236" xr:uid="{00000000-0005-0000-0000-000034400000}"/>
    <cellStyle name="Note 5 2" xfId="2583" xr:uid="{00000000-0005-0000-0000-0000DE090000}"/>
    <cellStyle name="Note 5 2 10" xfId="17240" xr:uid="{00000000-0005-0000-0000-000038400000}"/>
    <cellStyle name="Note 5 2 2" xfId="17241" xr:uid="{00000000-0005-0000-0000-000039400000}"/>
    <cellStyle name="Note 5 2 2 2" xfId="17242" xr:uid="{00000000-0005-0000-0000-00003A400000}"/>
    <cellStyle name="Note 5 2 2 2 2" xfId="17243" xr:uid="{00000000-0005-0000-0000-00003B400000}"/>
    <cellStyle name="Note 5 2 2 2 2 2" xfId="17244" xr:uid="{00000000-0005-0000-0000-00003C400000}"/>
    <cellStyle name="Note 5 2 2 2 3" xfId="17245" xr:uid="{00000000-0005-0000-0000-00003D400000}"/>
    <cellStyle name="Note 5 2 2 3" xfId="17246" xr:uid="{00000000-0005-0000-0000-00003E400000}"/>
    <cellStyle name="Note 5 2 2 3 2" xfId="17247" xr:uid="{00000000-0005-0000-0000-00003F400000}"/>
    <cellStyle name="Note 5 2 2 4" xfId="17248" xr:uid="{00000000-0005-0000-0000-000040400000}"/>
    <cellStyle name="Note 5 2 3" xfId="17249" xr:uid="{00000000-0005-0000-0000-000041400000}"/>
    <cellStyle name="Note 5 2 3 2" xfId="17250" xr:uid="{00000000-0005-0000-0000-000042400000}"/>
    <cellStyle name="Note 5 2 3 2 2" xfId="17251" xr:uid="{00000000-0005-0000-0000-000043400000}"/>
    <cellStyle name="Note 5 2 3 2 2 2" xfId="17252" xr:uid="{00000000-0005-0000-0000-000044400000}"/>
    <cellStyle name="Note 5 2 3 2 3" xfId="17253" xr:uid="{00000000-0005-0000-0000-000045400000}"/>
    <cellStyle name="Note 5 2 3 3" xfId="17254" xr:uid="{00000000-0005-0000-0000-000046400000}"/>
    <cellStyle name="Note 5 2 3 3 2" xfId="17255" xr:uid="{00000000-0005-0000-0000-000047400000}"/>
    <cellStyle name="Note 5 2 3 4" xfId="17256" xr:uid="{00000000-0005-0000-0000-000048400000}"/>
    <cellStyle name="Note 5 2 4" xfId="17257" xr:uid="{00000000-0005-0000-0000-000049400000}"/>
    <cellStyle name="Note 5 2 4 2" xfId="17258" xr:uid="{00000000-0005-0000-0000-00004A400000}"/>
    <cellStyle name="Note 5 2 4 2 2" xfId="17259" xr:uid="{00000000-0005-0000-0000-00004B400000}"/>
    <cellStyle name="Note 5 2 4 2 2 2" xfId="17260" xr:uid="{00000000-0005-0000-0000-00004C400000}"/>
    <cellStyle name="Note 5 2 4 2 3" xfId="17261" xr:uid="{00000000-0005-0000-0000-00004D400000}"/>
    <cellStyle name="Note 5 2 4 3" xfId="17262" xr:uid="{00000000-0005-0000-0000-00004E400000}"/>
    <cellStyle name="Note 5 2 4 3 2" xfId="17263" xr:uid="{00000000-0005-0000-0000-00004F400000}"/>
    <cellStyle name="Note 5 2 4 4" xfId="17264" xr:uid="{00000000-0005-0000-0000-000050400000}"/>
    <cellStyle name="Note 5 2 5" xfId="17265" xr:uid="{00000000-0005-0000-0000-000051400000}"/>
    <cellStyle name="Note 5 2 5 2" xfId="17266" xr:uid="{00000000-0005-0000-0000-000052400000}"/>
    <cellStyle name="Note 5 2 5 2 2" xfId="17267" xr:uid="{00000000-0005-0000-0000-000053400000}"/>
    <cellStyle name="Note 5 2 5 2 3" xfId="17268" xr:uid="{00000000-0005-0000-0000-000054400000}"/>
    <cellStyle name="Note 5 2 5 3" xfId="17269" xr:uid="{00000000-0005-0000-0000-000055400000}"/>
    <cellStyle name="Note 5 2 5 3 2" xfId="17270" xr:uid="{00000000-0005-0000-0000-000056400000}"/>
    <cellStyle name="Note 5 2 5 4" xfId="17271" xr:uid="{00000000-0005-0000-0000-000057400000}"/>
    <cellStyle name="Note 5 2 6" xfId="17272" xr:uid="{00000000-0005-0000-0000-000058400000}"/>
    <cellStyle name="Note 5 2 7" xfId="17273" xr:uid="{00000000-0005-0000-0000-000059400000}"/>
    <cellStyle name="Note 5 2 7 2" xfId="20169" xr:uid="{00000000-0005-0000-0000-000059400000}"/>
    <cellStyle name="Note 5 2 8" xfId="17274" xr:uid="{00000000-0005-0000-0000-00005A400000}"/>
    <cellStyle name="Note 5 2 9" xfId="17275" xr:uid="{00000000-0005-0000-0000-00005B400000}"/>
    <cellStyle name="Note 5 3" xfId="17276" xr:uid="{00000000-0005-0000-0000-00005C400000}"/>
    <cellStyle name="Note 5 3 2" xfId="17277" xr:uid="{00000000-0005-0000-0000-00005D400000}"/>
    <cellStyle name="Note 5 3 2 2" xfId="17278" xr:uid="{00000000-0005-0000-0000-00005E400000}"/>
    <cellStyle name="Note 5 3 2 2 2" xfId="17279" xr:uid="{00000000-0005-0000-0000-00005F400000}"/>
    <cellStyle name="Note 5 3 2 3" xfId="17280" xr:uid="{00000000-0005-0000-0000-000060400000}"/>
    <cellStyle name="Note 5 3 3" xfId="17281" xr:uid="{00000000-0005-0000-0000-000061400000}"/>
    <cellStyle name="Note 5 3 3 2" xfId="17282" xr:uid="{00000000-0005-0000-0000-000062400000}"/>
    <cellStyle name="Note 5 3 4" xfId="17283" xr:uid="{00000000-0005-0000-0000-000063400000}"/>
    <cellStyle name="Note 5 4" xfId="17284" xr:uid="{00000000-0005-0000-0000-000064400000}"/>
    <cellStyle name="Note 5 4 2" xfId="17285" xr:uid="{00000000-0005-0000-0000-000065400000}"/>
    <cellStyle name="Note 5 4 2 2" xfId="17286" xr:uid="{00000000-0005-0000-0000-000066400000}"/>
    <cellStyle name="Note 5 4 2 2 2" xfId="17287" xr:uid="{00000000-0005-0000-0000-000067400000}"/>
    <cellStyle name="Note 5 4 2 3" xfId="17288" xr:uid="{00000000-0005-0000-0000-000068400000}"/>
    <cellStyle name="Note 5 4 3" xfId="17289" xr:uid="{00000000-0005-0000-0000-000069400000}"/>
    <cellStyle name="Note 5 4 3 2" xfId="17290" xr:uid="{00000000-0005-0000-0000-00006A400000}"/>
    <cellStyle name="Note 5 4 4" xfId="17291" xr:uid="{00000000-0005-0000-0000-00006B400000}"/>
    <cellStyle name="Note 5 5" xfId="17292" xr:uid="{00000000-0005-0000-0000-00006C400000}"/>
    <cellStyle name="Note 5 5 2" xfId="17293" xr:uid="{00000000-0005-0000-0000-00006D400000}"/>
    <cellStyle name="Note 5 5 2 2" xfId="17294" xr:uid="{00000000-0005-0000-0000-00006E400000}"/>
    <cellStyle name="Note 5 5 3" xfId="17295" xr:uid="{00000000-0005-0000-0000-00006F400000}"/>
    <cellStyle name="Note 5 6" xfId="17296" xr:uid="{00000000-0005-0000-0000-000070400000}"/>
    <cellStyle name="Note 5 6 2" xfId="17297" xr:uid="{00000000-0005-0000-0000-000071400000}"/>
    <cellStyle name="Note 5 6 2 2" xfId="17298" xr:uid="{00000000-0005-0000-0000-000072400000}"/>
    <cellStyle name="Note 5 6 2 2 2" xfId="17299" xr:uid="{00000000-0005-0000-0000-000073400000}"/>
    <cellStyle name="Note 5 6 2 3" xfId="17300" xr:uid="{00000000-0005-0000-0000-000074400000}"/>
    <cellStyle name="Note 5 6 3" xfId="17301" xr:uid="{00000000-0005-0000-0000-000075400000}"/>
    <cellStyle name="Note 5 6 3 2" xfId="17302" xr:uid="{00000000-0005-0000-0000-000076400000}"/>
    <cellStyle name="Note 5 6 4" xfId="17303" xr:uid="{00000000-0005-0000-0000-000077400000}"/>
    <cellStyle name="Note 5 7" xfId="17304" xr:uid="{00000000-0005-0000-0000-000078400000}"/>
    <cellStyle name="Note 5 7 2" xfId="17305" xr:uid="{00000000-0005-0000-0000-000079400000}"/>
    <cellStyle name="Note 5 7 2 2" xfId="17306" xr:uid="{00000000-0005-0000-0000-00007A400000}"/>
    <cellStyle name="Note 5 7 2 3" xfId="17307" xr:uid="{00000000-0005-0000-0000-00007B400000}"/>
    <cellStyle name="Note 5 7 3" xfId="17308" xr:uid="{00000000-0005-0000-0000-00007C400000}"/>
    <cellStyle name="Note 5 7 3 2" xfId="17309" xr:uid="{00000000-0005-0000-0000-00007D400000}"/>
    <cellStyle name="Note 5 7 4" xfId="17310" xr:uid="{00000000-0005-0000-0000-00007E400000}"/>
    <cellStyle name="Note 5 8" xfId="17311" xr:uid="{00000000-0005-0000-0000-00007F400000}"/>
    <cellStyle name="Note 5 8 2" xfId="17312" xr:uid="{00000000-0005-0000-0000-000080400000}"/>
    <cellStyle name="Note 5 8 2 2" xfId="17313" xr:uid="{00000000-0005-0000-0000-000081400000}"/>
    <cellStyle name="Note 5 8 2 3" xfId="17314" xr:uid="{00000000-0005-0000-0000-000082400000}"/>
    <cellStyle name="Note 5 8 3" xfId="17315" xr:uid="{00000000-0005-0000-0000-000083400000}"/>
    <cellStyle name="Note 5 8 3 2" xfId="17316" xr:uid="{00000000-0005-0000-0000-000084400000}"/>
    <cellStyle name="Note 5 8 4" xfId="17317" xr:uid="{00000000-0005-0000-0000-000085400000}"/>
    <cellStyle name="Note 5 9" xfId="17318" xr:uid="{00000000-0005-0000-0000-000086400000}"/>
    <cellStyle name="Note 6" xfId="2584" xr:uid="{00000000-0005-0000-0000-0000DF090000}"/>
    <cellStyle name="Note 6 10" xfId="17320" xr:uid="{00000000-0005-0000-0000-000088400000}"/>
    <cellStyle name="Note 6 11" xfId="17321" xr:uid="{00000000-0005-0000-0000-000089400000}"/>
    <cellStyle name="Note 6 12" xfId="17319" xr:uid="{00000000-0005-0000-0000-000087400000}"/>
    <cellStyle name="Note 6 2" xfId="2585" xr:uid="{00000000-0005-0000-0000-0000E0090000}"/>
    <cellStyle name="Note 6 2 10" xfId="17322" xr:uid="{00000000-0005-0000-0000-00008A400000}"/>
    <cellStyle name="Note 6 2 2" xfId="17323" xr:uid="{00000000-0005-0000-0000-00008B400000}"/>
    <cellStyle name="Note 6 2 2 2" xfId="17324" xr:uid="{00000000-0005-0000-0000-00008C400000}"/>
    <cellStyle name="Note 6 2 2 2 2" xfId="17325" xr:uid="{00000000-0005-0000-0000-00008D400000}"/>
    <cellStyle name="Note 6 2 2 2 2 2" xfId="17326" xr:uid="{00000000-0005-0000-0000-00008E400000}"/>
    <cellStyle name="Note 6 2 2 2 3" xfId="17327" xr:uid="{00000000-0005-0000-0000-00008F400000}"/>
    <cellStyle name="Note 6 2 2 3" xfId="17328" xr:uid="{00000000-0005-0000-0000-000090400000}"/>
    <cellStyle name="Note 6 2 2 3 2" xfId="17329" xr:uid="{00000000-0005-0000-0000-000091400000}"/>
    <cellStyle name="Note 6 2 2 4" xfId="17330" xr:uid="{00000000-0005-0000-0000-000092400000}"/>
    <cellStyle name="Note 6 2 3" xfId="17331" xr:uid="{00000000-0005-0000-0000-000093400000}"/>
    <cellStyle name="Note 6 2 3 2" xfId="17332" xr:uid="{00000000-0005-0000-0000-000094400000}"/>
    <cellStyle name="Note 6 2 3 2 2" xfId="17333" xr:uid="{00000000-0005-0000-0000-000095400000}"/>
    <cellStyle name="Note 6 2 3 2 2 2" xfId="17334" xr:uid="{00000000-0005-0000-0000-000096400000}"/>
    <cellStyle name="Note 6 2 3 2 3" xfId="17335" xr:uid="{00000000-0005-0000-0000-000097400000}"/>
    <cellStyle name="Note 6 2 3 3" xfId="17336" xr:uid="{00000000-0005-0000-0000-000098400000}"/>
    <cellStyle name="Note 6 2 3 3 2" xfId="17337" xr:uid="{00000000-0005-0000-0000-000099400000}"/>
    <cellStyle name="Note 6 2 3 4" xfId="17338" xr:uid="{00000000-0005-0000-0000-00009A400000}"/>
    <cellStyle name="Note 6 2 4" xfId="17339" xr:uid="{00000000-0005-0000-0000-00009B400000}"/>
    <cellStyle name="Note 6 2 4 2" xfId="17340" xr:uid="{00000000-0005-0000-0000-00009C400000}"/>
    <cellStyle name="Note 6 2 4 2 2" xfId="17341" xr:uid="{00000000-0005-0000-0000-00009D400000}"/>
    <cellStyle name="Note 6 2 4 2 2 2" xfId="17342" xr:uid="{00000000-0005-0000-0000-00009E400000}"/>
    <cellStyle name="Note 6 2 4 2 3" xfId="17343" xr:uid="{00000000-0005-0000-0000-00009F400000}"/>
    <cellStyle name="Note 6 2 4 3" xfId="17344" xr:uid="{00000000-0005-0000-0000-0000A0400000}"/>
    <cellStyle name="Note 6 2 4 3 2" xfId="17345" xr:uid="{00000000-0005-0000-0000-0000A1400000}"/>
    <cellStyle name="Note 6 2 4 4" xfId="17346" xr:uid="{00000000-0005-0000-0000-0000A2400000}"/>
    <cellStyle name="Note 6 2 5" xfId="17347" xr:uid="{00000000-0005-0000-0000-0000A3400000}"/>
    <cellStyle name="Note 6 2 5 2" xfId="17348" xr:uid="{00000000-0005-0000-0000-0000A4400000}"/>
    <cellStyle name="Note 6 2 5 2 2" xfId="17349" xr:uid="{00000000-0005-0000-0000-0000A5400000}"/>
    <cellStyle name="Note 6 2 5 2 3" xfId="17350" xr:uid="{00000000-0005-0000-0000-0000A6400000}"/>
    <cellStyle name="Note 6 2 5 3" xfId="17351" xr:uid="{00000000-0005-0000-0000-0000A7400000}"/>
    <cellStyle name="Note 6 2 5 3 2" xfId="17352" xr:uid="{00000000-0005-0000-0000-0000A8400000}"/>
    <cellStyle name="Note 6 2 5 4" xfId="17353" xr:uid="{00000000-0005-0000-0000-0000A9400000}"/>
    <cellStyle name="Note 6 2 6" xfId="17354" xr:uid="{00000000-0005-0000-0000-0000AA400000}"/>
    <cellStyle name="Note 6 2 7" xfId="17355" xr:uid="{00000000-0005-0000-0000-0000AB400000}"/>
    <cellStyle name="Note 6 2 7 2" xfId="20170" xr:uid="{00000000-0005-0000-0000-0000AB400000}"/>
    <cellStyle name="Note 6 2 8" xfId="17356" xr:uid="{00000000-0005-0000-0000-0000AC400000}"/>
    <cellStyle name="Note 6 2 9" xfId="17357" xr:uid="{00000000-0005-0000-0000-0000AD400000}"/>
    <cellStyle name="Note 6 3" xfId="17358" xr:uid="{00000000-0005-0000-0000-0000AE400000}"/>
    <cellStyle name="Note 6 3 2" xfId="17359" xr:uid="{00000000-0005-0000-0000-0000AF400000}"/>
    <cellStyle name="Note 6 3 2 2" xfId="17360" xr:uid="{00000000-0005-0000-0000-0000B0400000}"/>
    <cellStyle name="Note 6 3 2 2 2" xfId="17361" xr:uid="{00000000-0005-0000-0000-0000B1400000}"/>
    <cellStyle name="Note 6 3 2 3" xfId="17362" xr:uid="{00000000-0005-0000-0000-0000B2400000}"/>
    <cellStyle name="Note 6 3 3" xfId="17363" xr:uid="{00000000-0005-0000-0000-0000B3400000}"/>
    <cellStyle name="Note 6 3 3 2" xfId="17364" xr:uid="{00000000-0005-0000-0000-0000B4400000}"/>
    <cellStyle name="Note 6 3 4" xfId="17365" xr:uid="{00000000-0005-0000-0000-0000B5400000}"/>
    <cellStyle name="Note 6 4" xfId="17366" xr:uid="{00000000-0005-0000-0000-0000B6400000}"/>
    <cellStyle name="Note 6 4 2" xfId="17367" xr:uid="{00000000-0005-0000-0000-0000B7400000}"/>
    <cellStyle name="Note 6 4 2 2" xfId="17368" xr:uid="{00000000-0005-0000-0000-0000B8400000}"/>
    <cellStyle name="Note 6 4 2 2 2" xfId="17369" xr:uid="{00000000-0005-0000-0000-0000B9400000}"/>
    <cellStyle name="Note 6 4 2 3" xfId="17370" xr:uid="{00000000-0005-0000-0000-0000BA400000}"/>
    <cellStyle name="Note 6 4 3" xfId="17371" xr:uid="{00000000-0005-0000-0000-0000BB400000}"/>
    <cellStyle name="Note 6 4 3 2" xfId="17372" xr:uid="{00000000-0005-0000-0000-0000BC400000}"/>
    <cellStyle name="Note 6 4 4" xfId="17373" xr:uid="{00000000-0005-0000-0000-0000BD400000}"/>
    <cellStyle name="Note 6 5" xfId="17374" xr:uid="{00000000-0005-0000-0000-0000BE400000}"/>
    <cellStyle name="Note 6 5 2" xfId="17375" xr:uid="{00000000-0005-0000-0000-0000BF400000}"/>
    <cellStyle name="Note 6 5 2 2" xfId="17376" xr:uid="{00000000-0005-0000-0000-0000C0400000}"/>
    <cellStyle name="Note 6 5 3" xfId="17377" xr:uid="{00000000-0005-0000-0000-0000C1400000}"/>
    <cellStyle name="Note 6 6" xfId="17378" xr:uid="{00000000-0005-0000-0000-0000C2400000}"/>
    <cellStyle name="Note 6 6 2" xfId="17379" xr:uid="{00000000-0005-0000-0000-0000C3400000}"/>
    <cellStyle name="Note 6 6 2 2" xfId="17380" xr:uid="{00000000-0005-0000-0000-0000C4400000}"/>
    <cellStyle name="Note 6 6 2 2 2" xfId="17381" xr:uid="{00000000-0005-0000-0000-0000C5400000}"/>
    <cellStyle name="Note 6 6 2 3" xfId="17382" xr:uid="{00000000-0005-0000-0000-0000C6400000}"/>
    <cellStyle name="Note 6 6 3" xfId="17383" xr:uid="{00000000-0005-0000-0000-0000C7400000}"/>
    <cellStyle name="Note 6 6 3 2" xfId="17384" xr:uid="{00000000-0005-0000-0000-0000C8400000}"/>
    <cellStyle name="Note 6 6 4" xfId="17385" xr:uid="{00000000-0005-0000-0000-0000C9400000}"/>
    <cellStyle name="Note 6 7" xfId="17386" xr:uid="{00000000-0005-0000-0000-0000CA400000}"/>
    <cellStyle name="Note 6 7 2" xfId="17387" xr:uid="{00000000-0005-0000-0000-0000CB400000}"/>
    <cellStyle name="Note 6 7 2 2" xfId="17388" xr:uid="{00000000-0005-0000-0000-0000CC400000}"/>
    <cellStyle name="Note 6 7 2 3" xfId="17389" xr:uid="{00000000-0005-0000-0000-0000CD400000}"/>
    <cellStyle name="Note 6 7 3" xfId="17390" xr:uid="{00000000-0005-0000-0000-0000CE400000}"/>
    <cellStyle name="Note 6 7 3 2" xfId="17391" xr:uid="{00000000-0005-0000-0000-0000CF400000}"/>
    <cellStyle name="Note 6 7 4" xfId="17392" xr:uid="{00000000-0005-0000-0000-0000D0400000}"/>
    <cellStyle name="Note 6 8" xfId="17393" xr:uid="{00000000-0005-0000-0000-0000D1400000}"/>
    <cellStyle name="Note 6 9" xfId="17394" xr:uid="{00000000-0005-0000-0000-0000D2400000}"/>
    <cellStyle name="Note 7" xfId="2586" xr:uid="{00000000-0005-0000-0000-0000E1090000}"/>
    <cellStyle name="Note 7 10" xfId="17396" xr:uid="{00000000-0005-0000-0000-0000D4400000}"/>
    <cellStyle name="Note 7 11" xfId="17397" xr:uid="{00000000-0005-0000-0000-0000D5400000}"/>
    <cellStyle name="Note 7 12" xfId="17395" xr:uid="{00000000-0005-0000-0000-0000D3400000}"/>
    <cellStyle name="Note 7 2" xfId="2587" xr:uid="{00000000-0005-0000-0000-0000E2090000}"/>
    <cellStyle name="Note 7 2 10" xfId="17398" xr:uid="{00000000-0005-0000-0000-0000D6400000}"/>
    <cellStyle name="Note 7 2 2" xfId="17399" xr:uid="{00000000-0005-0000-0000-0000D7400000}"/>
    <cellStyle name="Note 7 2 2 2" xfId="17400" xr:uid="{00000000-0005-0000-0000-0000D8400000}"/>
    <cellStyle name="Note 7 2 2 2 2" xfId="17401" xr:uid="{00000000-0005-0000-0000-0000D9400000}"/>
    <cellStyle name="Note 7 2 2 2 2 2" xfId="17402" xr:uid="{00000000-0005-0000-0000-0000DA400000}"/>
    <cellStyle name="Note 7 2 2 2 3" xfId="17403" xr:uid="{00000000-0005-0000-0000-0000DB400000}"/>
    <cellStyle name="Note 7 2 2 3" xfId="17404" xr:uid="{00000000-0005-0000-0000-0000DC400000}"/>
    <cellStyle name="Note 7 2 2 3 2" xfId="17405" xr:uid="{00000000-0005-0000-0000-0000DD400000}"/>
    <cellStyle name="Note 7 2 2 4" xfId="17406" xr:uid="{00000000-0005-0000-0000-0000DE400000}"/>
    <cellStyle name="Note 7 2 3" xfId="17407" xr:uid="{00000000-0005-0000-0000-0000DF400000}"/>
    <cellStyle name="Note 7 2 3 2" xfId="17408" xr:uid="{00000000-0005-0000-0000-0000E0400000}"/>
    <cellStyle name="Note 7 2 3 2 2" xfId="17409" xr:uid="{00000000-0005-0000-0000-0000E1400000}"/>
    <cellStyle name="Note 7 2 3 2 2 2" xfId="17410" xr:uid="{00000000-0005-0000-0000-0000E2400000}"/>
    <cellStyle name="Note 7 2 3 2 3" xfId="17411" xr:uid="{00000000-0005-0000-0000-0000E3400000}"/>
    <cellStyle name="Note 7 2 3 3" xfId="17412" xr:uid="{00000000-0005-0000-0000-0000E4400000}"/>
    <cellStyle name="Note 7 2 3 3 2" xfId="17413" xr:uid="{00000000-0005-0000-0000-0000E5400000}"/>
    <cellStyle name="Note 7 2 3 4" xfId="17414" xr:uid="{00000000-0005-0000-0000-0000E6400000}"/>
    <cellStyle name="Note 7 2 4" xfId="17415" xr:uid="{00000000-0005-0000-0000-0000E7400000}"/>
    <cellStyle name="Note 7 2 4 2" xfId="17416" xr:uid="{00000000-0005-0000-0000-0000E8400000}"/>
    <cellStyle name="Note 7 2 4 2 2" xfId="17417" xr:uid="{00000000-0005-0000-0000-0000E9400000}"/>
    <cellStyle name="Note 7 2 4 2 2 2" xfId="17418" xr:uid="{00000000-0005-0000-0000-0000EA400000}"/>
    <cellStyle name="Note 7 2 4 2 3" xfId="17419" xr:uid="{00000000-0005-0000-0000-0000EB400000}"/>
    <cellStyle name="Note 7 2 4 3" xfId="17420" xr:uid="{00000000-0005-0000-0000-0000EC400000}"/>
    <cellStyle name="Note 7 2 4 3 2" xfId="17421" xr:uid="{00000000-0005-0000-0000-0000ED400000}"/>
    <cellStyle name="Note 7 2 4 4" xfId="17422" xr:uid="{00000000-0005-0000-0000-0000EE400000}"/>
    <cellStyle name="Note 7 2 5" xfId="17423" xr:uid="{00000000-0005-0000-0000-0000EF400000}"/>
    <cellStyle name="Note 7 2 5 2" xfId="17424" xr:uid="{00000000-0005-0000-0000-0000F0400000}"/>
    <cellStyle name="Note 7 2 5 2 2" xfId="17425" xr:uid="{00000000-0005-0000-0000-0000F1400000}"/>
    <cellStyle name="Note 7 2 5 2 3" xfId="17426" xr:uid="{00000000-0005-0000-0000-0000F2400000}"/>
    <cellStyle name="Note 7 2 5 3" xfId="17427" xr:uid="{00000000-0005-0000-0000-0000F3400000}"/>
    <cellStyle name="Note 7 2 5 3 2" xfId="17428" xr:uid="{00000000-0005-0000-0000-0000F4400000}"/>
    <cellStyle name="Note 7 2 5 4" xfId="17429" xr:uid="{00000000-0005-0000-0000-0000F5400000}"/>
    <cellStyle name="Note 7 2 6" xfId="17430" xr:uid="{00000000-0005-0000-0000-0000F6400000}"/>
    <cellStyle name="Note 7 2 7" xfId="17431" xr:uid="{00000000-0005-0000-0000-0000F7400000}"/>
    <cellStyle name="Note 7 2 7 2" xfId="20171" xr:uid="{00000000-0005-0000-0000-0000F7400000}"/>
    <cellStyle name="Note 7 2 8" xfId="17432" xr:uid="{00000000-0005-0000-0000-0000F8400000}"/>
    <cellStyle name="Note 7 2 9" xfId="17433" xr:uid="{00000000-0005-0000-0000-0000F9400000}"/>
    <cellStyle name="Note 7 3" xfId="17434" xr:uid="{00000000-0005-0000-0000-0000FA400000}"/>
    <cellStyle name="Note 7 3 2" xfId="17435" xr:uid="{00000000-0005-0000-0000-0000FB400000}"/>
    <cellStyle name="Note 7 3 2 2" xfId="17436" xr:uid="{00000000-0005-0000-0000-0000FC400000}"/>
    <cellStyle name="Note 7 3 2 2 2" xfId="17437" xr:uid="{00000000-0005-0000-0000-0000FD400000}"/>
    <cellStyle name="Note 7 3 2 3" xfId="17438" xr:uid="{00000000-0005-0000-0000-0000FE400000}"/>
    <cellStyle name="Note 7 3 3" xfId="17439" xr:uid="{00000000-0005-0000-0000-0000FF400000}"/>
    <cellStyle name="Note 7 3 3 2" xfId="17440" xr:uid="{00000000-0005-0000-0000-000000410000}"/>
    <cellStyle name="Note 7 3 4" xfId="17441" xr:uid="{00000000-0005-0000-0000-000001410000}"/>
    <cellStyle name="Note 7 4" xfId="17442" xr:uid="{00000000-0005-0000-0000-000002410000}"/>
    <cellStyle name="Note 7 4 2" xfId="17443" xr:uid="{00000000-0005-0000-0000-000003410000}"/>
    <cellStyle name="Note 7 4 2 2" xfId="17444" xr:uid="{00000000-0005-0000-0000-000004410000}"/>
    <cellStyle name="Note 7 4 2 2 2" xfId="17445" xr:uid="{00000000-0005-0000-0000-000005410000}"/>
    <cellStyle name="Note 7 4 2 3" xfId="17446" xr:uid="{00000000-0005-0000-0000-000006410000}"/>
    <cellStyle name="Note 7 4 3" xfId="17447" xr:uid="{00000000-0005-0000-0000-000007410000}"/>
    <cellStyle name="Note 7 4 3 2" xfId="17448" xr:uid="{00000000-0005-0000-0000-000008410000}"/>
    <cellStyle name="Note 7 4 4" xfId="17449" xr:uid="{00000000-0005-0000-0000-000009410000}"/>
    <cellStyle name="Note 7 5" xfId="17450" xr:uid="{00000000-0005-0000-0000-00000A410000}"/>
    <cellStyle name="Note 7 5 2" xfId="17451" xr:uid="{00000000-0005-0000-0000-00000B410000}"/>
    <cellStyle name="Note 7 5 2 2" xfId="17452" xr:uid="{00000000-0005-0000-0000-00000C410000}"/>
    <cellStyle name="Note 7 5 3" xfId="17453" xr:uid="{00000000-0005-0000-0000-00000D410000}"/>
    <cellStyle name="Note 7 6" xfId="17454" xr:uid="{00000000-0005-0000-0000-00000E410000}"/>
    <cellStyle name="Note 7 6 2" xfId="17455" xr:uid="{00000000-0005-0000-0000-00000F410000}"/>
    <cellStyle name="Note 7 6 2 2" xfId="17456" xr:uid="{00000000-0005-0000-0000-000010410000}"/>
    <cellStyle name="Note 7 6 2 2 2" xfId="17457" xr:uid="{00000000-0005-0000-0000-000011410000}"/>
    <cellStyle name="Note 7 6 2 3" xfId="17458" xr:uid="{00000000-0005-0000-0000-000012410000}"/>
    <cellStyle name="Note 7 6 3" xfId="17459" xr:uid="{00000000-0005-0000-0000-000013410000}"/>
    <cellStyle name="Note 7 6 3 2" xfId="17460" xr:uid="{00000000-0005-0000-0000-000014410000}"/>
    <cellStyle name="Note 7 6 4" xfId="17461" xr:uid="{00000000-0005-0000-0000-000015410000}"/>
    <cellStyle name="Note 7 7" xfId="17462" xr:uid="{00000000-0005-0000-0000-000016410000}"/>
    <cellStyle name="Note 7 7 2" xfId="17463" xr:uid="{00000000-0005-0000-0000-000017410000}"/>
    <cellStyle name="Note 7 7 2 2" xfId="17464" xr:uid="{00000000-0005-0000-0000-000018410000}"/>
    <cellStyle name="Note 7 7 2 3" xfId="17465" xr:uid="{00000000-0005-0000-0000-000019410000}"/>
    <cellStyle name="Note 7 7 3" xfId="17466" xr:uid="{00000000-0005-0000-0000-00001A410000}"/>
    <cellStyle name="Note 7 7 3 2" xfId="17467" xr:uid="{00000000-0005-0000-0000-00001B410000}"/>
    <cellStyle name="Note 7 7 4" xfId="17468" xr:uid="{00000000-0005-0000-0000-00001C410000}"/>
    <cellStyle name="Note 7 8" xfId="17469" xr:uid="{00000000-0005-0000-0000-00001D410000}"/>
    <cellStyle name="Note 7 9" xfId="17470" xr:uid="{00000000-0005-0000-0000-00001E410000}"/>
    <cellStyle name="Note 8" xfId="17471" xr:uid="{00000000-0005-0000-0000-00001F410000}"/>
    <cellStyle name="Note 8 10" xfId="17472" xr:uid="{00000000-0005-0000-0000-000020410000}"/>
    <cellStyle name="Note 8 11" xfId="17473" xr:uid="{00000000-0005-0000-0000-000021410000}"/>
    <cellStyle name="Note 8 2" xfId="17474" xr:uid="{00000000-0005-0000-0000-000022410000}"/>
    <cellStyle name="Note 8 2 2" xfId="17475" xr:uid="{00000000-0005-0000-0000-000023410000}"/>
    <cellStyle name="Note 8 2 2 2" xfId="17476" xr:uid="{00000000-0005-0000-0000-000024410000}"/>
    <cellStyle name="Note 8 2 2 2 2" xfId="17477" xr:uid="{00000000-0005-0000-0000-000025410000}"/>
    <cellStyle name="Note 8 2 2 2 2 2" xfId="17478" xr:uid="{00000000-0005-0000-0000-000026410000}"/>
    <cellStyle name="Note 8 2 2 2 3" xfId="17479" xr:uid="{00000000-0005-0000-0000-000027410000}"/>
    <cellStyle name="Note 8 2 2 3" xfId="17480" xr:uid="{00000000-0005-0000-0000-000028410000}"/>
    <cellStyle name="Note 8 2 2 3 2" xfId="17481" xr:uid="{00000000-0005-0000-0000-000029410000}"/>
    <cellStyle name="Note 8 2 2 4" xfId="17482" xr:uid="{00000000-0005-0000-0000-00002A410000}"/>
    <cellStyle name="Note 8 2 3" xfId="17483" xr:uid="{00000000-0005-0000-0000-00002B410000}"/>
    <cellStyle name="Note 8 2 3 2" xfId="17484" xr:uid="{00000000-0005-0000-0000-00002C410000}"/>
    <cellStyle name="Note 8 2 3 2 2" xfId="17485" xr:uid="{00000000-0005-0000-0000-00002D410000}"/>
    <cellStyle name="Note 8 2 3 3" xfId="17486" xr:uid="{00000000-0005-0000-0000-00002E410000}"/>
    <cellStyle name="Note 8 2 4" xfId="17487" xr:uid="{00000000-0005-0000-0000-00002F410000}"/>
    <cellStyle name="Note 8 2 4 2" xfId="17488" xr:uid="{00000000-0005-0000-0000-000030410000}"/>
    <cellStyle name="Note 8 2 4 2 2" xfId="17489" xr:uid="{00000000-0005-0000-0000-000031410000}"/>
    <cellStyle name="Note 8 2 4 2 2 2" xfId="17490" xr:uid="{00000000-0005-0000-0000-000032410000}"/>
    <cellStyle name="Note 8 2 4 2 3" xfId="17491" xr:uid="{00000000-0005-0000-0000-000033410000}"/>
    <cellStyle name="Note 8 2 4 3" xfId="17492" xr:uid="{00000000-0005-0000-0000-000034410000}"/>
    <cellStyle name="Note 8 2 4 3 2" xfId="17493" xr:uid="{00000000-0005-0000-0000-000035410000}"/>
    <cellStyle name="Note 8 2 4 4" xfId="17494" xr:uid="{00000000-0005-0000-0000-000036410000}"/>
    <cellStyle name="Note 8 2 5" xfId="17495" xr:uid="{00000000-0005-0000-0000-000037410000}"/>
    <cellStyle name="Note 8 2 5 2" xfId="17496" xr:uid="{00000000-0005-0000-0000-000038410000}"/>
    <cellStyle name="Note 8 2 5 2 2" xfId="17497" xr:uid="{00000000-0005-0000-0000-000039410000}"/>
    <cellStyle name="Note 8 2 5 2 3" xfId="17498" xr:uid="{00000000-0005-0000-0000-00003A410000}"/>
    <cellStyle name="Note 8 2 5 3" xfId="17499" xr:uid="{00000000-0005-0000-0000-00003B410000}"/>
    <cellStyle name="Note 8 2 5 3 2" xfId="17500" xr:uid="{00000000-0005-0000-0000-00003C410000}"/>
    <cellStyle name="Note 8 2 5 4" xfId="17501" xr:uid="{00000000-0005-0000-0000-00003D410000}"/>
    <cellStyle name="Note 8 2 6" xfId="17502" xr:uid="{00000000-0005-0000-0000-00003E410000}"/>
    <cellStyle name="Note 8 2 7" xfId="17503" xr:uid="{00000000-0005-0000-0000-00003F410000}"/>
    <cellStyle name="Note 8 2 8" xfId="17504" xr:uid="{00000000-0005-0000-0000-000040410000}"/>
    <cellStyle name="Note 8 2 9" xfId="17505" xr:uid="{00000000-0005-0000-0000-000041410000}"/>
    <cellStyle name="Note 8 3" xfId="17506" xr:uid="{00000000-0005-0000-0000-000042410000}"/>
    <cellStyle name="Note 8 3 2" xfId="17507" xr:uid="{00000000-0005-0000-0000-000043410000}"/>
    <cellStyle name="Note 8 3 2 2" xfId="17508" xr:uid="{00000000-0005-0000-0000-000044410000}"/>
    <cellStyle name="Note 8 3 2 2 2" xfId="17509" xr:uid="{00000000-0005-0000-0000-000045410000}"/>
    <cellStyle name="Note 8 3 2 3" xfId="17510" xr:uid="{00000000-0005-0000-0000-000046410000}"/>
    <cellStyle name="Note 8 3 3" xfId="17511" xr:uid="{00000000-0005-0000-0000-000047410000}"/>
    <cellStyle name="Note 8 3 3 2" xfId="17512" xr:uid="{00000000-0005-0000-0000-000048410000}"/>
    <cellStyle name="Note 8 3 4" xfId="17513" xr:uid="{00000000-0005-0000-0000-000049410000}"/>
    <cellStyle name="Note 8 4" xfId="17514" xr:uid="{00000000-0005-0000-0000-00004A410000}"/>
    <cellStyle name="Note 8 4 2" xfId="17515" xr:uid="{00000000-0005-0000-0000-00004B410000}"/>
    <cellStyle name="Note 8 4 2 2" xfId="17516" xr:uid="{00000000-0005-0000-0000-00004C410000}"/>
    <cellStyle name="Note 8 4 2 2 2" xfId="17517" xr:uid="{00000000-0005-0000-0000-00004D410000}"/>
    <cellStyle name="Note 8 4 2 3" xfId="17518" xr:uid="{00000000-0005-0000-0000-00004E410000}"/>
    <cellStyle name="Note 8 4 3" xfId="17519" xr:uid="{00000000-0005-0000-0000-00004F410000}"/>
    <cellStyle name="Note 8 4 3 2" xfId="17520" xr:uid="{00000000-0005-0000-0000-000050410000}"/>
    <cellStyle name="Note 8 4 4" xfId="17521" xr:uid="{00000000-0005-0000-0000-000051410000}"/>
    <cellStyle name="Note 8 5" xfId="17522" xr:uid="{00000000-0005-0000-0000-000052410000}"/>
    <cellStyle name="Note 8 5 2" xfId="17523" xr:uid="{00000000-0005-0000-0000-000053410000}"/>
    <cellStyle name="Note 8 5 2 2" xfId="17524" xr:uid="{00000000-0005-0000-0000-000054410000}"/>
    <cellStyle name="Note 8 5 3" xfId="17525" xr:uid="{00000000-0005-0000-0000-000055410000}"/>
    <cellStyle name="Note 8 6" xfId="17526" xr:uid="{00000000-0005-0000-0000-000056410000}"/>
    <cellStyle name="Note 8 6 2" xfId="17527" xr:uid="{00000000-0005-0000-0000-000057410000}"/>
    <cellStyle name="Note 8 6 2 2" xfId="17528" xr:uid="{00000000-0005-0000-0000-000058410000}"/>
    <cellStyle name="Note 8 6 2 2 2" xfId="17529" xr:uid="{00000000-0005-0000-0000-000059410000}"/>
    <cellStyle name="Note 8 6 2 3" xfId="17530" xr:uid="{00000000-0005-0000-0000-00005A410000}"/>
    <cellStyle name="Note 8 6 3" xfId="17531" xr:uid="{00000000-0005-0000-0000-00005B410000}"/>
    <cellStyle name="Note 8 6 3 2" xfId="17532" xr:uid="{00000000-0005-0000-0000-00005C410000}"/>
    <cellStyle name="Note 8 6 4" xfId="17533" xr:uid="{00000000-0005-0000-0000-00005D410000}"/>
    <cellStyle name="Note 8 7" xfId="17534" xr:uid="{00000000-0005-0000-0000-00005E410000}"/>
    <cellStyle name="Note 8 7 2" xfId="17535" xr:uid="{00000000-0005-0000-0000-00005F410000}"/>
    <cellStyle name="Note 8 7 2 2" xfId="17536" xr:uid="{00000000-0005-0000-0000-000060410000}"/>
    <cellStyle name="Note 8 7 2 3" xfId="17537" xr:uid="{00000000-0005-0000-0000-000061410000}"/>
    <cellStyle name="Note 8 7 3" xfId="17538" xr:uid="{00000000-0005-0000-0000-000062410000}"/>
    <cellStyle name="Note 8 7 3 2" xfId="17539" xr:uid="{00000000-0005-0000-0000-000063410000}"/>
    <cellStyle name="Note 8 7 4" xfId="17540" xr:uid="{00000000-0005-0000-0000-000064410000}"/>
    <cellStyle name="Note 8 8" xfId="17541" xr:uid="{00000000-0005-0000-0000-000065410000}"/>
    <cellStyle name="Note 8 9" xfId="17542" xr:uid="{00000000-0005-0000-0000-000066410000}"/>
    <cellStyle name="Note 9" xfId="17543" xr:uid="{00000000-0005-0000-0000-000067410000}"/>
    <cellStyle name="Notes" xfId="2588" xr:uid="{00000000-0005-0000-0000-0000E3090000}"/>
    <cellStyle name="Output" xfId="74" builtinId="21" customBuiltin="1"/>
    <cellStyle name="Output 10" xfId="17544" xr:uid="{00000000-0005-0000-0000-000069410000}"/>
    <cellStyle name="Output 11" xfId="17545" xr:uid="{00000000-0005-0000-0000-00006A410000}"/>
    <cellStyle name="Output 11 2" xfId="20172" xr:uid="{00000000-0005-0000-0000-00006A410000}"/>
    <cellStyle name="Output 12" xfId="17546" xr:uid="{00000000-0005-0000-0000-00006B410000}"/>
    <cellStyle name="Output 2" xfId="2589" xr:uid="{00000000-0005-0000-0000-0000E4090000}"/>
    <cellStyle name="Output 2 2" xfId="2590" xr:uid="{00000000-0005-0000-0000-0000E5090000}"/>
    <cellStyle name="Output 2 2 2" xfId="17549" xr:uid="{00000000-0005-0000-0000-00006E410000}"/>
    <cellStyle name="Output 2 2 2 2" xfId="17550" xr:uid="{00000000-0005-0000-0000-00006F410000}"/>
    <cellStyle name="Output 2 2 2 2 2" xfId="20173" xr:uid="{00000000-0005-0000-0000-00006F410000}"/>
    <cellStyle name="Output 2 2 3" xfId="17551" xr:uid="{00000000-0005-0000-0000-000070410000}"/>
    <cellStyle name="Output 2 2 3 2" xfId="20174" xr:uid="{00000000-0005-0000-0000-000070410000}"/>
    <cellStyle name="Output 2 2 4" xfId="17552" xr:uid="{00000000-0005-0000-0000-000071410000}"/>
    <cellStyle name="Output 2 2 5" xfId="17548" xr:uid="{00000000-0005-0000-0000-00006D410000}"/>
    <cellStyle name="Output 2 3" xfId="17553" xr:uid="{00000000-0005-0000-0000-000072410000}"/>
    <cellStyle name="Output 2 3 2" xfId="17554" xr:uid="{00000000-0005-0000-0000-000073410000}"/>
    <cellStyle name="Output 2 3 2 2" xfId="20176" xr:uid="{00000000-0005-0000-0000-000073410000}"/>
    <cellStyle name="Output 2 3 3" xfId="17555" xr:uid="{00000000-0005-0000-0000-000074410000}"/>
    <cellStyle name="Output 2 3 4" xfId="20175" xr:uid="{00000000-0005-0000-0000-000072410000}"/>
    <cellStyle name="Output 2 4" xfId="17556" xr:uid="{00000000-0005-0000-0000-000075410000}"/>
    <cellStyle name="Output 2 5" xfId="17557" xr:uid="{00000000-0005-0000-0000-000076410000}"/>
    <cellStyle name="Output 2 5 2" xfId="20177" xr:uid="{00000000-0005-0000-0000-000076410000}"/>
    <cellStyle name="Output 2 6" xfId="17558" xr:uid="{00000000-0005-0000-0000-000077410000}"/>
    <cellStyle name="Output 2 7" xfId="17547" xr:uid="{00000000-0005-0000-0000-00006C410000}"/>
    <cellStyle name="Output 3" xfId="2591" xr:uid="{00000000-0005-0000-0000-0000E6090000}"/>
    <cellStyle name="Output 3 2" xfId="2592" xr:uid="{00000000-0005-0000-0000-0000E7090000}"/>
    <cellStyle name="Output 3 2 2" xfId="17560" xr:uid="{00000000-0005-0000-0000-000079410000}"/>
    <cellStyle name="Output 3 3" xfId="17561" xr:uid="{00000000-0005-0000-0000-00007A410000}"/>
    <cellStyle name="Output 3 3 2" xfId="20178" xr:uid="{00000000-0005-0000-0000-00007A410000}"/>
    <cellStyle name="Output 3 4" xfId="17562" xr:uid="{00000000-0005-0000-0000-00007B410000}"/>
    <cellStyle name="Output 3 5" xfId="17563" xr:uid="{00000000-0005-0000-0000-00007C410000}"/>
    <cellStyle name="Output 3 6" xfId="17559" xr:uid="{00000000-0005-0000-0000-000078410000}"/>
    <cellStyle name="Output 4" xfId="2593" xr:uid="{00000000-0005-0000-0000-0000E8090000}"/>
    <cellStyle name="Output 4 2" xfId="2594" xr:uid="{00000000-0005-0000-0000-0000E9090000}"/>
    <cellStyle name="Output 4 2 2" xfId="17565" xr:uid="{00000000-0005-0000-0000-00007F410000}"/>
    <cellStyle name="Output 4 2 3" xfId="20179" xr:uid="{00000000-0005-0000-0000-00007E410000}"/>
    <cellStyle name="Output 4 3" xfId="17566" xr:uid="{00000000-0005-0000-0000-000080410000}"/>
    <cellStyle name="Output 4 4" xfId="17564" xr:uid="{00000000-0005-0000-0000-00007D410000}"/>
    <cellStyle name="Output 5" xfId="2595" xr:uid="{00000000-0005-0000-0000-0000EA090000}"/>
    <cellStyle name="Output 5 2" xfId="2596" xr:uid="{00000000-0005-0000-0000-0000EB090000}"/>
    <cellStyle name="Output 5 2 2" xfId="17568" xr:uid="{00000000-0005-0000-0000-000083410000}"/>
    <cellStyle name="Output 5 2 3" xfId="20180" xr:uid="{00000000-0005-0000-0000-000082410000}"/>
    <cellStyle name="Output 5 3" xfId="17569" xr:uid="{00000000-0005-0000-0000-000084410000}"/>
    <cellStyle name="Output 5 4" xfId="17567" xr:uid="{00000000-0005-0000-0000-000081410000}"/>
    <cellStyle name="Output 6" xfId="2597" xr:uid="{00000000-0005-0000-0000-0000EC090000}"/>
    <cellStyle name="Output 6 2" xfId="2598" xr:uid="{00000000-0005-0000-0000-0000ED090000}"/>
    <cellStyle name="Output 6 2 2" xfId="17571" xr:uid="{00000000-0005-0000-0000-000087410000}"/>
    <cellStyle name="Output 6 2 3" xfId="20181" xr:uid="{00000000-0005-0000-0000-000086410000}"/>
    <cellStyle name="Output 6 3" xfId="17572" xr:uid="{00000000-0005-0000-0000-000088410000}"/>
    <cellStyle name="Output 6 4" xfId="17570" xr:uid="{00000000-0005-0000-0000-000085410000}"/>
    <cellStyle name="Output 7" xfId="2599" xr:uid="{00000000-0005-0000-0000-0000EE090000}"/>
    <cellStyle name="Output 7 2" xfId="2600" xr:uid="{00000000-0005-0000-0000-0000EF090000}"/>
    <cellStyle name="Output 7 2 2" xfId="17574" xr:uid="{00000000-0005-0000-0000-00008B410000}"/>
    <cellStyle name="Output 7 2 3" xfId="20182" xr:uid="{00000000-0005-0000-0000-00008A410000}"/>
    <cellStyle name="Output 7 3" xfId="17575" xr:uid="{00000000-0005-0000-0000-00008C410000}"/>
    <cellStyle name="Output 7 4" xfId="17573" xr:uid="{00000000-0005-0000-0000-000089410000}"/>
    <cellStyle name="Output 8" xfId="17576" xr:uid="{00000000-0005-0000-0000-00008D410000}"/>
    <cellStyle name="Output 8 2" xfId="17577" xr:uid="{00000000-0005-0000-0000-00008E410000}"/>
    <cellStyle name="Output 8 3" xfId="17578" xr:uid="{00000000-0005-0000-0000-00008F410000}"/>
    <cellStyle name="Output 9" xfId="17579" xr:uid="{00000000-0005-0000-0000-000090410000}"/>
    <cellStyle name="Output 9 2" xfId="17580" xr:uid="{00000000-0005-0000-0000-000091410000}"/>
    <cellStyle name="Owed_Amt" xfId="2601" xr:uid="{00000000-0005-0000-0000-0000F0090000}"/>
    <cellStyle name="Paid_Amt" xfId="2602" xr:uid="{00000000-0005-0000-0000-0000F1090000}"/>
    <cellStyle name="pb_page_heading_LS" xfId="2603" xr:uid="{00000000-0005-0000-0000-0000F2090000}"/>
    <cellStyle name="Pct_of_Sales" xfId="2604" xr:uid="{00000000-0005-0000-0000-0000F3090000}"/>
    <cellStyle name="Percent" xfId="58" builtinId="5"/>
    <cellStyle name="Percent [2]" xfId="2605" xr:uid="{00000000-0005-0000-0000-0000F5090000}"/>
    <cellStyle name="Percent [2] 2" xfId="2606" xr:uid="{00000000-0005-0000-0000-0000F6090000}"/>
    <cellStyle name="Percent [2] 2 2" xfId="17581" xr:uid="{00000000-0005-0000-0000-000099410000}"/>
    <cellStyle name="Percent [2] 2 3" xfId="17582" xr:uid="{00000000-0005-0000-0000-00009A410000}"/>
    <cellStyle name="Percent [2] 2 4" xfId="17583" xr:uid="{00000000-0005-0000-0000-00009B410000}"/>
    <cellStyle name="Percent [2] 3" xfId="2607" xr:uid="{00000000-0005-0000-0000-0000F7090000}"/>
    <cellStyle name="Percent [2] 3 2" xfId="17585" xr:uid="{00000000-0005-0000-0000-00009D410000}"/>
    <cellStyle name="Percent [2] 3 2 2" xfId="17586" xr:uid="{00000000-0005-0000-0000-00009E410000}"/>
    <cellStyle name="Percent [2] 3 3" xfId="17587" xr:uid="{00000000-0005-0000-0000-00009F410000}"/>
    <cellStyle name="Percent [2] 3 4" xfId="17584" xr:uid="{00000000-0005-0000-0000-00009C410000}"/>
    <cellStyle name="Percent [2] 4" xfId="17588" xr:uid="{00000000-0005-0000-0000-0000A0410000}"/>
    <cellStyle name="Percent [2] 5" xfId="17589" xr:uid="{00000000-0005-0000-0000-0000A1410000}"/>
    <cellStyle name="Percent [2] 6" xfId="17590" xr:uid="{00000000-0005-0000-0000-0000A2410000}"/>
    <cellStyle name="Percent 10" xfId="2608" xr:uid="{00000000-0005-0000-0000-0000F8090000}"/>
    <cellStyle name="Percent 10 2" xfId="5332" xr:uid="{00000000-0005-0000-0000-0000A4410000}"/>
    <cellStyle name="Percent 10 2 2" xfId="17591" xr:uid="{00000000-0005-0000-0000-0000A5410000}"/>
    <cellStyle name="Percent 10 2 3" xfId="17592" xr:uid="{00000000-0005-0000-0000-0000A6410000}"/>
    <cellStyle name="Percent 10 3" xfId="17593" xr:uid="{00000000-0005-0000-0000-0000A7410000}"/>
    <cellStyle name="Percent 10 3 2" xfId="17594" xr:uid="{00000000-0005-0000-0000-0000A8410000}"/>
    <cellStyle name="Percent 10 4" xfId="17595" xr:uid="{00000000-0005-0000-0000-0000A9410000}"/>
    <cellStyle name="Percent 10 4 2" xfId="17596" xr:uid="{00000000-0005-0000-0000-0000AA410000}"/>
    <cellStyle name="Percent 10 5" xfId="17597" xr:uid="{00000000-0005-0000-0000-0000AB410000}"/>
    <cellStyle name="Percent 10 6" xfId="17598" xr:uid="{00000000-0005-0000-0000-0000AC410000}"/>
    <cellStyle name="Percent 10 7" xfId="5333" xr:uid="{00000000-0005-0000-0000-0000A3410000}"/>
    <cellStyle name="Percent 11" xfId="2609" xr:uid="{00000000-0005-0000-0000-0000F9090000}"/>
    <cellStyle name="Percent 11 2" xfId="17599" xr:uid="{00000000-0005-0000-0000-0000AE410000}"/>
    <cellStyle name="Percent 11 2 2" xfId="17600" xr:uid="{00000000-0005-0000-0000-0000AF410000}"/>
    <cellStyle name="Percent 11 2 3" xfId="17601" xr:uid="{00000000-0005-0000-0000-0000B0410000}"/>
    <cellStyle name="Percent 11 3" xfId="17602" xr:uid="{00000000-0005-0000-0000-0000B1410000}"/>
    <cellStyle name="Percent 11 4" xfId="17603" xr:uid="{00000000-0005-0000-0000-0000B2410000}"/>
    <cellStyle name="Percent 11 5" xfId="17604" xr:uid="{00000000-0005-0000-0000-0000B3410000}"/>
    <cellStyle name="Percent 12" xfId="2610" xr:uid="{00000000-0005-0000-0000-0000FA090000}"/>
    <cellStyle name="Percent 12 2" xfId="5330" xr:uid="{00000000-0005-0000-0000-0000B5410000}"/>
    <cellStyle name="Percent 12 2 2" xfId="17605" xr:uid="{00000000-0005-0000-0000-0000B6410000}"/>
    <cellStyle name="Percent 12 2 2 2" xfId="17606" xr:uid="{00000000-0005-0000-0000-0000B7410000}"/>
    <cellStyle name="Percent 12 2 2 3" xfId="17607" xr:uid="{00000000-0005-0000-0000-0000B8410000}"/>
    <cellStyle name="Percent 12 2 2 4" xfId="17608" xr:uid="{00000000-0005-0000-0000-0000B9410000}"/>
    <cellStyle name="Percent 12 2 3" xfId="17609" xr:uid="{00000000-0005-0000-0000-0000BA410000}"/>
    <cellStyle name="Percent 12 2 3 2" xfId="17610" xr:uid="{00000000-0005-0000-0000-0000BB410000}"/>
    <cellStyle name="Percent 12 2 3 3" xfId="17611" xr:uid="{00000000-0005-0000-0000-0000BC410000}"/>
    <cellStyle name="Percent 12 2 4" xfId="17612" xr:uid="{00000000-0005-0000-0000-0000BD410000}"/>
    <cellStyle name="Percent 12 2 5" xfId="17613" xr:uid="{00000000-0005-0000-0000-0000BE410000}"/>
    <cellStyle name="Percent 12 2 6" xfId="17614" xr:uid="{00000000-0005-0000-0000-0000BF410000}"/>
    <cellStyle name="Percent 12 3" xfId="17615" xr:uid="{00000000-0005-0000-0000-0000C0410000}"/>
    <cellStyle name="Percent 12 3 2" xfId="17616" xr:uid="{00000000-0005-0000-0000-0000C1410000}"/>
    <cellStyle name="Percent 12 3 3" xfId="17617" xr:uid="{00000000-0005-0000-0000-0000C2410000}"/>
    <cellStyle name="Percent 12 3 4" xfId="17618" xr:uid="{00000000-0005-0000-0000-0000C3410000}"/>
    <cellStyle name="Percent 12 4" xfId="17619" xr:uid="{00000000-0005-0000-0000-0000C4410000}"/>
    <cellStyle name="Percent 12 4 2" xfId="17620" xr:uid="{00000000-0005-0000-0000-0000C5410000}"/>
    <cellStyle name="Percent 12 4 3" xfId="17621" xr:uid="{00000000-0005-0000-0000-0000C6410000}"/>
    <cellStyle name="Percent 12 4 4" xfId="17622" xr:uid="{00000000-0005-0000-0000-0000C7410000}"/>
    <cellStyle name="Percent 12 4 5" xfId="17623" xr:uid="{00000000-0005-0000-0000-0000C8410000}"/>
    <cellStyle name="Percent 12 5" xfId="17624" xr:uid="{00000000-0005-0000-0000-0000C9410000}"/>
    <cellStyle name="Percent 12 5 2" xfId="17625" xr:uid="{00000000-0005-0000-0000-0000CA410000}"/>
    <cellStyle name="Percent 12 5 3" xfId="17626" xr:uid="{00000000-0005-0000-0000-0000CB410000}"/>
    <cellStyle name="Percent 12 6" xfId="17627" xr:uid="{00000000-0005-0000-0000-0000CC410000}"/>
    <cellStyle name="Percent 12 7" xfId="17628" xr:uid="{00000000-0005-0000-0000-0000CD410000}"/>
    <cellStyle name="Percent 12 8" xfId="17629" xr:uid="{00000000-0005-0000-0000-0000CE410000}"/>
    <cellStyle name="Percent 12 9" xfId="5331" xr:uid="{00000000-0005-0000-0000-0000B4410000}"/>
    <cellStyle name="Percent 13" xfId="2611" xr:uid="{00000000-0005-0000-0000-0000FB090000}"/>
    <cellStyle name="Percent 13 2" xfId="17630" xr:uid="{00000000-0005-0000-0000-0000D0410000}"/>
    <cellStyle name="Percent 13 2 2" xfId="17631" xr:uid="{00000000-0005-0000-0000-0000D1410000}"/>
    <cellStyle name="Percent 13 2 2 2" xfId="17632" xr:uid="{00000000-0005-0000-0000-0000D2410000}"/>
    <cellStyle name="Percent 13 2 3" xfId="17633" xr:uid="{00000000-0005-0000-0000-0000D3410000}"/>
    <cellStyle name="Percent 13 2 3 2" xfId="17634" xr:uid="{00000000-0005-0000-0000-0000D4410000}"/>
    <cellStyle name="Percent 13 2 4" xfId="17635" xr:uid="{00000000-0005-0000-0000-0000D5410000}"/>
    <cellStyle name="Percent 13 3" xfId="17636" xr:uid="{00000000-0005-0000-0000-0000D6410000}"/>
    <cellStyle name="Percent 13 3 2" xfId="17637" xr:uid="{00000000-0005-0000-0000-0000D7410000}"/>
    <cellStyle name="Percent 13 3 2 2" xfId="17638" xr:uid="{00000000-0005-0000-0000-0000D8410000}"/>
    <cellStyle name="Percent 13 3 3" xfId="17639" xr:uid="{00000000-0005-0000-0000-0000D9410000}"/>
    <cellStyle name="Percent 13 3 4" xfId="17640" xr:uid="{00000000-0005-0000-0000-0000DA410000}"/>
    <cellStyle name="Percent 13 3 5" xfId="17641" xr:uid="{00000000-0005-0000-0000-0000DB410000}"/>
    <cellStyle name="Percent 13 4" xfId="17642" xr:uid="{00000000-0005-0000-0000-0000DC410000}"/>
    <cellStyle name="Percent 13 4 2" xfId="17643" xr:uid="{00000000-0005-0000-0000-0000DD410000}"/>
    <cellStyle name="Percent 13 5" xfId="17644" xr:uid="{00000000-0005-0000-0000-0000DE410000}"/>
    <cellStyle name="Percent 13 6" xfId="17645" xr:uid="{00000000-0005-0000-0000-0000DF410000}"/>
    <cellStyle name="Percent 14" xfId="2612" xr:uid="{00000000-0005-0000-0000-0000FC090000}"/>
    <cellStyle name="Percent 14 2" xfId="5328" xr:uid="{00000000-0005-0000-0000-0000E1410000}"/>
    <cellStyle name="Percent 14 2 2" xfId="17646" xr:uid="{00000000-0005-0000-0000-0000E2410000}"/>
    <cellStyle name="Percent 14 2 2 2" xfId="17647" xr:uid="{00000000-0005-0000-0000-0000E3410000}"/>
    <cellStyle name="Percent 14 2 3" xfId="17648" xr:uid="{00000000-0005-0000-0000-0000E4410000}"/>
    <cellStyle name="Percent 14 2 3 2" xfId="17649" xr:uid="{00000000-0005-0000-0000-0000E5410000}"/>
    <cellStyle name="Percent 14 2 4" xfId="17650" xr:uid="{00000000-0005-0000-0000-0000E6410000}"/>
    <cellStyle name="Percent 14 2 5" xfId="17651" xr:uid="{00000000-0005-0000-0000-0000E7410000}"/>
    <cellStyle name="Percent 14 3" xfId="17652" xr:uid="{00000000-0005-0000-0000-0000E8410000}"/>
    <cellStyle name="Percent 14 3 2" xfId="17653" xr:uid="{00000000-0005-0000-0000-0000E9410000}"/>
    <cellStyle name="Percent 14 3 2 2" xfId="17654" xr:uid="{00000000-0005-0000-0000-0000EA410000}"/>
    <cellStyle name="Percent 14 3 3" xfId="17655" xr:uid="{00000000-0005-0000-0000-0000EB410000}"/>
    <cellStyle name="Percent 14 3 4" xfId="17656" xr:uid="{00000000-0005-0000-0000-0000EC410000}"/>
    <cellStyle name="Percent 14 3 5" xfId="17657" xr:uid="{00000000-0005-0000-0000-0000ED410000}"/>
    <cellStyle name="Percent 14 4" xfId="17658" xr:uid="{00000000-0005-0000-0000-0000EE410000}"/>
    <cellStyle name="Percent 14 4 2" xfId="17659" xr:uid="{00000000-0005-0000-0000-0000EF410000}"/>
    <cellStyle name="Percent 14 4 3" xfId="17660" xr:uid="{00000000-0005-0000-0000-0000F0410000}"/>
    <cellStyle name="Percent 14 5" xfId="17661" xr:uid="{00000000-0005-0000-0000-0000F1410000}"/>
    <cellStyle name="Percent 14 6" xfId="17662" xr:uid="{00000000-0005-0000-0000-0000F2410000}"/>
    <cellStyle name="Percent 14 7" xfId="17663" xr:uid="{00000000-0005-0000-0000-0000F3410000}"/>
    <cellStyle name="Percent 14 8" xfId="5329" xr:uid="{00000000-0005-0000-0000-0000E0410000}"/>
    <cellStyle name="Percent 15" xfId="2613" xr:uid="{00000000-0005-0000-0000-0000FD090000}"/>
    <cellStyle name="Percent 15 2" xfId="17664" xr:uid="{00000000-0005-0000-0000-0000F5410000}"/>
    <cellStyle name="Percent 15 2 2" xfId="17665" xr:uid="{00000000-0005-0000-0000-0000F6410000}"/>
    <cellStyle name="Percent 15 2 2 2" xfId="17666" xr:uid="{00000000-0005-0000-0000-0000F7410000}"/>
    <cellStyle name="Percent 15 2 3" xfId="17667" xr:uid="{00000000-0005-0000-0000-0000F8410000}"/>
    <cellStyle name="Percent 15 2 4" xfId="17668" xr:uid="{00000000-0005-0000-0000-0000F9410000}"/>
    <cellStyle name="Percent 15 3" xfId="17669" xr:uid="{00000000-0005-0000-0000-0000FA410000}"/>
    <cellStyle name="Percent 15 3 2" xfId="17670" xr:uid="{00000000-0005-0000-0000-0000FB410000}"/>
    <cellStyle name="Percent 15 3 3" xfId="17671" xr:uid="{00000000-0005-0000-0000-0000FC410000}"/>
    <cellStyle name="Percent 15 3 4" xfId="17672" xr:uid="{00000000-0005-0000-0000-0000FD410000}"/>
    <cellStyle name="Percent 15 3 5" xfId="17673" xr:uid="{00000000-0005-0000-0000-0000FE410000}"/>
    <cellStyle name="Percent 15 4" xfId="17674" xr:uid="{00000000-0005-0000-0000-0000FF410000}"/>
    <cellStyle name="Percent 15 4 2" xfId="17675" xr:uid="{00000000-0005-0000-0000-000000420000}"/>
    <cellStyle name="Percent 15 5" xfId="17676" xr:uid="{00000000-0005-0000-0000-000001420000}"/>
    <cellStyle name="Percent 15 6" xfId="17677" xr:uid="{00000000-0005-0000-0000-000002420000}"/>
    <cellStyle name="Percent 16" xfId="2614" xr:uid="{00000000-0005-0000-0000-0000FE090000}"/>
    <cellStyle name="Percent 16 2" xfId="17678" xr:uid="{00000000-0005-0000-0000-000004420000}"/>
    <cellStyle name="Percent 16 2 2" xfId="17679" xr:uid="{00000000-0005-0000-0000-000005420000}"/>
    <cellStyle name="Percent 16 2 2 2" xfId="17680" xr:uid="{00000000-0005-0000-0000-000006420000}"/>
    <cellStyle name="Percent 16 2 3" xfId="17681" xr:uid="{00000000-0005-0000-0000-000007420000}"/>
    <cellStyle name="Percent 16 2 4" xfId="17682" xr:uid="{00000000-0005-0000-0000-000008420000}"/>
    <cellStyle name="Percent 16 3" xfId="17683" xr:uid="{00000000-0005-0000-0000-000009420000}"/>
    <cellStyle name="Percent 16 3 2" xfId="17684" xr:uid="{00000000-0005-0000-0000-00000A420000}"/>
    <cellStyle name="Percent 16 3 3" xfId="17685" xr:uid="{00000000-0005-0000-0000-00000B420000}"/>
    <cellStyle name="Percent 16 3 4" xfId="17686" xr:uid="{00000000-0005-0000-0000-00000C420000}"/>
    <cellStyle name="Percent 16 3 5" xfId="17687" xr:uid="{00000000-0005-0000-0000-00000D420000}"/>
    <cellStyle name="Percent 16 4" xfId="17688" xr:uid="{00000000-0005-0000-0000-00000E420000}"/>
    <cellStyle name="Percent 16 4 2" xfId="17689" xr:uid="{00000000-0005-0000-0000-00000F420000}"/>
    <cellStyle name="Percent 16 5" xfId="17690" xr:uid="{00000000-0005-0000-0000-000010420000}"/>
    <cellStyle name="Percent 16 6" xfId="17691" xr:uid="{00000000-0005-0000-0000-000011420000}"/>
    <cellStyle name="Percent 17" xfId="2615" xr:uid="{00000000-0005-0000-0000-0000FF090000}"/>
    <cellStyle name="Percent 17 2" xfId="17692" xr:uid="{00000000-0005-0000-0000-000013420000}"/>
    <cellStyle name="Percent 17 2 2" xfId="17693" xr:uid="{00000000-0005-0000-0000-000014420000}"/>
    <cellStyle name="Percent 17 2 3" xfId="17694" xr:uid="{00000000-0005-0000-0000-000015420000}"/>
    <cellStyle name="Percent 17 2 4" xfId="17695" xr:uid="{00000000-0005-0000-0000-000016420000}"/>
    <cellStyle name="Percent 17 2 5" xfId="17696" xr:uid="{00000000-0005-0000-0000-000017420000}"/>
    <cellStyle name="Percent 17 3" xfId="17697" xr:uid="{00000000-0005-0000-0000-000018420000}"/>
    <cellStyle name="Percent 17 3 2" xfId="17698" xr:uid="{00000000-0005-0000-0000-000019420000}"/>
    <cellStyle name="Percent 17 4" xfId="17699" xr:uid="{00000000-0005-0000-0000-00001A420000}"/>
    <cellStyle name="Percent 17 5" xfId="17700" xr:uid="{00000000-0005-0000-0000-00001B420000}"/>
    <cellStyle name="Percent 17 6" xfId="17701" xr:uid="{00000000-0005-0000-0000-00001C420000}"/>
    <cellStyle name="Percent 17 7" xfId="17702" xr:uid="{00000000-0005-0000-0000-00001D420000}"/>
    <cellStyle name="Percent 17 8" xfId="5327" xr:uid="{00000000-0005-0000-0000-000012420000}"/>
    <cellStyle name="Percent 18" xfId="2616" xr:uid="{00000000-0005-0000-0000-0000000A0000}"/>
    <cellStyle name="Percent 18 2" xfId="17703" xr:uid="{00000000-0005-0000-0000-00001F420000}"/>
    <cellStyle name="Percent 18 2 2" xfId="17704" xr:uid="{00000000-0005-0000-0000-000020420000}"/>
    <cellStyle name="Percent 18 3" xfId="17705" xr:uid="{00000000-0005-0000-0000-000021420000}"/>
    <cellStyle name="Percent 18 4" xfId="17706" xr:uid="{00000000-0005-0000-0000-000022420000}"/>
    <cellStyle name="Percent 18 5" xfId="17707" xr:uid="{00000000-0005-0000-0000-000023420000}"/>
    <cellStyle name="Percent 18 6" xfId="5326" xr:uid="{00000000-0005-0000-0000-00001E420000}"/>
    <cellStyle name="Percent 19" xfId="2617" xr:uid="{00000000-0005-0000-0000-0000010A0000}"/>
    <cellStyle name="Percent 19 2" xfId="17709" xr:uid="{00000000-0005-0000-0000-000025420000}"/>
    <cellStyle name="Percent 19 2 2" xfId="17710" xr:uid="{00000000-0005-0000-0000-000026420000}"/>
    <cellStyle name="Percent 19 2 3" xfId="17711" xr:uid="{00000000-0005-0000-0000-000027420000}"/>
    <cellStyle name="Percent 19 2 4" xfId="17712" xr:uid="{00000000-0005-0000-0000-000028420000}"/>
    <cellStyle name="Percent 19 2 5" xfId="17713" xr:uid="{00000000-0005-0000-0000-000029420000}"/>
    <cellStyle name="Percent 19 3" xfId="17714" xr:uid="{00000000-0005-0000-0000-00002A420000}"/>
    <cellStyle name="Percent 19 3 2" xfId="17715" xr:uid="{00000000-0005-0000-0000-00002B420000}"/>
    <cellStyle name="Percent 19 3 3" xfId="17716" xr:uid="{00000000-0005-0000-0000-00002C420000}"/>
    <cellStyle name="Percent 19 3 4" xfId="17717" xr:uid="{00000000-0005-0000-0000-00002D420000}"/>
    <cellStyle name="Percent 19 3 5" xfId="17718" xr:uid="{00000000-0005-0000-0000-00002E420000}"/>
    <cellStyle name="Percent 19 4" xfId="17719" xr:uid="{00000000-0005-0000-0000-00002F420000}"/>
    <cellStyle name="Percent 19 5" xfId="17720" xr:uid="{00000000-0005-0000-0000-000030420000}"/>
    <cellStyle name="Percent 19 6" xfId="17721" xr:uid="{00000000-0005-0000-0000-000031420000}"/>
    <cellStyle name="Percent 19 7" xfId="17722" xr:uid="{00000000-0005-0000-0000-000032420000}"/>
    <cellStyle name="Percent 19 8" xfId="17708" xr:uid="{00000000-0005-0000-0000-000024420000}"/>
    <cellStyle name="Percent 2" xfId="174" xr:uid="{00000000-0005-0000-0000-0000020A0000}"/>
    <cellStyle name="Percent 2 10" xfId="17723" xr:uid="{00000000-0005-0000-0000-000034420000}"/>
    <cellStyle name="Percent 2 11" xfId="17724" xr:uid="{00000000-0005-0000-0000-000035420000}"/>
    <cellStyle name="Percent 2 12" xfId="20544" xr:uid="{DCE5DAF8-994E-4A5F-B8B0-B116129741BD}"/>
    <cellStyle name="Percent 2 2" xfId="2618" xr:uid="{00000000-0005-0000-0000-0000030A0000}"/>
    <cellStyle name="Percent 2 2 2" xfId="5325" xr:uid="{00000000-0005-0000-0000-000037420000}"/>
    <cellStyle name="Percent 2 2 2 2" xfId="17725" xr:uid="{00000000-0005-0000-0000-000038420000}"/>
    <cellStyle name="Percent 2 2 2 2 2" xfId="17726" xr:uid="{00000000-0005-0000-0000-000039420000}"/>
    <cellStyle name="Percent 2 2 2 3" xfId="17727" xr:uid="{00000000-0005-0000-0000-00003A420000}"/>
    <cellStyle name="Percent 2 2 2 4" xfId="17728" xr:uid="{00000000-0005-0000-0000-00003B420000}"/>
    <cellStyle name="Percent 2 2 3" xfId="17729" xr:uid="{00000000-0005-0000-0000-00003C420000}"/>
    <cellStyle name="Percent 2 2 3 2" xfId="17730" xr:uid="{00000000-0005-0000-0000-00003D420000}"/>
    <cellStyle name="Percent 2 2 3 3" xfId="17731" xr:uid="{00000000-0005-0000-0000-00003E420000}"/>
    <cellStyle name="Percent 2 2 3 4" xfId="17732" xr:uid="{00000000-0005-0000-0000-00003F420000}"/>
    <cellStyle name="Percent 2 2 4" xfId="17733" xr:uid="{00000000-0005-0000-0000-000040420000}"/>
    <cellStyle name="Percent 2 2 4 2" xfId="17734" xr:uid="{00000000-0005-0000-0000-000041420000}"/>
    <cellStyle name="Percent 2 2 4 3" xfId="17735" xr:uid="{00000000-0005-0000-0000-000042420000}"/>
    <cellStyle name="Percent 2 2 4 4" xfId="17736" xr:uid="{00000000-0005-0000-0000-000043420000}"/>
    <cellStyle name="Percent 2 2 5" xfId="17737" xr:uid="{00000000-0005-0000-0000-000044420000}"/>
    <cellStyle name="Percent 2 2 5 2" xfId="17738" xr:uid="{00000000-0005-0000-0000-000045420000}"/>
    <cellStyle name="Percent 2 2 6" xfId="17739" xr:uid="{00000000-0005-0000-0000-000046420000}"/>
    <cellStyle name="Percent 2 2 7" xfId="17740" xr:uid="{00000000-0005-0000-0000-000047420000}"/>
    <cellStyle name="Percent 2 3" xfId="2619" xr:uid="{00000000-0005-0000-0000-0000040A0000}"/>
    <cellStyle name="Percent 2 3 2" xfId="17741" xr:uid="{00000000-0005-0000-0000-000049420000}"/>
    <cellStyle name="Percent 2 3 2 2" xfId="17742" xr:uid="{00000000-0005-0000-0000-00004A420000}"/>
    <cellStyle name="Percent 2 3 2 2 2" xfId="17743" xr:uid="{00000000-0005-0000-0000-00004B420000}"/>
    <cellStyle name="Percent 2 3 2 2 2 2" xfId="17744" xr:uid="{00000000-0005-0000-0000-00004C420000}"/>
    <cellStyle name="Percent 2 3 2 2 3" xfId="17745" xr:uid="{00000000-0005-0000-0000-00004D420000}"/>
    <cellStyle name="Percent 2 3 2 2 4" xfId="17746" xr:uid="{00000000-0005-0000-0000-00004E420000}"/>
    <cellStyle name="Percent 2 3 2 3" xfId="17747" xr:uid="{00000000-0005-0000-0000-00004F420000}"/>
    <cellStyle name="Percent 2 3 2 3 2" xfId="17748" xr:uid="{00000000-0005-0000-0000-000050420000}"/>
    <cellStyle name="Percent 2 3 2 4" xfId="17749" xr:uid="{00000000-0005-0000-0000-000051420000}"/>
    <cellStyle name="Percent 2 3 2 5" xfId="17750" xr:uid="{00000000-0005-0000-0000-000052420000}"/>
    <cellStyle name="Percent 2 3 3" xfId="17751" xr:uid="{00000000-0005-0000-0000-000053420000}"/>
    <cellStyle name="Percent 2 3 3 2" xfId="17752" xr:uid="{00000000-0005-0000-0000-000054420000}"/>
    <cellStyle name="Percent 2 3 3 2 2" xfId="17753" xr:uid="{00000000-0005-0000-0000-000055420000}"/>
    <cellStyle name="Percent 2 3 3 2 3" xfId="17754" xr:uid="{00000000-0005-0000-0000-000056420000}"/>
    <cellStyle name="Percent 2 3 3 2 4" xfId="17755" xr:uid="{00000000-0005-0000-0000-000057420000}"/>
    <cellStyle name="Percent 2 3 3 3" xfId="17756" xr:uid="{00000000-0005-0000-0000-000058420000}"/>
    <cellStyle name="Percent 2 3 3 3 2" xfId="17757" xr:uid="{00000000-0005-0000-0000-000059420000}"/>
    <cellStyle name="Percent 2 3 3 4" xfId="17758" xr:uid="{00000000-0005-0000-0000-00005A420000}"/>
    <cellStyle name="Percent 2 3 3 5" xfId="17759" xr:uid="{00000000-0005-0000-0000-00005B420000}"/>
    <cellStyle name="Percent 2 3 4" xfId="17760" xr:uid="{00000000-0005-0000-0000-00005C420000}"/>
    <cellStyle name="Percent 2 3 4 2" xfId="17761" xr:uid="{00000000-0005-0000-0000-00005D420000}"/>
    <cellStyle name="Percent 2 3 4 3" xfId="17762" xr:uid="{00000000-0005-0000-0000-00005E420000}"/>
    <cellStyle name="Percent 2 3 5" xfId="17763" xr:uid="{00000000-0005-0000-0000-00005F420000}"/>
    <cellStyle name="Percent 2 3 6" xfId="17764" xr:uid="{00000000-0005-0000-0000-000060420000}"/>
    <cellStyle name="Percent 2 3 7" xfId="17765" xr:uid="{00000000-0005-0000-0000-000061420000}"/>
    <cellStyle name="Percent 2 4" xfId="2620" xr:uid="{00000000-0005-0000-0000-0000050A0000}"/>
    <cellStyle name="Percent 2 4 2" xfId="5324" xr:uid="{00000000-0005-0000-0000-000063420000}"/>
    <cellStyle name="Percent 2 4 2 2" xfId="17766" xr:uid="{00000000-0005-0000-0000-000064420000}"/>
    <cellStyle name="Percent 2 4 2 3" xfId="17767" xr:uid="{00000000-0005-0000-0000-000065420000}"/>
    <cellStyle name="Percent 2 4 3" xfId="17768" xr:uid="{00000000-0005-0000-0000-000066420000}"/>
    <cellStyle name="Percent 2 4 3 2" xfId="17769" xr:uid="{00000000-0005-0000-0000-000067420000}"/>
    <cellStyle name="Percent 2 4 4" xfId="17770" xr:uid="{00000000-0005-0000-0000-000068420000}"/>
    <cellStyle name="Percent 2 4 5" xfId="17771" xr:uid="{00000000-0005-0000-0000-000069420000}"/>
    <cellStyle name="Percent 2 5" xfId="2864" xr:uid="{00000000-0005-0000-0000-0000060A0000}"/>
    <cellStyle name="Percent 2 5 2" xfId="17773" xr:uid="{00000000-0005-0000-0000-00006B420000}"/>
    <cellStyle name="Percent 2 5 2 2" xfId="17774" xr:uid="{00000000-0005-0000-0000-00006C420000}"/>
    <cellStyle name="Percent 2 5 2 2 2" xfId="17775" xr:uid="{00000000-0005-0000-0000-00006D420000}"/>
    <cellStyle name="Percent 2 5 2 3" xfId="17776" xr:uid="{00000000-0005-0000-0000-00006E420000}"/>
    <cellStyle name="Percent 2 5 2 4" xfId="17777" xr:uid="{00000000-0005-0000-0000-00006F420000}"/>
    <cellStyle name="Percent 2 5 3" xfId="17778" xr:uid="{00000000-0005-0000-0000-000070420000}"/>
    <cellStyle name="Percent 2 5 3 2" xfId="17779" xr:uid="{00000000-0005-0000-0000-000071420000}"/>
    <cellStyle name="Percent 2 5 4" xfId="17780" xr:uid="{00000000-0005-0000-0000-000072420000}"/>
    <cellStyle name="Percent 2 5 4 2" xfId="17781" xr:uid="{00000000-0005-0000-0000-000073420000}"/>
    <cellStyle name="Percent 2 5 5" xfId="17782" xr:uid="{00000000-0005-0000-0000-000074420000}"/>
    <cellStyle name="Percent 2 5 6" xfId="17772" xr:uid="{00000000-0005-0000-0000-00006A420000}"/>
    <cellStyle name="Percent 2 6" xfId="2870" xr:uid="{00000000-0005-0000-0000-0000070A0000}"/>
    <cellStyle name="Percent 2 6 2" xfId="2931" xr:uid="{00000000-0005-0000-0000-0000080A0000}"/>
    <cellStyle name="Percent 2 6 2 2" xfId="17785" xr:uid="{00000000-0005-0000-0000-000077420000}"/>
    <cellStyle name="Percent 2 6 2 3" xfId="17786" xr:uid="{00000000-0005-0000-0000-000078420000}"/>
    <cellStyle name="Percent 2 6 2 4" xfId="17784" xr:uid="{00000000-0005-0000-0000-000076420000}"/>
    <cellStyle name="Percent 2 6 3" xfId="17787" xr:uid="{00000000-0005-0000-0000-000079420000}"/>
    <cellStyle name="Percent 2 6 4" xfId="17788" xr:uid="{00000000-0005-0000-0000-00007A420000}"/>
    <cellStyle name="Percent 2 6 5" xfId="17789" xr:uid="{00000000-0005-0000-0000-00007B420000}"/>
    <cellStyle name="Percent 2 6 6" xfId="17783" xr:uid="{00000000-0005-0000-0000-000075420000}"/>
    <cellStyle name="Percent 2 7" xfId="2875" xr:uid="{00000000-0005-0000-0000-0000090A0000}"/>
    <cellStyle name="Percent 2 7 2" xfId="17791" xr:uid="{00000000-0005-0000-0000-00007D420000}"/>
    <cellStyle name="Percent 2 7 3" xfId="17792" xr:uid="{00000000-0005-0000-0000-00007E420000}"/>
    <cellStyle name="Percent 2 7 4" xfId="17793" xr:uid="{00000000-0005-0000-0000-00007F420000}"/>
    <cellStyle name="Percent 2 7 5" xfId="17794" xr:uid="{00000000-0005-0000-0000-000080420000}"/>
    <cellStyle name="Percent 2 7 6" xfId="17790" xr:uid="{00000000-0005-0000-0000-00007C420000}"/>
    <cellStyle name="Percent 2 8" xfId="2935" xr:uid="{00000000-0005-0000-0000-00000A0A0000}"/>
    <cellStyle name="Percent 2 8 2" xfId="17796" xr:uid="{00000000-0005-0000-0000-000082420000}"/>
    <cellStyle name="Percent 2 8 2 2" xfId="17797" xr:uid="{00000000-0005-0000-0000-000083420000}"/>
    <cellStyle name="Percent 2 8 3" xfId="17798" xr:uid="{00000000-0005-0000-0000-000084420000}"/>
    <cellStyle name="Percent 2 8 4" xfId="17795" xr:uid="{00000000-0005-0000-0000-000081420000}"/>
    <cellStyle name="Percent 2 9" xfId="17799" xr:uid="{00000000-0005-0000-0000-000085420000}"/>
    <cellStyle name="Percent 2 9 2" xfId="17800" xr:uid="{00000000-0005-0000-0000-000086420000}"/>
    <cellStyle name="Percent 20" xfId="2621" xr:uid="{00000000-0005-0000-0000-00000B0A0000}"/>
    <cellStyle name="Percent 20 2" xfId="17802" xr:uid="{00000000-0005-0000-0000-000088420000}"/>
    <cellStyle name="Percent 20 3" xfId="17803" xr:uid="{00000000-0005-0000-0000-000089420000}"/>
    <cellStyle name="Percent 20 4" xfId="17804" xr:uid="{00000000-0005-0000-0000-00008A420000}"/>
    <cellStyle name="Percent 20 5" xfId="17801" xr:uid="{00000000-0005-0000-0000-000087420000}"/>
    <cellStyle name="Percent 21" xfId="2622" xr:uid="{00000000-0005-0000-0000-00000C0A0000}"/>
    <cellStyle name="Percent 21 2" xfId="2892" xr:uid="{00000000-0005-0000-0000-00000D0A0000}"/>
    <cellStyle name="Percent 21 2 2" xfId="17807" xr:uid="{00000000-0005-0000-0000-00008D420000}"/>
    <cellStyle name="Percent 21 2 2 2" xfId="17808" xr:uid="{00000000-0005-0000-0000-00008E420000}"/>
    <cellStyle name="Percent 21 2 2 2 2" xfId="17809" xr:uid="{00000000-0005-0000-0000-00008F420000}"/>
    <cellStyle name="Percent 21 2 2 3" xfId="17810" xr:uid="{00000000-0005-0000-0000-000090420000}"/>
    <cellStyle name="Percent 21 2 3" xfId="17811" xr:uid="{00000000-0005-0000-0000-000091420000}"/>
    <cellStyle name="Percent 21 2 3 2" xfId="17812" xr:uid="{00000000-0005-0000-0000-000092420000}"/>
    <cellStyle name="Percent 21 2 4" xfId="17813" xr:uid="{00000000-0005-0000-0000-000093420000}"/>
    <cellStyle name="Percent 21 2 5" xfId="17806" xr:uid="{00000000-0005-0000-0000-00008C420000}"/>
    <cellStyle name="Percent 21 3" xfId="2970" xr:uid="{00000000-0005-0000-0000-00000E0A0000}"/>
    <cellStyle name="Percent 21 3 2" xfId="17815" xr:uid="{00000000-0005-0000-0000-000095420000}"/>
    <cellStyle name="Percent 21 3 2 2" xfId="17816" xr:uid="{00000000-0005-0000-0000-000096420000}"/>
    <cellStyle name="Percent 21 3 3" xfId="17817" xr:uid="{00000000-0005-0000-0000-000097420000}"/>
    <cellStyle name="Percent 21 3 4" xfId="17814" xr:uid="{00000000-0005-0000-0000-000094420000}"/>
    <cellStyle name="Percent 21 4" xfId="17818" xr:uid="{00000000-0005-0000-0000-000098420000}"/>
    <cellStyle name="Percent 21 5" xfId="17819" xr:uid="{00000000-0005-0000-0000-000099420000}"/>
    <cellStyle name="Percent 21 6" xfId="17820" xr:uid="{00000000-0005-0000-0000-00009A420000}"/>
    <cellStyle name="Percent 21 7" xfId="17821" xr:uid="{00000000-0005-0000-0000-00009B420000}"/>
    <cellStyle name="Percent 21 8" xfId="17805" xr:uid="{00000000-0005-0000-0000-00008B420000}"/>
    <cellStyle name="Percent 22" xfId="2623" xr:uid="{00000000-0005-0000-0000-00000F0A0000}"/>
    <cellStyle name="Percent 22 2" xfId="2893" xr:uid="{00000000-0005-0000-0000-0000100A0000}"/>
    <cellStyle name="Percent 22 2 2" xfId="17824" xr:uid="{00000000-0005-0000-0000-00009E420000}"/>
    <cellStyle name="Percent 22 2 2 2" xfId="17825" xr:uid="{00000000-0005-0000-0000-00009F420000}"/>
    <cellStyle name="Percent 22 2 2 2 2" xfId="17826" xr:uid="{00000000-0005-0000-0000-0000A0420000}"/>
    <cellStyle name="Percent 22 2 2 3" xfId="17827" xr:uid="{00000000-0005-0000-0000-0000A1420000}"/>
    <cellStyle name="Percent 22 2 3" xfId="17828" xr:uid="{00000000-0005-0000-0000-0000A2420000}"/>
    <cellStyle name="Percent 22 2 3 2" xfId="17829" xr:uid="{00000000-0005-0000-0000-0000A3420000}"/>
    <cellStyle name="Percent 22 2 4" xfId="17830" xr:uid="{00000000-0005-0000-0000-0000A4420000}"/>
    <cellStyle name="Percent 22 2 5" xfId="17823" xr:uid="{00000000-0005-0000-0000-00009D420000}"/>
    <cellStyle name="Percent 22 3" xfId="2971" xr:uid="{00000000-0005-0000-0000-0000110A0000}"/>
    <cellStyle name="Percent 22 3 2" xfId="17832" xr:uid="{00000000-0005-0000-0000-0000A6420000}"/>
    <cellStyle name="Percent 22 3 2 2" xfId="17833" xr:uid="{00000000-0005-0000-0000-0000A7420000}"/>
    <cellStyle name="Percent 22 3 3" xfId="17834" xr:uid="{00000000-0005-0000-0000-0000A8420000}"/>
    <cellStyle name="Percent 22 3 4" xfId="17831" xr:uid="{00000000-0005-0000-0000-0000A5420000}"/>
    <cellStyle name="Percent 22 4" xfId="17835" xr:uid="{00000000-0005-0000-0000-0000A9420000}"/>
    <cellStyle name="Percent 22 5" xfId="17836" xr:uid="{00000000-0005-0000-0000-0000AA420000}"/>
    <cellStyle name="Percent 22 6" xfId="17837" xr:uid="{00000000-0005-0000-0000-0000AB420000}"/>
    <cellStyle name="Percent 22 7" xfId="17838" xr:uid="{00000000-0005-0000-0000-0000AC420000}"/>
    <cellStyle name="Percent 22 8" xfId="17822" xr:uid="{00000000-0005-0000-0000-00009C420000}"/>
    <cellStyle name="Percent 223" xfId="20568" xr:uid="{2A86E31E-F865-4D80-9459-F71F7004523B}"/>
    <cellStyle name="Percent 23" xfId="2624" xr:uid="{00000000-0005-0000-0000-0000120A0000}"/>
    <cellStyle name="Percent 23 2" xfId="17840" xr:uid="{00000000-0005-0000-0000-0000AE420000}"/>
    <cellStyle name="Percent 23 3" xfId="17841" xr:uid="{00000000-0005-0000-0000-0000AF420000}"/>
    <cellStyle name="Percent 23 4" xfId="17842" xr:uid="{00000000-0005-0000-0000-0000B0420000}"/>
    <cellStyle name="Percent 23 5" xfId="17843" xr:uid="{00000000-0005-0000-0000-0000B1420000}"/>
    <cellStyle name="Percent 23 6" xfId="17839" xr:uid="{00000000-0005-0000-0000-0000AD420000}"/>
    <cellStyle name="Percent 24" xfId="17844" xr:uid="{00000000-0005-0000-0000-0000B2420000}"/>
    <cellStyle name="Percent 24 2" xfId="17845" xr:uid="{00000000-0005-0000-0000-0000B3420000}"/>
    <cellStyle name="Percent 24 3" xfId="17846" xr:uid="{00000000-0005-0000-0000-0000B4420000}"/>
    <cellStyle name="Percent 24 4" xfId="17847" xr:uid="{00000000-0005-0000-0000-0000B5420000}"/>
    <cellStyle name="Percent 25" xfId="17848" xr:uid="{00000000-0005-0000-0000-0000B6420000}"/>
    <cellStyle name="Percent 26" xfId="17849" xr:uid="{00000000-0005-0000-0000-0000B7420000}"/>
    <cellStyle name="Percent 27" xfId="17850" xr:uid="{00000000-0005-0000-0000-0000B8420000}"/>
    <cellStyle name="Percent 28" xfId="17851" xr:uid="{00000000-0005-0000-0000-0000B9420000}"/>
    <cellStyle name="Percent 29" xfId="17852" xr:uid="{00000000-0005-0000-0000-0000BA420000}"/>
    <cellStyle name="Percent 3" xfId="2625" xr:uid="{00000000-0005-0000-0000-0000130A0000}"/>
    <cellStyle name="Percent 3 10" xfId="17853" xr:uid="{00000000-0005-0000-0000-0000BC420000}"/>
    <cellStyle name="Percent 3 10 2" xfId="17854" xr:uid="{00000000-0005-0000-0000-0000BD420000}"/>
    <cellStyle name="Percent 3 11" xfId="17855" xr:uid="{00000000-0005-0000-0000-0000BE420000}"/>
    <cellStyle name="Percent 3 12" xfId="17856" xr:uid="{00000000-0005-0000-0000-0000BF420000}"/>
    <cellStyle name="Percent 3 2" xfId="2626" xr:uid="{00000000-0005-0000-0000-0000140A0000}"/>
    <cellStyle name="Percent 3 2 2" xfId="17857" xr:uid="{00000000-0005-0000-0000-0000C1420000}"/>
    <cellStyle name="Percent 3 2 2 2" xfId="17858" xr:uid="{00000000-0005-0000-0000-0000C2420000}"/>
    <cellStyle name="Percent 3 2 2 2 2" xfId="17859" xr:uid="{00000000-0005-0000-0000-0000C3420000}"/>
    <cellStyle name="Percent 3 2 2 2 3" xfId="17860" xr:uid="{00000000-0005-0000-0000-0000C4420000}"/>
    <cellStyle name="Percent 3 2 2 3" xfId="17861" xr:uid="{00000000-0005-0000-0000-0000C5420000}"/>
    <cellStyle name="Percent 3 2 3" xfId="17862" xr:uid="{00000000-0005-0000-0000-0000C6420000}"/>
    <cellStyle name="Percent 3 2 3 2" xfId="17863" xr:uid="{00000000-0005-0000-0000-0000C7420000}"/>
    <cellStyle name="Percent 3 2 4" xfId="17864" xr:uid="{00000000-0005-0000-0000-0000C8420000}"/>
    <cellStyle name="Percent 3 2 5" xfId="17865" xr:uid="{00000000-0005-0000-0000-0000C9420000}"/>
    <cellStyle name="Percent 3 2 6" xfId="5323" xr:uid="{00000000-0005-0000-0000-0000C0420000}"/>
    <cellStyle name="Percent 3 3" xfId="2627" xr:uid="{00000000-0005-0000-0000-0000150A0000}"/>
    <cellStyle name="Percent 3 3 2" xfId="17866" xr:uid="{00000000-0005-0000-0000-0000CB420000}"/>
    <cellStyle name="Percent 3 3 2 2" xfId="17867" xr:uid="{00000000-0005-0000-0000-0000CC420000}"/>
    <cellStyle name="Percent 3 3 2 3" xfId="17868" xr:uid="{00000000-0005-0000-0000-0000CD420000}"/>
    <cellStyle name="Percent 3 3 3" xfId="17869" xr:uid="{00000000-0005-0000-0000-0000CE420000}"/>
    <cellStyle name="Percent 3 3 4" xfId="17870" xr:uid="{00000000-0005-0000-0000-0000CF420000}"/>
    <cellStyle name="Percent 3 3 5" xfId="17871" xr:uid="{00000000-0005-0000-0000-0000D0420000}"/>
    <cellStyle name="Percent 3 3 6" xfId="5322" xr:uid="{00000000-0005-0000-0000-0000CA420000}"/>
    <cellStyle name="Percent 3 4" xfId="17872" xr:uid="{00000000-0005-0000-0000-0000D1420000}"/>
    <cellStyle name="Percent 3 4 2" xfId="17873" xr:uid="{00000000-0005-0000-0000-0000D2420000}"/>
    <cellStyle name="Percent 3 4 3" xfId="17874" xr:uid="{00000000-0005-0000-0000-0000D3420000}"/>
    <cellStyle name="Percent 3 4 4" xfId="17875" xr:uid="{00000000-0005-0000-0000-0000D4420000}"/>
    <cellStyle name="Percent 3 5" xfId="17876" xr:uid="{00000000-0005-0000-0000-0000D5420000}"/>
    <cellStyle name="Percent 3 5 2" xfId="17877" xr:uid="{00000000-0005-0000-0000-0000D6420000}"/>
    <cellStyle name="Percent 3 5 3" xfId="17878" xr:uid="{00000000-0005-0000-0000-0000D7420000}"/>
    <cellStyle name="Percent 3 5 4" xfId="17879" xr:uid="{00000000-0005-0000-0000-0000D8420000}"/>
    <cellStyle name="Percent 3 6" xfId="17880" xr:uid="{00000000-0005-0000-0000-0000D9420000}"/>
    <cellStyle name="Percent 3 6 2" xfId="17881" xr:uid="{00000000-0005-0000-0000-0000DA420000}"/>
    <cellStyle name="Percent 3 6 2 2" xfId="17882" xr:uid="{00000000-0005-0000-0000-0000DB420000}"/>
    <cellStyle name="Percent 3 6 3" xfId="17883" xr:uid="{00000000-0005-0000-0000-0000DC420000}"/>
    <cellStyle name="Percent 3 6 4" xfId="17884" xr:uid="{00000000-0005-0000-0000-0000DD420000}"/>
    <cellStyle name="Percent 3 6 5" xfId="17885" xr:uid="{00000000-0005-0000-0000-0000DE420000}"/>
    <cellStyle name="Percent 3 6 6" xfId="17886" xr:uid="{00000000-0005-0000-0000-0000DF420000}"/>
    <cellStyle name="Percent 3 7" xfId="17887" xr:uid="{00000000-0005-0000-0000-0000E0420000}"/>
    <cellStyle name="Percent 3 7 2" xfId="17888" xr:uid="{00000000-0005-0000-0000-0000E1420000}"/>
    <cellStyle name="Percent 3 7 3" xfId="17889" xr:uid="{00000000-0005-0000-0000-0000E2420000}"/>
    <cellStyle name="Percent 3 7 4" xfId="17890" xr:uid="{00000000-0005-0000-0000-0000E3420000}"/>
    <cellStyle name="Percent 3 8" xfId="17891" xr:uid="{00000000-0005-0000-0000-0000E4420000}"/>
    <cellStyle name="Percent 3 8 2" xfId="17892" xr:uid="{00000000-0005-0000-0000-0000E5420000}"/>
    <cellStyle name="Percent 3 8 2 2" xfId="17893" xr:uid="{00000000-0005-0000-0000-0000E6420000}"/>
    <cellStyle name="Percent 3 8 2 2 2" xfId="17894" xr:uid="{00000000-0005-0000-0000-0000E7420000}"/>
    <cellStyle name="Percent 3 8 2 3" xfId="17895" xr:uid="{00000000-0005-0000-0000-0000E8420000}"/>
    <cellStyle name="Percent 3 8 3" xfId="17896" xr:uid="{00000000-0005-0000-0000-0000E9420000}"/>
    <cellStyle name="Percent 3 8 4" xfId="17897" xr:uid="{00000000-0005-0000-0000-0000EA420000}"/>
    <cellStyle name="Percent 3 8 5" xfId="17898" xr:uid="{00000000-0005-0000-0000-0000EB420000}"/>
    <cellStyle name="Percent 3 8 6" xfId="17899" xr:uid="{00000000-0005-0000-0000-0000EC420000}"/>
    <cellStyle name="Percent 3 9" xfId="17900" xr:uid="{00000000-0005-0000-0000-0000ED420000}"/>
    <cellStyle name="Percent 3 9 2" xfId="17901" xr:uid="{00000000-0005-0000-0000-0000EE420000}"/>
    <cellStyle name="Percent 3 9 3" xfId="17902" xr:uid="{00000000-0005-0000-0000-0000EF420000}"/>
    <cellStyle name="Percent 30" xfId="17903" xr:uid="{00000000-0005-0000-0000-0000F0420000}"/>
    <cellStyle name="Percent 31" xfId="17904" xr:uid="{00000000-0005-0000-0000-0000F1420000}"/>
    <cellStyle name="Percent 32" xfId="17905" xr:uid="{00000000-0005-0000-0000-0000F2420000}"/>
    <cellStyle name="Percent 33" xfId="17906" xr:uid="{00000000-0005-0000-0000-0000F3420000}"/>
    <cellStyle name="Percent 34" xfId="17907" xr:uid="{00000000-0005-0000-0000-0000F4420000}"/>
    <cellStyle name="Percent 35" xfId="17908" xr:uid="{00000000-0005-0000-0000-0000F5420000}"/>
    <cellStyle name="Percent 36" xfId="17909" xr:uid="{00000000-0005-0000-0000-0000F6420000}"/>
    <cellStyle name="Percent 37" xfId="17910" xr:uid="{00000000-0005-0000-0000-0000F7420000}"/>
    <cellStyle name="Percent 38" xfId="17911" xr:uid="{00000000-0005-0000-0000-0000F8420000}"/>
    <cellStyle name="Percent 39" xfId="17912" xr:uid="{00000000-0005-0000-0000-0000F9420000}"/>
    <cellStyle name="Percent 4" xfId="2628" xr:uid="{00000000-0005-0000-0000-0000160A0000}"/>
    <cellStyle name="Percent 4 10" xfId="5321" xr:uid="{00000000-0005-0000-0000-0000FA420000}"/>
    <cellStyle name="Percent 4 2" xfId="5320" xr:uid="{00000000-0005-0000-0000-0000FB420000}"/>
    <cellStyle name="Percent 4 2 2" xfId="17913" xr:uid="{00000000-0005-0000-0000-0000FC420000}"/>
    <cellStyle name="Percent 4 2 2 2" xfId="17914" xr:uid="{00000000-0005-0000-0000-0000FD420000}"/>
    <cellStyle name="Percent 4 2 3" xfId="17915" xr:uid="{00000000-0005-0000-0000-0000FE420000}"/>
    <cellStyle name="Percent 4 2 3 2" xfId="17916" xr:uid="{00000000-0005-0000-0000-0000FF420000}"/>
    <cellStyle name="Percent 4 2 4" xfId="17917" xr:uid="{00000000-0005-0000-0000-000000430000}"/>
    <cellStyle name="Percent 4 3" xfId="17918" xr:uid="{00000000-0005-0000-0000-000001430000}"/>
    <cellStyle name="Percent 4 3 2" xfId="17919" xr:uid="{00000000-0005-0000-0000-000002430000}"/>
    <cellStyle name="Percent 4 3 2 2" xfId="17920" xr:uid="{00000000-0005-0000-0000-000003430000}"/>
    <cellStyle name="Percent 4 3 2 3" xfId="17921" xr:uid="{00000000-0005-0000-0000-000004430000}"/>
    <cellStyle name="Percent 4 3 2 4" xfId="17922" xr:uid="{00000000-0005-0000-0000-000005430000}"/>
    <cellStyle name="Percent 4 3 3" xfId="17923" xr:uid="{00000000-0005-0000-0000-000006430000}"/>
    <cellStyle name="Percent 4 3 3 2" xfId="17924" xr:uid="{00000000-0005-0000-0000-000007430000}"/>
    <cellStyle name="Percent 4 3 4" xfId="17925" xr:uid="{00000000-0005-0000-0000-000008430000}"/>
    <cellStyle name="Percent 4 3 5" xfId="17926" xr:uid="{00000000-0005-0000-0000-000009430000}"/>
    <cellStyle name="Percent 4 4" xfId="17927" xr:uid="{00000000-0005-0000-0000-00000A430000}"/>
    <cellStyle name="Percent 4 4 2" xfId="17928" xr:uid="{00000000-0005-0000-0000-00000B430000}"/>
    <cellStyle name="Percent 4 4 3" xfId="17929" xr:uid="{00000000-0005-0000-0000-00000C430000}"/>
    <cellStyle name="Percent 4 4 4" xfId="17930" xr:uid="{00000000-0005-0000-0000-00000D430000}"/>
    <cellStyle name="Percent 4 5" xfId="17931" xr:uid="{00000000-0005-0000-0000-00000E430000}"/>
    <cellStyle name="Percent 4 5 2" xfId="17932" xr:uid="{00000000-0005-0000-0000-00000F430000}"/>
    <cellStyle name="Percent 4 5 3" xfId="17933" xr:uid="{00000000-0005-0000-0000-000010430000}"/>
    <cellStyle name="Percent 4 5 4" xfId="17934" xr:uid="{00000000-0005-0000-0000-000011430000}"/>
    <cellStyle name="Percent 4 6" xfId="17935" xr:uid="{00000000-0005-0000-0000-000012430000}"/>
    <cellStyle name="Percent 4 6 2" xfId="17936" xr:uid="{00000000-0005-0000-0000-000013430000}"/>
    <cellStyle name="Percent 4 6 2 2" xfId="17937" xr:uid="{00000000-0005-0000-0000-000014430000}"/>
    <cellStyle name="Percent 4 6 2 2 2" xfId="17938" xr:uid="{00000000-0005-0000-0000-000015430000}"/>
    <cellStyle name="Percent 4 6 2 3" xfId="17939" xr:uid="{00000000-0005-0000-0000-000016430000}"/>
    <cellStyle name="Percent 4 6 3" xfId="17940" xr:uid="{00000000-0005-0000-0000-000017430000}"/>
    <cellStyle name="Percent 4 6 4" xfId="17941" xr:uid="{00000000-0005-0000-0000-000018430000}"/>
    <cellStyle name="Percent 4 6 5" xfId="17942" xr:uid="{00000000-0005-0000-0000-000019430000}"/>
    <cellStyle name="Percent 4 6 6" xfId="17943" xr:uid="{00000000-0005-0000-0000-00001A430000}"/>
    <cellStyle name="Percent 4 7" xfId="17944" xr:uid="{00000000-0005-0000-0000-00001B430000}"/>
    <cellStyle name="Percent 4 7 2" xfId="17945" xr:uid="{00000000-0005-0000-0000-00001C430000}"/>
    <cellStyle name="Percent 4 8" xfId="17946" xr:uid="{00000000-0005-0000-0000-00001D430000}"/>
    <cellStyle name="Percent 4 9" xfId="17947" xr:uid="{00000000-0005-0000-0000-00001E430000}"/>
    <cellStyle name="Percent 40" xfId="17948" xr:uid="{00000000-0005-0000-0000-00001F430000}"/>
    <cellStyle name="Percent 41" xfId="17949" xr:uid="{00000000-0005-0000-0000-000020430000}"/>
    <cellStyle name="Percent 42" xfId="17950" xr:uid="{00000000-0005-0000-0000-000021430000}"/>
    <cellStyle name="Percent 43" xfId="17951" xr:uid="{00000000-0005-0000-0000-000022430000}"/>
    <cellStyle name="Percent 44" xfId="17952" xr:uid="{00000000-0005-0000-0000-000023430000}"/>
    <cellStyle name="Percent 45" xfId="17953" xr:uid="{00000000-0005-0000-0000-000024430000}"/>
    <cellStyle name="Percent 46" xfId="17954" xr:uid="{00000000-0005-0000-0000-000025430000}"/>
    <cellStyle name="Percent 47" xfId="17955" xr:uid="{00000000-0005-0000-0000-000026430000}"/>
    <cellStyle name="Percent 48" xfId="17956" xr:uid="{00000000-0005-0000-0000-000027430000}"/>
    <cellStyle name="Percent 49" xfId="17957" xr:uid="{00000000-0005-0000-0000-000028430000}"/>
    <cellStyle name="Percent 5" xfId="2629" xr:uid="{00000000-0005-0000-0000-0000170A0000}"/>
    <cellStyle name="Percent 5 2" xfId="2630" xr:uid="{00000000-0005-0000-0000-0000180A0000}"/>
    <cellStyle name="Percent 5 2 2" xfId="17958" xr:uid="{00000000-0005-0000-0000-00002B430000}"/>
    <cellStyle name="Percent 5 2 2 2" xfId="17959" xr:uid="{00000000-0005-0000-0000-00002C430000}"/>
    <cellStyle name="Percent 5 2 2 3" xfId="17960" xr:uid="{00000000-0005-0000-0000-00002D430000}"/>
    <cellStyle name="Percent 5 2 2 4" xfId="17961" xr:uid="{00000000-0005-0000-0000-00002E430000}"/>
    <cellStyle name="Percent 5 2 2 5" xfId="17962" xr:uid="{00000000-0005-0000-0000-00002F430000}"/>
    <cellStyle name="Percent 5 2 3" xfId="17963" xr:uid="{00000000-0005-0000-0000-000030430000}"/>
    <cellStyle name="Percent 5 2 3 2" xfId="17964" xr:uid="{00000000-0005-0000-0000-000031430000}"/>
    <cellStyle name="Percent 5 2 4" xfId="17965" xr:uid="{00000000-0005-0000-0000-000032430000}"/>
    <cellStyle name="Percent 5 2 5" xfId="17966" xr:uid="{00000000-0005-0000-0000-000033430000}"/>
    <cellStyle name="Percent 5 2 6" xfId="5319" xr:uid="{00000000-0005-0000-0000-00002A430000}"/>
    <cellStyle name="Percent 5 3" xfId="2631" xr:uid="{00000000-0005-0000-0000-0000190A0000}"/>
    <cellStyle name="Percent 5 3 2" xfId="17967" xr:uid="{00000000-0005-0000-0000-000035430000}"/>
    <cellStyle name="Percent 5 4" xfId="17968" xr:uid="{00000000-0005-0000-0000-000036430000}"/>
    <cellStyle name="Percent 5 5" xfId="17969" xr:uid="{00000000-0005-0000-0000-000037430000}"/>
    <cellStyle name="Percent 5 6" xfId="17970" xr:uid="{00000000-0005-0000-0000-000038430000}"/>
    <cellStyle name="Percent 50" xfId="17971" xr:uid="{00000000-0005-0000-0000-000039430000}"/>
    <cellStyle name="Percent 51" xfId="17972" xr:uid="{00000000-0005-0000-0000-00003A430000}"/>
    <cellStyle name="Percent 52" xfId="17973" xr:uid="{00000000-0005-0000-0000-00003B430000}"/>
    <cellStyle name="Percent 53" xfId="17974" xr:uid="{00000000-0005-0000-0000-00003C430000}"/>
    <cellStyle name="Percent 54" xfId="17975" xr:uid="{00000000-0005-0000-0000-00003D430000}"/>
    <cellStyle name="Percent 55" xfId="17976" xr:uid="{00000000-0005-0000-0000-00003E430000}"/>
    <cellStyle name="Percent 56" xfId="17977" xr:uid="{00000000-0005-0000-0000-00003F430000}"/>
    <cellStyle name="Percent 57" xfId="17978" xr:uid="{00000000-0005-0000-0000-000040430000}"/>
    <cellStyle name="Percent 58" xfId="17979" xr:uid="{00000000-0005-0000-0000-000041430000}"/>
    <cellStyle name="Percent 59" xfId="17980" xr:uid="{00000000-0005-0000-0000-000042430000}"/>
    <cellStyle name="Percent 6" xfId="2632" xr:uid="{00000000-0005-0000-0000-00001A0A0000}"/>
    <cellStyle name="Percent 6 2" xfId="2633" xr:uid="{00000000-0005-0000-0000-00001B0A0000}"/>
    <cellStyle name="Percent 6 2 2" xfId="17981" xr:uid="{00000000-0005-0000-0000-000045430000}"/>
    <cellStyle name="Percent 6 2 2 2" xfId="17982" xr:uid="{00000000-0005-0000-0000-000046430000}"/>
    <cellStyle name="Percent 6 2 3" xfId="17983" xr:uid="{00000000-0005-0000-0000-000047430000}"/>
    <cellStyle name="Percent 6 2 4" xfId="17984" xr:uid="{00000000-0005-0000-0000-000048430000}"/>
    <cellStyle name="Percent 6 3" xfId="2634" xr:uid="{00000000-0005-0000-0000-00001C0A0000}"/>
    <cellStyle name="Percent 6 3 2" xfId="2894" xr:uid="{00000000-0005-0000-0000-00001D0A0000}"/>
    <cellStyle name="Percent 6 3 2 2" xfId="17987" xr:uid="{00000000-0005-0000-0000-00004B430000}"/>
    <cellStyle name="Percent 6 3 2 2 2" xfId="17988" xr:uid="{00000000-0005-0000-0000-00004C430000}"/>
    <cellStyle name="Percent 6 3 2 3" xfId="17989" xr:uid="{00000000-0005-0000-0000-00004D430000}"/>
    <cellStyle name="Percent 6 3 2 4" xfId="17986" xr:uid="{00000000-0005-0000-0000-00004A430000}"/>
    <cellStyle name="Percent 6 3 3" xfId="2972" xr:uid="{00000000-0005-0000-0000-00001E0A0000}"/>
    <cellStyle name="Percent 6 3 3 2" xfId="17991" xr:uid="{00000000-0005-0000-0000-00004F430000}"/>
    <cellStyle name="Percent 6 3 3 3" xfId="17990" xr:uid="{00000000-0005-0000-0000-00004E430000}"/>
    <cellStyle name="Percent 6 3 4" xfId="17992" xr:uid="{00000000-0005-0000-0000-000050430000}"/>
    <cellStyle name="Percent 6 3 5" xfId="17993" xr:uid="{00000000-0005-0000-0000-000051430000}"/>
    <cellStyle name="Percent 6 3 6" xfId="17994" xr:uid="{00000000-0005-0000-0000-000052430000}"/>
    <cellStyle name="Percent 6 3 7" xfId="17985" xr:uid="{00000000-0005-0000-0000-000049430000}"/>
    <cellStyle name="Percent 6 4" xfId="17995" xr:uid="{00000000-0005-0000-0000-000053430000}"/>
    <cellStyle name="Percent 6 4 2" xfId="17996" xr:uid="{00000000-0005-0000-0000-000054430000}"/>
    <cellStyle name="Percent 6 4 2 2" xfId="17997" xr:uid="{00000000-0005-0000-0000-000055430000}"/>
    <cellStyle name="Percent 6 4 2 2 2" xfId="17998" xr:uid="{00000000-0005-0000-0000-000056430000}"/>
    <cellStyle name="Percent 6 4 2 3" xfId="17999" xr:uid="{00000000-0005-0000-0000-000057430000}"/>
    <cellStyle name="Percent 6 4 3" xfId="18000" xr:uid="{00000000-0005-0000-0000-000058430000}"/>
    <cellStyle name="Percent 6 4 3 2" xfId="18001" xr:uid="{00000000-0005-0000-0000-000059430000}"/>
    <cellStyle name="Percent 6 4 4" xfId="18002" xr:uid="{00000000-0005-0000-0000-00005A430000}"/>
    <cellStyle name="Percent 6 5" xfId="18003" xr:uid="{00000000-0005-0000-0000-00005B430000}"/>
    <cellStyle name="Percent 6 5 2" xfId="18004" xr:uid="{00000000-0005-0000-0000-00005C430000}"/>
    <cellStyle name="Percent 6 6" xfId="18005" xr:uid="{00000000-0005-0000-0000-00005D430000}"/>
    <cellStyle name="Percent 6 7" xfId="18006" xr:uid="{00000000-0005-0000-0000-00005E430000}"/>
    <cellStyle name="Percent 6 8" xfId="5318" xr:uid="{00000000-0005-0000-0000-000043430000}"/>
    <cellStyle name="Percent 60" xfId="18007" xr:uid="{00000000-0005-0000-0000-00005F430000}"/>
    <cellStyle name="Percent 61" xfId="18008" xr:uid="{00000000-0005-0000-0000-000060430000}"/>
    <cellStyle name="Percent 62" xfId="18009" xr:uid="{00000000-0005-0000-0000-000061430000}"/>
    <cellStyle name="Percent 63" xfId="18010" xr:uid="{00000000-0005-0000-0000-000062430000}"/>
    <cellStyle name="Percent 64" xfId="18011" xr:uid="{00000000-0005-0000-0000-000063430000}"/>
    <cellStyle name="Percent 65" xfId="18012" xr:uid="{00000000-0005-0000-0000-000064430000}"/>
    <cellStyle name="Percent 66" xfId="18013" xr:uid="{00000000-0005-0000-0000-000065430000}"/>
    <cellStyle name="Percent 67" xfId="18014" xr:uid="{00000000-0005-0000-0000-000066430000}"/>
    <cellStyle name="Percent 68" xfId="18015" xr:uid="{00000000-0005-0000-0000-000067430000}"/>
    <cellStyle name="Percent 69" xfId="18016" xr:uid="{00000000-0005-0000-0000-000068430000}"/>
    <cellStyle name="Percent 7" xfId="2635" xr:uid="{00000000-0005-0000-0000-00001F0A0000}"/>
    <cellStyle name="Percent 7 2" xfId="5315" xr:uid="{00000000-0005-0000-0000-00006A430000}"/>
    <cellStyle name="Percent 7 2 2" xfId="18017" xr:uid="{00000000-0005-0000-0000-00006B430000}"/>
    <cellStyle name="Percent 7 2 2 2" xfId="18018" xr:uid="{00000000-0005-0000-0000-00006C430000}"/>
    <cellStyle name="Percent 7 2 3" xfId="18019" xr:uid="{00000000-0005-0000-0000-00006D430000}"/>
    <cellStyle name="Percent 7 2 4" xfId="18020" xr:uid="{00000000-0005-0000-0000-00006E430000}"/>
    <cellStyle name="Percent 7 3" xfId="18021" xr:uid="{00000000-0005-0000-0000-00006F430000}"/>
    <cellStyle name="Percent 7 3 2" xfId="18022" xr:uid="{00000000-0005-0000-0000-000070430000}"/>
    <cellStyle name="Percent 7 4" xfId="18023" xr:uid="{00000000-0005-0000-0000-000071430000}"/>
    <cellStyle name="Percent 7 5" xfId="18024" xr:uid="{00000000-0005-0000-0000-000072430000}"/>
    <cellStyle name="Percent 70" xfId="18025" xr:uid="{00000000-0005-0000-0000-000073430000}"/>
    <cellStyle name="Percent 71" xfId="18026" xr:uid="{00000000-0005-0000-0000-000074430000}"/>
    <cellStyle name="Percent 72" xfId="18027" xr:uid="{00000000-0005-0000-0000-000075430000}"/>
    <cellStyle name="Percent 73" xfId="18028" xr:uid="{00000000-0005-0000-0000-000076430000}"/>
    <cellStyle name="Percent 74" xfId="18029" xr:uid="{00000000-0005-0000-0000-000077430000}"/>
    <cellStyle name="Percent 75" xfId="18030" xr:uid="{00000000-0005-0000-0000-000078430000}"/>
    <cellStyle name="Percent 76" xfId="18031" xr:uid="{00000000-0005-0000-0000-000079430000}"/>
    <cellStyle name="Percent 77" xfId="18032" xr:uid="{00000000-0005-0000-0000-00007A430000}"/>
    <cellStyle name="Percent 78" xfId="18033" xr:uid="{00000000-0005-0000-0000-00007B430000}"/>
    <cellStyle name="Percent 79" xfId="18034" xr:uid="{00000000-0005-0000-0000-00007C430000}"/>
    <cellStyle name="Percent 8" xfId="2636" xr:uid="{00000000-0005-0000-0000-0000200A0000}"/>
    <cellStyle name="Percent 8 2" xfId="5313" xr:uid="{00000000-0005-0000-0000-00007E430000}"/>
    <cellStyle name="Percent 8 2 2" xfId="18035" xr:uid="{00000000-0005-0000-0000-00007F430000}"/>
    <cellStyle name="Percent 8 2 2 2" xfId="18036" xr:uid="{00000000-0005-0000-0000-000080430000}"/>
    <cellStyle name="Percent 8 2 3" xfId="18037" xr:uid="{00000000-0005-0000-0000-000081430000}"/>
    <cellStyle name="Percent 8 2 4" xfId="18038" xr:uid="{00000000-0005-0000-0000-000082430000}"/>
    <cellStyle name="Percent 8 3" xfId="18039" xr:uid="{00000000-0005-0000-0000-000083430000}"/>
    <cellStyle name="Percent 8 3 2" xfId="18040" xr:uid="{00000000-0005-0000-0000-000084430000}"/>
    <cellStyle name="Percent 8 3 3" xfId="18041" xr:uid="{00000000-0005-0000-0000-000085430000}"/>
    <cellStyle name="Percent 8 4" xfId="18042" xr:uid="{00000000-0005-0000-0000-000086430000}"/>
    <cellStyle name="Percent 8 4 2" xfId="18043" xr:uid="{00000000-0005-0000-0000-000087430000}"/>
    <cellStyle name="Percent 8 5" xfId="18044" xr:uid="{00000000-0005-0000-0000-000088430000}"/>
    <cellStyle name="Percent 8 6" xfId="18045" xr:uid="{00000000-0005-0000-0000-000089430000}"/>
    <cellStyle name="Percent 8 7" xfId="5314" xr:uid="{00000000-0005-0000-0000-00007D430000}"/>
    <cellStyle name="Percent 80" xfId="18046" xr:uid="{00000000-0005-0000-0000-00008A430000}"/>
    <cellStyle name="Percent 81" xfId="18047" xr:uid="{00000000-0005-0000-0000-00008B430000}"/>
    <cellStyle name="Percent 82" xfId="18048" xr:uid="{00000000-0005-0000-0000-00008C430000}"/>
    <cellStyle name="Percent 83" xfId="18049" xr:uid="{00000000-0005-0000-0000-00008D430000}"/>
    <cellStyle name="Percent 84" xfId="18050" xr:uid="{00000000-0005-0000-0000-00008E430000}"/>
    <cellStyle name="Percent 85" xfId="18051" xr:uid="{00000000-0005-0000-0000-00008F430000}"/>
    <cellStyle name="Percent 86" xfId="18052" xr:uid="{00000000-0005-0000-0000-000090430000}"/>
    <cellStyle name="Percent 87" xfId="18053" xr:uid="{00000000-0005-0000-0000-000091430000}"/>
    <cellStyle name="Percent 88" xfId="5503" xr:uid="{00000000-0005-0000-0000-00008A440000}"/>
    <cellStyle name="Percent 89" xfId="5504" xr:uid="{00000000-0005-0000-0000-0000F34E0000}"/>
    <cellStyle name="Percent 9" xfId="2637" xr:uid="{00000000-0005-0000-0000-0000210A0000}"/>
    <cellStyle name="Percent 9 2" xfId="18054" xr:uid="{00000000-0005-0000-0000-000093430000}"/>
    <cellStyle name="Percent 9 2 2" xfId="18055" xr:uid="{00000000-0005-0000-0000-000094430000}"/>
    <cellStyle name="Percent 9 2 2 2" xfId="18056" xr:uid="{00000000-0005-0000-0000-000095430000}"/>
    <cellStyle name="Percent 9 2 2 2 2" xfId="18057" xr:uid="{00000000-0005-0000-0000-000096430000}"/>
    <cellStyle name="Percent 9 2 2 3" xfId="18058" xr:uid="{00000000-0005-0000-0000-000097430000}"/>
    <cellStyle name="Percent 9 2 2 4" xfId="18059" xr:uid="{00000000-0005-0000-0000-000098430000}"/>
    <cellStyle name="Percent 9 2 3" xfId="18060" xr:uid="{00000000-0005-0000-0000-000099430000}"/>
    <cellStyle name="Percent 9 2 3 2" xfId="18061" xr:uid="{00000000-0005-0000-0000-00009A430000}"/>
    <cellStyle name="Percent 9 2 4" xfId="18062" xr:uid="{00000000-0005-0000-0000-00009B430000}"/>
    <cellStyle name="Percent 9 2 5" xfId="18063" xr:uid="{00000000-0005-0000-0000-00009C430000}"/>
    <cellStyle name="Percent 9 3" xfId="18064" xr:uid="{00000000-0005-0000-0000-00009D430000}"/>
    <cellStyle name="Percent 9 3 2" xfId="18065" xr:uid="{00000000-0005-0000-0000-00009E430000}"/>
    <cellStyle name="Percent 9 3 2 2" xfId="18066" xr:uid="{00000000-0005-0000-0000-00009F430000}"/>
    <cellStyle name="Percent 9 3 3" xfId="18067" xr:uid="{00000000-0005-0000-0000-0000A0430000}"/>
    <cellStyle name="Percent 9 3 4" xfId="18068" xr:uid="{00000000-0005-0000-0000-0000A1430000}"/>
    <cellStyle name="Percent 9 4" xfId="18069" xr:uid="{00000000-0005-0000-0000-0000A2430000}"/>
    <cellStyle name="Percent 9 4 2" xfId="18070" xr:uid="{00000000-0005-0000-0000-0000A3430000}"/>
    <cellStyle name="Percent 9 5" xfId="18071" xr:uid="{00000000-0005-0000-0000-0000A4430000}"/>
    <cellStyle name="Percent 9 6" xfId="18072" xr:uid="{00000000-0005-0000-0000-0000A5430000}"/>
    <cellStyle name="Percent 90" xfId="20538" xr:uid="{F9C4CC58-D932-46EA-87A9-4E1E9AE93362}"/>
    <cellStyle name="Percent 90 2" xfId="20556" xr:uid="{50182F06-16D7-4708-8DE9-26BD47BA791B}"/>
    <cellStyle name="Percent 91" xfId="20581" xr:uid="{6C381B0B-C747-4EB2-9DAB-1A4E937539BB}"/>
    <cellStyle name="Percent 91 2" xfId="20598" xr:uid="{5F9E3821-E382-41C6-A5F4-749C3157F5F7}"/>
    <cellStyle name="Percent2" xfId="2638" xr:uid="{00000000-0005-0000-0000-0000220A0000}"/>
    <cellStyle name="Percent2 2" xfId="18074" xr:uid="{00000000-0005-0000-0000-0000A7430000}"/>
    <cellStyle name="Percent2 2 2" xfId="18075" xr:uid="{00000000-0005-0000-0000-0000A8430000}"/>
    <cellStyle name="Percent2 3" xfId="18076" xr:uid="{00000000-0005-0000-0000-0000A9430000}"/>
    <cellStyle name="Percent2 4" xfId="18073" xr:uid="{00000000-0005-0000-0000-0000A6430000}"/>
    <cellStyle name="Phone_No" xfId="2639" xr:uid="{00000000-0005-0000-0000-0000230A0000}"/>
    <cellStyle name="Red Text" xfId="2640" xr:uid="{00000000-0005-0000-0000-0000240A0000}"/>
    <cellStyle name="Red Text 2" xfId="18078" xr:uid="{00000000-0005-0000-0000-0000AC430000}"/>
    <cellStyle name="Red Text 2 2" xfId="18079" xr:uid="{00000000-0005-0000-0000-0000AD430000}"/>
    <cellStyle name="Red Text 2 3" xfId="20183" xr:uid="{00000000-0005-0000-0000-0000AC430000}"/>
    <cellStyle name="Red Text 3" xfId="18080" xr:uid="{00000000-0005-0000-0000-0000AE430000}"/>
    <cellStyle name="Red Text 4" xfId="18077" xr:uid="{00000000-0005-0000-0000-0000AB430000}"/>
    <cellStyle name="Remote" xfId="2641" xr:uid="{00000000-0005-0000-0000-0000250A0000}"/>
    <cellStyle name="Revenue" xfId="2642" xr:uid="{00000000-0005-0000-0000-0000260A0000}"/>
    <cellStyle name="RevList" xfId="2643" xr:uid="{00000000-0005-0000-0000-0000270A0000}"/>
    <cellStyle name="s]_x000d__x000a_spooler=no_x000d__x000a_LOAD=C:\CONTROL\VIRUSCAN\VSHWIN.EXE_x000d__x000a_run=_x000d__x000a_Beep=yes_x000d__x000a_NullPort=None_x000d__x000a_BorderWidth=3_x000d__x000a_CursorBlinkRate=530_x000d_" xfId="2644" xr:uid="{00000000-0005-0000-0000-0000280A0000}"/>
    <cellStyle name="s]_x000d__x000a_spooler=no_x000d__x000a_LOAD=C:\CONTROL\VIRUSCAN\VSHWIN.EXE_x000d__x000a_run=_x000d__x000a_Beep=yes_x000d__x000a_NullPort=None_x000d__x000a_BorderWidth=3_x000d__x000a_CursorBlinkRate=530_x000d_ 2" xfId="18081" xr:uid="{00000000-0005-0000-0000-0000B3430000}"/>
    <cellStyle name="s]_x000d__x000a_spooler=no_x000d__x000a_LOAD=C:\CONTROL\VIRUSCAN\VSHWIN.EXE_x000d__x000a_run=_x000d__x000a_Beep=yes_x000d__x000a_NullPort=None_x000d__x000a_BorderWidth=3_x000d__x000a_CursorBlinkRate=530_x000d_ 3" xfId="18082" xr:uid="{00000000-0005-0000-0000-0000B4430000}"/>
    <cellStyle name="Sales_Amt" xfId="2645" xr:uid="{00000000-0005-0000-0000-0000290A0000}"/>
    <cellStyle name="SAPBEXaggData" xfId="2646" xr:uid="{00000000-0005-0000-0000-00002A0A0000}"/>
    <cellStyle name="SAPBEXaggData 2" xfId="2647" xr:uid="{00000000-0005-0000-0000-00002B0A0000}"/>
    <cellStyle name="SAPBEXaggData 2 2" xfId="2895" xr:uid="{00000000-0005-0000-0000-00002C0A0000}"/>
    <cellStyle name="SAPBEXaggData 2 2 2" xfId="18085" xr:uid="{00000000-0005-0000-0000-0000B9430000}"/>
    <cellStyle name="SAPBEXaggData 2 2 2 2" xfId="18086" xr:uid="{00000000-0005-0000-0000-0000BA430000}"/>
    <cellStyle name="SAPBEXaggData 2 2 2 3" xfId="18087" xr:uid="{00000000-0005-0000-0000-0000BB430000}"/>
    <cellStyle name="SAPBEXaggData 2 2 2 3 2" xfId="20184" xr:uid="{00000000-0005-0000-0000-0000BB430000}"/>
    <cellStyle name="SAPBEXaggData 2 2 2 4" xfId="18088" xr:uid="{00000000-0005-0000-0000-0000BC430000}"/>
    <cellStyle name="SAPBEXaggData 2 2 3" xfId="18089" xr:uid="{00000000-0005-0000-0000-0000BD430000}"/>
    <cellStyle name="SAPBEXaggData 2 2 3 2" xfId="18090" xr:uid="{00000000-0005-0000-0000-0000BE430000}"/>
    <cellStyle name="SAPBEXaggData 2 2 3 2 2" xfId="20185" xr:uid="{00000000-0005-0000-0000-0000BE430000}"/>
    <cellStyle name="SAPBEXaggData 2 2 4" xfId="18091" xr:uid="{00000000-0005-0000-0000-0000BF430000}"/>
    <cellStyle name="SAPBEXaggData 2 2 4 2" xfId="20186" xr:uid="{00000000-0005-0000-0000-0000BF430000}"/>
    <cellStyle name="SAPBEXaggData 2 2 5" xfId="18092" xr:uid="{00000000-0005-0000-0000-0000C0430000}"/>
    <cellStyle name="SAPBEXaggData 2 2 6" xfId="18084" xr:uid="{00000000-0005-0000-0000-0000B8430000}"/>
    <cellStyle name="SAPBEXaggData 2 3" xfId="18093" xr:uid="{00000000-0005-0000-0000-0000C1430000}"/>
    <cellStyle name="SAPBEXaggData 2 3 2" xfId="18094" xr:uid="{00000000-0005-0000-0000-0000C2430000}"/>
    <cellStyle name="SAPBEXaggData 2 3 3" xfId="18095" xr:uid="{00000000-0005-0000-0000-0000C3430000}"/>
    <cellStyle name="SAPBEXaggData 2 3 3 2" xfId="20187" xr:uid="{00000000-0005-0000-0000-0000C3430000}"/>
    <cellStyle name="SAPBEXaggData 2 3 4" xfId="18096" xr:uid="{00000000-0005-0000-0000-0000C4430000}"/>
    <cellStyle name="SAPBEXaggData 2 4" xfId="18097" xr:uid="{00000000-0005-0000-0000-0000C5430000}"/>
    <cellStyle name="SAPBEXaggData 2 4 2" xfId="18098" xr:uid="{00000000-0005-0000-0000-0000C6430000}"/>
    <cellStyle name="SAPBEXaggData 2 4 2 2" xfId="20188" xr:uid="{00000000-0005-0000-0000-0000C6430000}"/>
    <cellStyle name="SAPBEXaggData 2 5" xfId="18099" xr:uid="{00000000-0005-0000-0000-0000C7430000}"/>
    <cellStyle name="SAPBEXaggData 2 5 2" xfId="20189" xr:uid="{00000000-0005-0000-0000-0000C7430000}"/>
    <cellStyle name="SAPBEXaggData 2 6" xfId="18100" xr:uid="{00000000-0005-0000-0000-0000C8430000}"/>
    <cellStyle name="SAPBEXaggData 2 7" xfId="18083" xr:uid="{00000000-0005-0000-0000-0000B7430000}"/>
    <cellStyle name="SAPBEXaggData 3" xfId="18101" xr:uid="{00000000-0005-0000-0000-0000C9430000}"/>
    <cellStyle name="SAPBEXaggData 3 2" xfId="18102" xr:uid="{00000000-0005-0000-0000-0000CA430000}"/>
    <cellStyle name="SAPBEXaggData 3 2 2" xfId="18103" xr:uid="{00000000-0005-0000-0000-0000CB430000}"/>
    <cellStyle name="SAPBEXaggData 3 2 2 2" xfId="20190" xr:uid="{00000000-0005-0000-0000-0000CB430000}"/>
    <cellStyle name="SAPBEXaggData 3 3" xfId="18104" xr:uid="{00000000-0005-0000-0000-0000CC430000}"/>
    <cellStyle name="SAPBEXaggData 3 3 2" xfId="20191" xr:uid="{00000000-0005-0000-0000-0000CC430000}"/>
    <cellStyle name="SAPBEXaggData 3 4" xfId="18105" xr:uid="{00000000-0005-0000-0000-0000CD430000}"/>
    <cellStyle name="SAPBEXaggData 3 4 2" xfId="20192" xr:uid="{00000000-0005-0000-0000-0000CD430000}"/>
    <cellStyle name="SAPBEXaggData 3 5" xfId="18106" xr:uid="{00000000-0005-0000-0000-0000CE430000}"/>
    <cellStyle name="SAPBEXaggData 4" xfId="18107" xr:uid="{00000000-0005-0000-0000-0000CF430000}"/>
    <cellStyle name="SAPBEXaggData 4 2" xfId="18108" xr:uid="{00000000-0005-0000-0000-0000D0430000}"/>
    <cellStyle name="SAPBEXaggData 4 3" xfId="20193" xr:uid="{00000000-0005-0000-0000-0000CF430000}"/>
    <cellStyle name="SAPBEXaggData 5" xfId="18109" xr:uid="{00000000-0005-0000-0000-0000D1430000}"/>
    <cellStyle name="SAPBEXaggData 6" xfId="18110" xr:uid="{00000000-0005-0000-0000-0000D2430000}"/>
    <cellStyle name="SAPBEXaggData 6 2" xfId="20194" xr:uid="{00000000-0005-0000-0000-0000D2430000}"/>
    <cellStyle name="SAPBEXaggData 7" xfId="18111" xr:uid="{00000000-0005-0000-0000-0000D3430000}"/>
    <cellStyle name="SAPBEXaggData 8" xfId="13621" xr:uid="{00000000-0005-0000-0000-0000B6430000}"/>
    <cellStyle name="SAPBEXaggData_App b.3 Unspent_" xfId="2648" xr:uid="{00000000-0005-0000-0000-00002D0A0000}"/>
    <cellStyle name="SAPBEXaggDataEmph" xfId="2649" xr:uid="{00000000-0005-0000-0000-00002E0A0000}"/>
    <cellStyle name="SAPBEXaggDataEmph 2" xfId="2650" xr:uid="{00000000-0005-0000-0000-00002F0A0000}"/>
    <cellStyle name="SAPBEXaggDataEmph 2 2" xfId="18114" xr:uid="{00000000-0005-0000-0000-0000D6430000}"/>
    <cellStyle name="SAPBEXaggDataEmph 2 2 2" xfId="18115" xr:uid="{00000000-0005-0000-0000-0000D7430000}"/>
    <cellStyle name="SAPBEXaggDataEmph 2 2 2 2" xfId="20195" xr:uid="{00000000-0005-0000-0000-0000D7430000}"/>
    <cellStyle name="SAPBEXaggDataEmph 2 3" xfId="18116" xr:uid="{00000000-0005-0000-0000-0000D8430000}"/>
    <cellStyle name="SAPBEXaggDataEmph 2 3 2" xfId="20196" xr:uid="{00000000-0005-0000-0000-0000D8430000}"/>
    <cellStyle name="SAPBEXaggDataEmph 2 4" xfId="18117" xr:uid="{00000000-0005-0000-0000-0000D9430000}"/>
    <cellStyle name="SAPBEXaggDataEmph 2 5" xfId="18113" xr:uid="{00000000-0005-0000-0000-0000D5430000}"/>
    <cellStyle name="SAPBEXaggDataEmph 3" xfId="18118" xr:uid="{00000000-0005-0000-0000-0000DA430000}"/>
    <cellStyle name="SAPBEXaggDataEmph 3 2" xfId="18119" xr:uid="{00000000-0005-0000-0000-0000DB430000}"/>
    <cellStyle name="SAPBEXaggDataEmph 3 3" xfId="18120" xr:uid="{00000000-0005-0000-0000-0000DC430000}"/>
    <cellStyle name="SAPBEXaggDataEmph 3 3 2" xfId="20197" xr:uid="{00000000-0005-0000-0000-0000DC430000}"/>
    <cellStyle name="SAPBEXaggDataEmph 3 4" xfId="18121" xr:uid="{00000000-0005-0000-0000-0000DD430000}"/>
    <cellStyle name="SAPBEXaggDataEmph 3 4 2" xfId="20198" xr:uid="{00000000-0005-0000-0000-0000DD430000}"/>
    <cellStyle name="SAPBEXaggDataEmph 3 5" xfId="18122" xr:uid="{00000000-0005-0000-0000-0000DE430000}"/>
    <cellStyle name="SAPBEXaggDataEmph 4" xfId="18123" xr:uid="{00000000-0005-0000-0000-0000DF430000}"/>
    <cellStyle name="SAPBEXaggDataEmph 4 2" xfId="18124" xr:uid="{00000000-0005-0000-0000-0000E0430000}"/>
    <cellStyle name="SAPBEXaggDataEmph 4 2 2" xfId="20199" xr:uid="{00000000-0005-0000-0000-0000E0430000}"/>
    <cellStyle name="SAPBEXaggDataEmph 5" xfId="18125" xr:uid="{00000000-0005-0000-0000-0000E1430000}"/>
    <cellStyle name="SAPBEXaggDataEmph 5 2" xfId="20200" xr:uid="{00000000-0005-0000-0000-0000E1430000}"/>
    <cellStyle name="SAPBEXaggDataEmph 6" xfId="18126" xr:uid="{00000000-0005-0000-0000-0000E2430000}"/>
    <cellStyle name="SAPBEXaggDataEmph 7" xfId="18112" xr:uid="{00000000-0005-0000-0000-0000D4430000}"/>
    <cellStyle name="SAPBEXaggExc1" xfId="2651" xr:uid="{00000000-0005-0000-0000-0000300A0000}"/>
    <cellStyle name="SAPBEXaggExc1 2" xfId="18128" xr:uid="{00000000-0005-0000-0000-0000E4430000}"/>
    <cellStyle name="SAPBEXaggExc1 2 2" xfId="18129" xr:uid="{00000000-0005-0000-0000-0000E5430000}"/>
    <cellStyle name="SAPBEXaggExc1 3" xfId="18130" xr:uid="{00000000-0005-0000-0000-0000E6430000}"/>
    <cellStyle name="SAPBEXaggExc1 4" xfId="18127" xr:uid="{00000000-0005-0000-0000-0000E3430000}"/>
    <cellStyle name="SAPBEXaggExc1Emph" xfId="2652" xr:uid="{00000000-0005-0000-0000-0000310A0000}"/>
    <cellStyle name="SAPBEXaggExc1Emph 2" xfId="18132" xr:uid="{00000000-0005-0000-0000-0000E8430000}"/>
    <cellStyle name="SAPBEXaggExc1Emph 2 2" xfId="18133" xr:uid="{00000000-0005-0000-0000-0000E9430000}"/>
    <cellStyle name="SAPBEXaggExc1Emph 3" xfId="18134" xr:uid="{00000000-0005-0000-0000-0000EA430000}"/>
    <cellStyle name="SAPBEXaggExc1Emph 4" xfId="18131" xr:uid="{00000000-0005-0000-0000-0000E7430000}"/>
    <cellStyle name="SAPBEXaggExc2" xfId="2653" xr:uid="{00000000-0005-0000-0000-0000320A0000}"/>
    <cellStyle name="SAPBEXaggExc2 2" xfId="18136" xr:uid="{00000000-0005-0000-0000-0000EC430000}"/>
    <cellStyle name="SAPBEXaggExc2 2 2" xfId="18137" xr:uid="{00000000-0005-0000-0000-0000ED430000}"/>
    <cellStyle name="SAPBEXaggExc2 3" xfId="18138" xr:uid="{00000000-0005-0000-0000-0000EE430000}"/>
    <cellStyle name="SAPBEXaggExc2 4" xfId="18135" xr:uid="{00000000-0005-0000-0000-0000EB430000}"/>
    <cellStyle name="SAPBEXaggExc2Emph" xfId="2654" xr:uid="{00000000-0005-0000-0000-0000330A0000}"/>
    <cellStyle name="SAPBEXaggExc2Emph 2" xfId="18140" xr:uid="{00000000-0005-0000-0000-0000F0430000}"/>
    <cellStyle name="SAPBEXaggExc2Emph 2 2" xfId="18141" xr:uid="{00000000-0005-0000-0000-0000F1430000}"/>
    <cellStyle name="SAPBEXaggExc2Emph 3" xfId="18142" xr:uid="{00000000-0005-0000-0000-0000F2430000}"/>
    <cellStyle name="SAPBEXaggExc2Emph 4" xfId="18139" xr:uid="{00000000-0005-0000-0000-0000EF430000}"/>
    <cellStyle name="SAPBEXaggItem" xfId="2655" xr:uid="{00000000-0005-0000-0000-0000340A0000}"/>
    <cellStyle name="SAPBEXaggItem 2" xfId="2896" xr:uid="{00000000-0005-0000-0000-0000350A0000}"/>
    <cellStyle name="SAPBEXaggItem 2 2" xfId="18145" xr:uid="{00000000-0005-0000-0000-0000F5430000}"/>
    <cellStyle name="SAPBEXaggItem 2 2 2" xfId="18146" xr:uid="{00000000-0005-0000-0000-0000F6430000}"/>
    <cellStyle name="SAPBEXaggItem 2 2 3" xfId="18147" xr:uid="{00000000-0005-0000-0000-0000F7430000}"/>
    <cellStyle name="SAPBEXaggItem 2 2 3 2" xfId="20201" xr:uid="{00000000-0005-0000-0000-0000F7430000}"/>
    <cellStyle name="SAPBEXaggItem 2 2 4" xfId="18148" xr:uid="{00000000-0005-0000-0000-0000F8430000}"/>
    <cellStyle name="SAPBEXaggItem 2 3" xfId="18149" xr:uid="{00000000-0005-0000-0000-0000F9430000}"/>
    <cellStyle name="SAPBEXaggItem 2 3 2" xfId="18150" xr:uid="{00000000-0005-0000-0000-0000FA430000}"/>
    <cellStyle name="SAPBEXaggItem 2 3 3" xfId="18151" xr:uid="{00000000-0005-0000-0000-0000FB430000}"/>
    <cellStyle name="SAPBEXaggItem 2 3 3 2" xfId="20202" xr:uid="{00000000-0005-0000-0000-0000FB430000}"/>
    <cellStyle name="SAPBEXaggItem 2 3 4" xfId="18152" xr:uid="{00000000-0005-0000-0000-0000FC430000}"/>
    <cellStyle name="SAPBEXaggItem 2 4" xfId="18153" xr:uid="{00000000-0005-0000-0000-0000FD430000}"/>
    <cellStyle name="SAPBEXaggItem 2 4 2" xfId="18154" xr:uid="{00000000-0005-0000-0000-0000FE430000}"/>
    <cellStyle name="SAPBEXaggItem 2 4 2 2" xfId="20203" xr:uid="{00000000-0005-0000-0000-0000FE430000}"/>
    <cellStyle name="SAPBEXaggItem 2 5" xfId="18155" xr:uid="{00000000-0005-0000-0000-0000FF430000}"/>
    <cellStyle name="SAPBEXaggItem 2 5 2" xfId="20204" xr:uid="{00000000-0005-0000-0000-0000FF430000}"/>
    <cellStyle name="SAPBEXaggItem 2 6" xfId="18156" xr:uid="{00000000-0005-0000-0000-000000440000}"/>
    <cellStyle name="SAPBEXaggItem 2 7" xfId="18144" xr:uid="{00000000-0005-0000-0000-0000F4430000}"/>
    <cellStyle name="SAPBEXaggItem 3" xfId="18157" xr:uid="{00000000-0005-0000-0000-000001440000}"/>
    <cellStyle name="SAPBEXaggItem 3 2" xfId="18158" xr:uid="{00000000-0005-0000-0000-000002440000}"/>
    <cellStyle name="SAPBEXaggItem 3 3" xfId="18159" xr:uid="{00000000-0005-0000-0000-000003440000}"/>
    <cellStyle name="SAPBEXaggItem 3 3 2" xfId="20205" xr:uid="{00000000-0005-0000-0000-000003440000}"/>
    <cellStyle name="SAPBEXaggItem 3 4" xfId="18160" xr:uid="{00000000-0005-0000-0000-000004440000}"/>
    <cellStyle name="SAPBEXaggItem 3 4 2" xfId="20206" xr:uid="{00000000-0005-0000-0000-000004440000}"/>
    <cellStyle name="SAPBEXaggItem 3 5" xfId="18161" xr:uid="{00000000-0005-0000-0000-000005440000}"/>
    <cellStyle name="SAPBEXaggItem 4" xfId="18162" xr:uid="{00000000-0005-0000-0000-000006440000}"/>
    <cellStyle name="SAPBEXaggItem 4 2" xfId="18163" xr:uid="{00000000-0005-0000-0000-000007440000}"/>
    <cellStyle name="SAPBEXaggItem 4 2 2" xfId="20207" xr:uid="{00000000-0005-0000-0000-000007440000}"/>
    <cellStyle name="SAPBEXaggItem 5" xfId="18164" xr:uid="{00000000-0005-0000-0000-000008440000}"/>
    <cellStyle name="SAPBEXaggItem 5 2" xfId="20208" xr:uid="{00000000-0005-0000-0000-000008440000}"/>
    <cellStyle name="SAPBEXaggItem 6" xfId="18165" xr:uid="{00000000-0005-0000-0000-000009440000}"/>
    <cellStyle name="SAPBEXaggItem 7" xfId="18143" xr:uid="{00000000-0005-0000-0000-0000F3430000}"/>
    <cellStyle name="SAPBEXaggItemX" xfId="2656" xr:uid="{00000000-0005-0000-0000-0000360A0000}"/>
    <cellStyle name="SAPBEXaggItemX 2" xfId="2657" xr:uid="{00000000-0005-0000-0000-0000370A0000}"/>
    <cellStyle name="SAPBEXaggItemX 2 2" xfId="18168" xr:uid="{00000000-0005-0000-0000-00000C440000}"/>
    <cellStyle name="SAPBEXaggItemX 2 2 2" xfId="18169" xr:uid="{00000000-0005-0000-0000-00000D440000}"/>
    <cellStyle name="SAPBEXaggItemX 2 2 2 2" xfId="20209" xr:uid="{00000000-0005-0000-0000-00000D440000}"/>
    <cellStyle name="SAPBEXaggItemX 2 3" xfId="18170" xr:uid="{00000000-0005-0000-0000-00000E440000}"/>
    <cellStyle name="SAPBEXaggItemX 2 3 2" xfId="20210" xr:uid="{00000000-0005-0000-0000-00000E440000}"/>
    <cellStyle name="SAPBEXaggItemX 2 4" xfId="18171" xr:uid="{00000000-0005-0000-0000-00000F440000}"/>
    <cellStyle name="SAPBEXaggItemX 2 5" xfId="18167" xr:uid="{00000000-0005-0000-0000-00000B440000}"/>
    <cellStyle name="SAPBEXaggItemX 3" xfId="18172" xr:uid="{00000000-0005-0000-0000-000010440000}"/>
    <cellStyle name="SAPBEXaggItemX 3 2" xfId="18173" xr:uid="{00000000-0005-0000-0000-000011440000}"/>
    <cellStyle name="SAPBEXaggItemX 3 3" xfId="18174" xr:uid="{00000000-0005-0000-0000-000012440000}"/>
    <cellStyle name="SAPBEXaggItemX 3 3 2" xfId="20211" xr:uid="{00000000-0005-0000-0000-000012440000}"/>
    <cellStyle name="SAPBEXaggItemX 3 4" xfId="18175" xr:uid="{00000000-0005-0000-0000-000013440000}"/>
    <cellStyle name="SAPBEXaggItemX 3 4 2" xfId="20212" xr:uid="{00000000-0005-0000-0000-000013440000}"/>
    <cellStyle name="SAPBEXaggItemX 3 5" xfId="18176" xr:uid="{00000000-0005-0000-0000-000014440000}"/>
    <cellStyle name="SAPBEXaggItemX 4" xfId="18177" xr:uid="{00000000-0005-0000-0000-000015440000}"/>
    <cellStyle name="SAPBEXaggItemX 4 2" xfId="18178" xr:uid="{00000000-0005-0000-0000-000016440000}"/>
    <cellStyle name="SAPBEXaggItemX 4 2 2" xfId="20213" xr:uid="{00000000-0005-0000-0000-000016440000}"/>
    <cellStyle name="SAPBEXaggItemX 5" xfId="18179" xr:uid="{00000000-0005-0000-0000-000017440000}"/>
    <cellStyle name="SAPBEXaggItemX 5 2" xfId="20214" xr:uid="{00000000-0005-0000-0000-000017440000}"/>
    <cellStyle name="SAPBEXaggItemX 6" xfId="18180" xr:uid="{00000000-0005-0000-0000-000018440000}"/>
    <cellStyle name="SAPBEXaggItemX 7" xfId="18166" xr:uid="{00000000-0005-0000-0000-00000A440000}"/>
    <cellStyle name="SAPBEXchaText" xfId="2658" xr:uid="{00000000-0005-0000-0000-0000380A0000}"/>
    <cellStyle name="SAPBEXchaText 2" xfId="2659" xr:uid="{00000000-0005-0000-0000-0000390A0000}"/>
    <cellStyle name="SAPBEXchaText 2 2" xfId="2898" xr:uid="{00000000-0005-0000-0000-00003A0A0000}"/>
    <cellStyle name="SAPBEXchaText 2 2 2" xfId="18184" xr:uid="{00000000-0005-0000-0000-00001C440000}"/>
    <cellStyle name="SAPBEXchaText 2 2 3" xfId="18185" xr:uid="{00000000-0005-0000-0000-00001D440000}"/>
    <cellStyle name="SAPBEXchaText 2 2 3 2" xfId="20215" xr:uid="{00000000-0005-0000-0000-00001D440000}"/>
    <cellStyle name="SAPBEXchaText 2 2 4" xfId="18186" xr:uid="{00000000-0005-0000-0000-00001E440000}"/>
    <cellStyle name="SAPBEXchaText 2 2 5" xfId="18183" xr:uid="{00000000-0005-0000-0000-00001B440000}"/>
    <cellStyle name="SAPBEXchaText 2 3" xfId="18187" xr:uid="{00000000-0005-0000-0000-00001F440000}"/>
    <cellStyle name="SAPBEXchaText 2 3 2" xfId="18188" xr:uid="{00000000-0005-0000-0000-000020440000}"/>
    <cellStyle name="SAPBEXchaText 2 3 3" xfId="18189" xr:uid="{00000000-0005-0000-0000-000021440000}"/>
    <cellStyle name="SAPBEXchaText 2 3 3 2" xfId="20216" xr:uid="{00000000-0005-0000-0000-000021440000}"/>
    <cellStyle name="SAPBEXchaText 2 3 4" xfId="18190" xr:uid="{00000000-0005-0000-0000-000022440000}"/>
    <cellStyle name="SAPBEXchaText 2 4" xfId="18191" xr:uid="{00000000-0005-0000-0000-000023440000}"/>
    <cellStyle name="SAPBEXchaText 2 4 2" xfId="18192" xr:uid="{00000000-0005-0000-0000-000024440000}"/>
    <cellStyle name="SAPBEXchaText 2 4 2 2" xfId="18193" xr:uid="{00000000-0005-0000-0000-000025440000}"/>
    <cellStyle name="SAPBEXchaText 2 4 2 3" xfId="20217" xr:uid="{00000000-0005-0000-0000-000024440000}"/>
    <cellStyle name="SAPBEXchaText 2 4 3" xfId="18194" xr:uid="{00000000-0005-0000-0000-000026440000}"/>
    <cellStyle name="SAPBEXchaText 2 5" xfId="18195" xr:uid="{00000000-0005-0000-0000-000027440000}"/>
    <cellStyle name="SAPBEXchaText 2 5 2" xfId="18196" xr:uid="{00000000-0005-0000-0000-000028440000}"/>
    <cellStyle name="SAPBEXchaText 2 5 2 2" xfId="20218" xr:uid="{00000000-0005-0000-0000-000028440000}"/>
    <cellStyle name="SAPBEXchaText 2 6" xfId="18197" xr:uid="{00000000-0005-0000-0000-000029440000}"/>
    <cellStyle name="SAPBEXchaText 2 6 2" xfId="20219" xr:uid="{00000000-0005-0000-0000-000029440000}"/>
    <cellStyle name="SAPBEXchaText 2 7" xfId="18198" xr:uid="{00000000-0005-0000-0000-00002A440000}"/>
    <cellStyle name="SAPBEXchaText 2 8" xfId="18182" xr:uid="{00000000-0005-0000-0000-00001A440000}"/>
    <cellStyle name="SAPBEXchaText 3" xfId="2897" xr:uid="{00000000-0005-0000-0000-00003B0A0000}"/>
    <cellStyle name="SAPBEXchaText 3 2" xfId="18200" xr:uid="{00000000-0005-0000-0000-00002C440000}"/>
    <cellStyle name="SAPBEXchaText 3 2 2" xfId="18201" xr:uid="{00000000-0005-0000-0000-00002D440000}"/>
    <cellStyle name="SAPBEXchaText 3 2 2 2" xfId="20220" xr:uid="{00000000-0005-0000-0000-00002D440000}"/>
    <cellStyle name="SAPBEXchaText 3 3" xfId="18202" xr:uid="{00000000-0005-0000-0000-00002E440000}"/>
    <cellStyle name="SAPBEXchaText 3 3 2" xfId="18203" xr:uid="{00000000-0005-0000-0000-00002F440000}"/>
    <cellStyle name="SAPBEXchaText 3 3 2 2" xfId="20222" xr:uid="{00000000-0005-0000-0000-00002F440000}"/>
    <cellStyle name="SAPBEXchaText 3 3 3" xfId="20221" xr:uid="{00000000-0005-0000-0000-00002E440000}"/>
    <cellStyle name="SAPBEXchaText 3 4" xfId="18204" xr:uid="{00000000-0005-0000-0000-000030440000}"/>
    <cellStyle name="SAPBEXchaText 3 4 2" xfId="20223" xr:uid="{00000000-0005-0000-0000-000030440000}"/>
    <cellStyle name="SAPBEXchaText 3 5" xfId="18205" xr:uid="{00000000-0005-0000-0000-000031440000}"/>
    <cellStyle name="SAPBEXchaText 3 6" xfId="18199" xr:uid="{00000000-0005-0000-0000-00002B440000}"/>
    <cellStyle name="SAPBEXchaText 4" xfId="18206" xr:uid="{00000000-0005-0000-0000-000032440000}"/>
    <cellStyle name="SAPBEXchaText 4 2" xfId="18207" xr:uid="{00000000-0005-0000-0000-000033440000}"/>
    <cellStyle name="SAPBEXchaText 4 2 2" xfId="20224" xr:uid="{00000000-0005-0000-0000-000033440000}"/>
    <cellStyle name="SAPBEXchaText 5" xfId="18208" xr:uid="{00000000-0005-0000-0000-000034440000}"/>
    <cellStyle name="SAPBEXchaText 5 2" xfId="18209" xr:uid="{00000000-0005-0000-0000-000035440000}"/>
    <cellStyle name="SAPBEXchaText 5 2 2" xfId="20225" xr:uid="{00000000-0005-0000-0000-000035440000}"/>
    <cellStyle name="SAPBEXchaText 6" xfId="18210" xr:uid="{00000000-0005-0000-0000-000036440000}"/>
    <cellStyle name="SAPBEXchaText 7" xfId="18181" xr:uid="{00000000-0005-0000-0000-000019440000}"/>
    <cellStyle name="SAPBEXchaText_Budget Consolidation by Balancing Acct v1" xfId="2660" xr:uid="{00000000-0005-0000-0000-00003C0A0000}"/>
    <cellStyle name="SAPBEXColoum_Header_SA" xfId="2661" xr:uid="{00000000-0005-0000-0000-00003D0A0000}"/>
    <cellStyle name="SAPBEXexcBad7" xfId="2662" xr:uid="{00000000-0005-0000-0000-00003E0A0000}"/>
    <cellStyle name="SAPBEXexcBad7 2" xfId="2663" xr:uid="{00000000-0005-0000-0000-00003F0A0000}"/>
    <cellStyle name="SAPBEXexcBad7 2 2" xfId="18213" xr:uid="{00000000-0005-0000-0000-00003B440000}"/>
    <cellStyle name="SAPBEXexcBad7 2 2 2" xfId="18214" xr:uid="{00000000-0005-0000-0000-00003C440000}"/>
    <cellStyle name="SAPBEXexcBad7 2 2 3" xfId="18215" xr:uid="{00000000-0005-0000-0000-00003D440000}"/>
    <cellStyle name="SAPBEXexcBad7 2 2 3 2" xfId="20226" xr:uid="{00000000-0005-0000-0000-00003D440000}"/>
    <cellStyle name="SAPBEXexcBad7 2 2 4" xfId="18216" xr:uid="{00000000-0005-0000-0000-00003E440000}"/>
    <cellStyle name="SAPBEXexcBad7 2 3" xfId="18217" xr:uid="{00000000-0005-0000-0000-00003F440000}"/>
    <cellStyle name="SAPBEXexcBad7 2 3 2" xfId="18218" xr:uid="{00000000-0005-0000-0000-000040440000}"/>
    <cellStyle name="SAPBEXexcBad7 2 3 3" xfId="18219" xr:uid="{00000000-0005-0000-0000-000041440000}"/>
    <cellStyle name="SAPBEXexcBad7 2 3 3 2" xfId="20227" xr:uid="{00000000-0005-0000-0000-000041440000}"/>
    <cellStyle name="SAPBEXexcBad7 2 3 4" xfId="18220" xr:uid="{00000000-0005-0000-0000-000042440000}"/>
    <cellStyle name="SAPBEXexcBad7 2 4" xfId="18221" xr:uid="{00000000-0005-0000-0000-000043440000}"/>
    <cellStyle name="SAPBEXexcBad7 2 4 2" xfId="18222" xr:uid="{00000000-0005-0000-0000-000044440000}"/>
    <cellStyle name="SAPBEXexcBad7 2 4 2 2" xfId="20228" xr:uid="{00000000-0005-0000-0000-000044440000}"/>
    <cellStyle name="SAPBEXexcBad7 2 5" xfId="18223" xr:uid="{00000000-0005-0000-0000-000045440000}"/>
    <cellStyle name="SAPBEXexcBad7 2 5 2" xfId="20229" xr:uid="{00000000-0005-0000-0000-000045440000}"/>
    <cellStyle name="SAPBEXexcBad7 2 6" xfId="18224" xr:uid="{00000000-0005-0000-0000-000046440000}"/>
    <cellStyle name="SAPBEXexcBad7 2 7" xfId="18212" xr:uid="{00000000-0005-0000-0000-00003A440000}"/>
    <cellStyle name="SAPBEXexcBad7 3" xfId="18225" xr:uid="{00000000-0005-0000-0000-000047440000}"/>
    <cellStyle name="SAPBEXexcBad7 3 2" xfId="18226" xr:uid="{00000000-0005-0000-0000-000048440000}"/>
    <cellStyle name="SAPBEXexcBad7 3 3" xfId="18227" xr:uid="{00000000-0005-0000-0000-000049440000}"/>
    <cellStyle name="SAPBEXexcBad7 3 3 2" xfId="20230" xr:uid="{00000000-0005-0000-0000-000049440000}"/>
    <cellStyle name="SAPBEXexcBad7 3 4" xfId="18228" xr:uid="{00000000-0005-0000-0000-00004A440000}"/>
    <cellStyle name="SAPBEXexcBad7 3 4 2" xfId="20231" xr:uid="{00000000-0005-0000-0000-00004A440000}"/>
    <cellStyle name="SAPBEXexcBad7 3 5" xfId="18229" xr:uid="{00000000-0005-0000-0000-00004B440000}"/>
    <cellStyle name="SAPBEXexcBad7 4" xfId="18230" xr:uid="{00000000-0005-0000-0000-00004C440000}"/>
    <cellStyle name="SAPBEXexcBad7 4 2" xfId="18231" xr:uid="{00000000-0005-0000-0000-00004D440000}"/>
    <cellStyle name="SAPBEXexcBad7 4 2 2" xfId="20232" xr:uid="{00000000-0005-0000-0000-00004D440000}"/>
    <cellStyle name="SAPBEXexcBad7 5" xfId="18232" xr:uid="{00000000-0005-0000-0000-00004E440000}"/>
    <cellStyle name="SAPBEXexcBad7 5 2" xfId="20233" xr:uid="{00000000-0005-0000-0000-00004E440000}"/>
    <cellStyle name="SAPBEXexcBad7 6" xfId="18233" xr:uid="{00000000-0005-0000-0000-00004F440000}"/>
    <cellStyle name="SAPBEXexcBad7 7" xfId="18211" xr:uid="{00000000-0005-0000-0000-000039440000}"/>
    <cellStyle name="SAPBEXexcBad8" xfId="2664" xr:uid="{00000000-0005-0000-0000-0000400A0000}"/>
    <cellStyle name="SAPBEXexcBad8 2" xfId="2665" xr:uid="{00000000-0005-0000-0000-0000410A0000}"/>
    <cellStyle name="SAPBEXexcBad8 2 2" xfId="18236" xr:uid="{00000000-0005-0000-0000-000052440000}"/>
    <cellStyle name="SAPBEXexcBad8 2 2 2" xfId="18237" xr:uid="{00000000-0005-0000-0000-000053440000}"/>
    <cellStyle name="SAPBEXexcBad8 2 2 3" xfId="18238" xr:uid="{00000000-0005-0000-0000-000054440000}"/>
    <cellStyle name="SAPBEXexcBad8 2 2 3 2" xfId="20234" xr:uid="{00000000-0005-0000-0000-000054440000}"/>
    <cellStyle name="SAPBEXexcBad8 2 2 4" xfId="18239" xr:uid="{00000000-0005-0000-0000-000055440000}"/>
    <cellStyle name="SAPBEXexcBad8 2 3" xfId="18240" xr:uid="{00000000-0005-0000-0000-000056440000}"/>
    <cellStyle name="SAPBEXexcBad8 2 3 2" xfId="18241" xr:uid="{00000000-0005-0000-0000-000057440000}"/>
    <cellStyle name="SAPBEXexcBad8 2 3 3" xfId="18242" xr:uid="{00000000-0005-0000-0000-000058440000}"/>
    <cellStyle name="SAPBEXexcBad8 2 3 3 2" xfId="20235" xr:uid="{00000000-0005-0000-0000-000058440000}"/>
    <cellStyle name="SAPBEXexcBad8 2 3 4" xfId="18243" xr:uid="{00000000-0005-0000-0000-000059440000}"/>
    <cellStyle name="SAPBEXexcBad8 2 4" xfId="18244" xr:uid="{00000000-0005-0000-0000-00005A440000}"/>
    <cellStyle name="SAPBEXexcBad8 2 4 2" xfId="18245" xr:uid="{00000000-0005-0000-0000-00005B440000}"/>
    <cellStyle name="SAPBEXexcBad8 2 4 2 2" xfId="20236" xr:uid="{00000000-0005-0000-0000-00005B440000}"/>
    <cellStyle name="SAPBEXexcBad8 2 5" xfId="18246" xr:uid="{00000000-0005-0000-0000-00005C440000}"/>
    <cellStyle name="SAPBEXexcBad8 2 5 2" xfId="20237" xr:uid="{00000000-0005-0000-0000-00005C440000}"/>
    <cellStyle name="SAPBEXexcBad8 2 6" xfId="18247" xr:uid="{00000000-0005-0000-0000-00005D440000}"/>
    <cellStyle name="SAPBEXexcBad8 2 7" xfId="18235" xr:uid="{00000000-0005-0000-0000-000051440000}"/>
    <cellStyle name="SAPBEXexcBad8 3" xfId="18248" xr:uid="{00000000-0005-0000-0000-00005E440000}"/>
    <cellStyle name="SAPBEXexcBad8 3 2" xfId="18249" xr:uid="{00000000-0005-0000-0000-00005F440000}"/>
    <cellStyle name="SAPBEXexcBad8 3 3" xfId="18250" xr:uid="{00000000-0005-0000-0000-000060440000}"/>
    <cellStyle name="SAPBEXexcBad8 3 3 2" xfId="20238" xr:uid="{00000000-0005-0000-0000-000060440000}"/>
    <cellStyle name="SAPBEXexcBad8 3 4" xfId="18251" xr:uid="{00000000-0005-0000-0000-000061440000}"/>
    <cellStyle name="SAPBEXexcBad8 3 4 2" xfId="20239" xr:uid="{00000000-0005-0000-0000-000061440000}"/>
    <cellStyle name="SAPBEXexcBad8 3 5" xfId="18252" xr:uid="{00000000-0005-0000-0000-000062440000}"/>
    <cellStyle name="SAPBEXexcBad8 4" xfId="18253" xr:uid="{00000000-0005-0000-0000-000063440000}"/>
    <cellStyle name="SAPBEXexcBad8 4 2" xfId="18254" xr:uid="{00000000-0005-0000-0000-000064440000}"/>
    <cellStyle name="SAPBEXexcBad8 4 2 2" xfId="20240" xr:uid="{00000000-0005-0000-0000-000064440000}"/>
    <cellStyle name="SAPBEXexcBad8 5" xfId="18255" xr:uid="{00000000-0005-0000-0000-000065440000}"/>
    <cellStyle name="SAPBEXexcBad8 5 2" xfId="20241" xr:uid="{00000000-0005-0000-0000-000065440000}"/>
    <cellStyle name="SAPBEXexcBad8 6" xfId="18256" xr:uid="{00000000-0005-0000-0000-000066440000}"/>
    <cellStyle name="SAPBEXexcBad8 7" xfId="18234" xr:uid="{00000000-0005-0000-0000-000050440000}"/>
    <cellStyle name="SAPBEXexcBad9" xfId="2666" xr:uid="{00000000-0005-0000-0000-0000420A0000}"/>
    <cellStyle name="SAPBEXexcBad9 2" xfId="2667" xr:uid="{00000000-0005-0000-0000-0000430A0000}"/>
    <cellStyle name="SAPBEXexcBad9 2 2" xfId="18259" xr:uid="{00000000-0005-0000-0000-000069440000}"/>
    <cellStyle name="SAPBEXexcBad9 2 2 2" xfId="18260" xr:uid="{00000000-0005-0000-0000-00006A440000}"/>
    <cellStyle name="SAPBEXexcBad9 2 2 3" xfId="18261" xr:uid="{00000000-0005-0000-0000-00006B440000}"/>
    <cellStyle name="SAPBEXexcBad9 2 2 3 2" xfId="20242" xr:uid="{00000000-0005-0000-0000-00006B440000}"/>
    <cellStyle name="SAPBEXexcBad9 2 2 4" xfId="18262" xr:uid="{00000000-0005-0000-0000-00006C440000}"/>
    <cellStyle name="SAPBEXexcBad9 2 3" xfId="18263" xr:uid="{00000000-0005-0000-0000-00006D440000}"/>
    <cellStyle name="SAPBEXexcBad9 2 3 2" xfId="18264" xr:uid="{00000000-0005-0000-0000-00006E440000}"/>
    <cellStyle name="SAPBEXexcBad9 2 3 3" xfId="18265" xr:uid="{00000000-0005-0000-0000-00006F440000}"/>
    <cellStyle name="SAPBEXexcBad9 2 3 3 2" xfId="20243" xr:uid="{00000000-0005-0000-0000-00006F440000}"/>
    <cellStyle name="SAPBEXexcBad9 2 3 4" xfId="18266" xr:uid="{00000000-0005-0000-0000-000070440000}"/>
    <cellStyle name="SAPBEXexcBad9 2 4" xfId="18267" xr:uid="{00000000-0005-0000-0000-000071440000}"/>
    <cellStyle name="SAPBEXexcBad9 2 4 2" xfId="18268" xr:uid="{00000000-0005-0000-0000-000072440000}"/>
    <cellStyle name="SAPBEXexcBad9 2 4 2 2" xfId="20244" xr:uid="{00000000-0005-0000-0000-000072440000}"/>
    <cellStyle name="SAPBEXexcBad9 2 5" xfId="18269" xr:uid="{00000000-0005-0000-0000-000073440000}"/>
    <cellStyle name="SAPBEXexcBad9 2 5 2" xfId="20245" xr:uid="{00000000-0005-0000-0000-000073440000}"/>
    <cellStyle name="SAPBEXexcBad9 2 6" xfId="18270" xr:uid="{00000000-0005-0000-0000-000074440000}"/>
    <cellStyle name="SAPBEXexcBad9 2 7" xfId="18258" xr:uid="{00000000-0005-0000-0000-000068440000}"/>
    <cellStyle name="SAPBEXexcBad9 3" xfId="18271" xr:uid="{00000000-0005-0000-0000-000075440000}"/>
    <cellStyle name="SAPBEXexcBad9 3 2" xfId="18272" xr:uid="{00000000-0005-0000-0000-000076440000}"/>
    <cellStyle name="SAPBEXexcBad9 3 3" xfId="18273" xr:uid="{00000000-0005-0000-0000-000077440000}"/>
    <cellStyle name="SAPBEXexcBad9 3 3 2" xfId="20246" xr:uid="{00000000-0005-0000-0000-000077440000}"/>
    <cellStyle name="SAPBEXexcBad9 3 4" xfId="18274" xr:uid="{00000000-0005-0000-0000-000078440000}"/>
    <cellStyle name="SAPBEXexcBad9 3 4 2" xfId="20247" xr:uid="{00000000-0005-0000-0000-000078440000}"/>
    <cellStyle name="SAPBEXexcBad9 3 5" xfId="18275" xr:uid="{00000000-0005-0000-0000-000079440000}"/>
    <cellStyle name="SAPBEXexcBad9 4" xfId="18276" xr:uid="{00000000-0005-0000-0000-00007A440000}"/>
    <cellStyle name="SAPBEXexcBad9 4 2" xfId="18277" xr:uid="{00000000-0005-0000-0000-00007B440000}"/>
    <cellStyle name="SAPBEXexcBad9 4 2 2" xfId="20248" xr:uid="{00000000-0005-0000-0000-00007B440000}"/>
    <cellStyle name="SAPBEXexcBad9 5" xfId="18278" xr:uid="{00000000-0005-0000-0000-00007C440000}"/>
    <cellStyle name="SAPBEXexcBad9 5 2" xfId="20249" xr:uid="{00000000-0005-0000-0000-00007C440000}"/>
    <cellStyle name="SAPBEXexcBad9 6" xfId="18279" xr:uid="{00000000-0005-0000-0000-00007D440000}"/>
    <cellStyle name="SAPBEXexcBad9 7" xfId="18257" xr:uid="{00000000-0005-0000-0000-000067440000}"/>
    <cellStyle name="SAPBEXexcCritical4" xfId="2668" xr:uid="{00000000-0005-0000-0000-0000440A0000}"/>
    <cellStyle name="SAPBEXexcCritical4 2" xfId="2669" xr:uid="{00000000-0005-0000-0000-0000450A0000}"/>
    <cellStyle name="SAPBEXexcCritical4 2 2" xfId="18282" xr:uid="{00000000-0005-0000-0000-000080440000}"/>
    <cellStyle name="SAPBEXexcCritical4 2 2 2" xfId="18283" xr:uid="{00000000-0005-0000-0000-000081440000}"/>
    <cellStyle name="SAPBEXexcCritical4 2 2 3" xfId="18284" xr:uid="{00000000-0005-0000-0000-000082440000}"/>
    <cellStyle name="SAPBEXexcCritical4 2 2 3 2" xfId="20250" xr:uid="{00000000-0005-0000-0000-000082440000}"/>
    <cellStyle name="SAPBEXexcCritical4 2 2 4" xfId="18285" xr:uid="{00000000-0005-0000-0000-000083440000}"/>
    <cellStyle name="SAPBEXexcCritical4 2 3" xfId="18286" xr:uid="{00000000-0005-0000-0000-000084440000}"/>
    <cellStyle name="SAPBEXexcCritical4 2 3 2" xfId="18287" xr:uid="{00000000-0005-0000-0000-000085440000}"/>
    <cellStyle name="SAPBEXexcCritical4 2 3 3" xfId="18288" xr:uid="{00000000-0005-0000-0000-000086440000}"/>
    <cellStyle name="SAPBEXexcCritical4 2 3 3 2" xfId="20251" xr:uid="{00000000-0005-0000-0000-000086440000}"/>
    <cellStyle name="SAPBEXexcCritical4 2 3 4" xfId="18289" xr:uid="{00000000-0005-0000-0000-000087440000}"/>
    <cellStyle name="SAPBEXexcCritical4 2 4" xfId="18290" xr:uid="{00000000-0005-0000-0000-000088440000}"/>
    <cellStyle name="SAPBEXexcCritical4 2 4 2" xfId="18291" xr:uid="{00000000-0005-0000-0000-000089440000}"/>
    <cellStyle name="SAPBEXexcCritical4 2 4 2 2" xfId="20252" xr:uid="{00000000-0005-0000-0000-000089440000}"/>
    <cellStyle name="SAPBEXexcCritical4 2 5" xfId="18292" xr:uid="{00000000-0005-0000-0000-00008A440000}"/>
    <cellStyle name="SAPBEXexcCritical4 2 5 2" xfId="20253" xr:uid="{00000000-0005-0000-0000-00008A440000}"/>
    <cellStyle name="SAPBEXexcCritical4 2 6" xfId="18293" xr:uid="{00000000-0005-0000-0000-00008B440000}"/>
    <cellStyle name="SAPBEXexcCritical4 2 7" xfId="18281" xr:uid="{00000000-0005-0000-0000-00007F440000}"/>
    <cellStyle name="SAPBEXexcCritical4 3" xfId="18294" xr:uid="{00000000-0005-0000-0000-00008C440000}"/>
    <cellStyle name="SAPBEXexcCritical4 3 2" xfId="18295" xr:uid="{00000000-0005-0000-0000-00008D440000}"/>
    <cellStyle name="SAPBEXexcCritical4 3 3" xfId="18296" xr:uid="{00000000-0005-0000-0000-00008E440000}"/>
    <cellStyle name="SAPBEXexcCritical4 3 3 2" xfId="20254" xr:uid="{00000000-0005-0000-0000-00008E440000}"/>
    <cellStyle name="SAPBEXexcCritical4 3 4" xfId="18297" xr:uid="{00000000-0005-0000-0000-00008F440000}"/>
    <cellStyle name="SAPBEXexcCritical4 3 4 2" xfId="20255" xr:uid="{00000000-0005-0000-0000-00008F440000}"/>
    <cellStyle name="SAPBEXexcCritical4 3 5" xfId="18298" xr:uid="{00000000-0005-0000-0000-000090440000}"/>
    <cellStyle name="SAPBEXexcCritical4 4" xfId="18299" xr:uid="{00000000-0005-0000-0000-000091440000}"/>
    <cellStyle name="SAPBEXexcCritical4 4 2" xfId="18300" xr:uid="{00000000-0005-0000-0000-000092440000}"/>
    <cellStyle name="SAPBEXexcCritical4 4 2 2" xfId="20256" xr:uid="{00000000-0005-0000-0000-000092440000}"/>
    <cellStyle name="SAPBEXexcCritical4 5" xfId="18301" xr:uid="{00000000-0005-0000-0000-000093440000}"/>
    <cellStyle name="SAPBEXexcCritical4 5 2" xfId="20257" xr:uid="{00000000-0005-0000-0000-000093440000}"/>
    <cellStyle name="SAPBEXexcCritical4 6" xfId="18302" xr:uid="{00000000-0005-0000-0000-000094440000}"/>
    <cellStyle name="SAPBEXexcCritical4 7" xfId="18280" xr:uid="{00000000-0005-0000-0000-00007E440000}"/>
    <cellStyle name="SAPBEXexcCritical5" xfId="2670" xr:uid="{00000000-0005-0000-0000-0000460A0000}"/>
    <cellStyle name="SAPBEXexcCritical5 2" xfId="2671" xr:uid="{00000000-0005-0000-0000-0000470A0000}"/>
    <cellStyle name="SAPBEXexcCritical5 2 2" xfId="18305" xr:uid="{00000000-0005-0000-0000-000097440000}"/>
    <cellStyle name="SAPBEXexcCritical5 2 2 2" xfId="18306" xr:uid="{00000000-0005-0000-0000-000098440000}"/>
    <cellStyle name="SAPBEXexcCritical5 2 2 3" xfId="18307" xr:uid="{00000000-0005-0000-0000-000099440000}"/>
    <cellStyle name="SAPBEXexcCritical5 2 2 3 2" xfId="20258" xr:uid="{00000000-0005-0000-0000-000099440000}"/>
    <cellStyle name="SAPBEXexcCritical5 2 2 4" xfId="18308" xr:uid="{00000000-0005-0000-0000-00009A440000}"/>
    <cellStyle name="SAPBEXexcCritical5 2 3" xfId="18309" xr:uid="{00000000-0005-0000-0000-00009B440000}"/>
    <cellStyle name="SAPBEXexcCritical5 2 3 2" xfId="18310" xr:uid="{00000000-0005-0000-0000-00009C440000}"/>
    <cellStyle name="SAPBEXexcCritical5 2 3 3" xfId="18311" xr:uid="{00000000-0005-0000-0000-00009D440000}"/>
    <cellStyle name="SAPBEXexcCritical5 2 3 3 2" xfId="20259" xr:uid="{00000000-0005-0000-0000-00009D440000}"/>
    <cellStyle name="SAPBEXexcCritical5 2 3 4" xfId="18312" xr:uid="{00000000-0005-0000-0000-00009E440000}"/>
    <cellStyle name="SAPBEXexcCritical5 2 4" xfId="18313" xr:uid="{00000000-0005-0000-0000-00009F440000}"/>
    <cellStyle name="SAPBEXexcCritical5 2 4 2" xfId="18314" xr:uid="{00000000-0005-0000-0000-0000A0440000}"/>
    <cellStyle name="SAPBEXexcCritical5 2 4 2 2" xfId="20260" xr:uid="{00000000-0005-0000-0000-0000A0440000}"/>
    <cellStyle name="SAPBEXexcCritical5 2 5" xfId="18315" xr:uid="{00000000-0005-0000-0000-0000A1440000}"/>
    <cellStyle name="SAPBEXexcCritical5 2 5 2" xfId="20261" xr:uid="{00000000-0005-0000-0000-0000A1440000}"/>
    <cellStyle name="SAPBEXexcCritical5 2 6" xfId="18316" xr:uid="{00000000-0005-0000-0000-0000A2440000}"/>
    <cellStyle name="SAPBEXexcCritical5 2 7" xfId="18304" xr:uid="{00000000-0005-0000-0000-000096440000}"/>
    <cellStyle name="SAPBEXexcCritical5 3" xfId="18317" xr:uid="{00000000-0005-0000-0000-0000A3440000}"/>
    <cellStyle name="SAPBEXexcCritical5 3 2" xfId="18318" xr:uid="{00000000-0005-0000-0000-0000A4440000}"/>
    <cellStyle name="SAPBEXexcCritical5 3 3" xfId="18319" xr:uid="{00000000-0005-0000-0000-0000A5440000}"/>
    <cellStyle name="SAPBEXexcCritical5 3 3 2" xfId="20262" xr:uid="{00000000-0005-0000-0000-0000A5440000}"/>
    <cellStyle name="SAPBEXexcCritical5 3 4" xfId="18320" xr:uid="{00000000-0005-0000-0000-0000A6440000}"/>
    <cellStyle name="SAPBEXexcCritical5 3 4 2" xfId="20263" xr:uid="{00000000-0005-0000-0000-0000A6440000}"/>
    <cellStyle name="SAPBEXexcCritical5 3 5" xfId="18321" xr:uid="{00000000-0005-0000-0000-0000A7440000}"/>
    <cellStyle name="SAPBEXexcCritical5 4" xfId="18322" xr:uid="{00000000-0005-0000-0000-0000A8440000}"/>
    <cellStyle name="SAPBEXexcCritical5 4 2" xfId="18323" xr:uid="{00000000-0005-0000-0000-0000A9440000}"/>
    <cellStyle name="SAPBEXexcCritical5 4 2 2" xfId="20264" xr:uid="{00000000-0005-0000-0000-0000A9440000}"/>
    <cellStyle name="SAPBEXexcCritical5 5" xfId="18324" xr:uid="{00000000-0005-0000-0000-0000AA440000}"/>
    <cellStyle name="SAPBEXexcCritical5 5 2" xfId="20265" xr:uid="{00000000-0005-0000-0000-0000AA440000}"/>
    <cellStyle name="SAPBEXexcCritical5 6" xfId="18325" xr:uid="{00000000-0005-0000-0000-0000AB440000}"/>
    <cellStyle name="SAPBEXexcCritical5 7" xfId="18303" xr:uid="{00000000-0005-0000-0000-000095440000}"/>
    <cellStyle name="SAPBEXexcCritical6" xfId="2672" xr:uid="{00000000-0005-0000-0000-0000480A0000}"/>
    <cellStyle name="SAPBEXexcCritical6 2" xfId="2673" xr:uid="{00000000-0005-0000-0000-0000490A0000}"/>
    <cellStyle name="SAPBEXexcCritical6 2 2" xfId="18328" xr:uid="{00000000-0005-0000-0000-0000AE440000}"/>
    <cellStyle name="SAPBEXexcCritical6 2 2 2" xfId="18329" xr:uid="{00000000-0005-0000-0000-0000AF440000}"/>
    <cellStyle name="SAPBEXexcCritical6 2 2 3" xfId="18330" xr:uid="{00000000-0005-0000-0000-0000B0440000}"/>
    <cellStyle name="SAPBEXexcCritical6 2 2 3 2" xfId="20266" xr:uid="{00000000-0005-0000-0000-0000B0440000}"/>
    <cellStyle name="SAPBEXexcCritical6 2 2 4" xfId="18331" xr:uid="{00000000-0005-0000-0000-0000B1440000}"/>
    <cellStyle name="SAPBEXexcCritical6 2 3" xfId="18332" xr:uid="{00000000-0005-0000-0000-0000B2440000}"/>
    <cellStyle name="SAPBEXexcCritical6 2 3 2" xfId="18333" xr:uid="{00000000-0005-0000-0000-0000B3440000}"/>
    <cellStyle name="SAPBEXexcCritical6 2 3 3" xfId="18334" xr:uid="{00000000-0005-0000-0000-0000B4440000}"/>
    <cellStyle name="SAPBEXexcCritical6 2 3 3 2" xfId="20267" xr:uid="{00000000-0005-0000-0000-0000B4440000}"/>
    <cellStyle name="SAPBEXexcCritical6 2 3 4" xfId="18335" xr:uid="{00000000-0005-0000-0000-0000B5440000}"/>
    <cellStyle name="SAPBEXexcCritical6 2 4" xfId="18336" xr:uid="{00000000-0005-0000-0000-0000B6440000}"/>
    <cellStyle name="SAPBEXexcCritical6 2 4 2" xfId="18337" xr:uid="{00000000-0005-0000-0000-0000B7440000}"/>
    <cellStyle name="SAPBEXexcCritical6 2 4 2 2" xfId="20268" xr:uid="{00000000-0005-0000-0000-0000B7440000}"/>
    <cellStyle name="SAPBEXexcCritical6 2 5" xfId="18338" xr:uid="{00000000-0005-0000-0000-0000B8440000}"/>
    <cellStyle name="SAPBEXexcCritical6 2 5 2" xfId="20269" xr:uid="{00000000-0005-0000-0000-0000B8440000}"/>
    <cellStyle name="SAPBEXexcCritical6 2 6" xfId="18339" xr:uid="{00000000-0005-0000-0000-0000B9440000}"/>
    <cellStyle name="SAPBEXexcCritical6 2 7" xfId="18327" xr:uid="{00000000-0005-0000-0000-0000AD440000}"/>
    <cellStyle name="SAPBEXexcCritical6 3" xfId="18340" xr:uid="{00000000-0005-0000-0000-0000BA440000}"/>
    <cellStyle name="SAPBEXexcCritical6 3 2" xfId="18341" xr:uid="{00000000-0005-0000-0000-0000BB440000}"/>
    <cellStyle name="SAPBEXexcCritical6 3 3" xfId="18342" xr:uid="{00000000-0005-0000-0000-0000BC440000}"/>
    <cellStyle name="SAPBEXexcCritical6 3 3 2" xfId="20270" xr:uid="{00000000-0005-0000-0000-0000BC440000}"/>
    <cellStyle name="SAPBEXexcCritical6 3 4" xfId="18343" xr:uid="{00000000-0005-0000-0000-0000BD440000}"/>
    <cellStyle name="SAPBEXexcCritical6 3 4 2" xfId="20271" xr:uid="{00000000-0005-0000-0000-0000BD440000}"/>
    <cellStyle name="SAPBEXexcCritical6 3 5" xfId="18344" xr:uid="{00000000-0005-0000-0000-0000BE440000}"/>
    <cellStyle name="SAPBEXexcCritical6 4" xfId="18345" xr:uid="{00000000-0005-0000-0000-0000BF440000}"/>
    <cellStyle name="SAPBEXexcCritical6 4 2" xfId="18346" xr:uid="{00000000-0005-0000-0000-0000C0440000}"/>
    <cellStyle name="SAPBEXexcCritical6 4 2 2" xfId="20272" xr:uid="{00000000-0005-0000-0000-0000C0440000}"/>
    <cellStyle name="SAPBEXexcCritical6 5" xfId="18347" xr:uid="{00000000-0005-0000-0000-0000C1440000}"/>
    <cellStyle name="SAPBEXexcCritical6 5 2" xfId="20273" xr:uid="{00000000-0005-0000-0000-0000C1440000}"/>
    <cellStyle name="SAPBEXexcCritical6 6" xfId="18348" xr:uid="{00000000-0005-0000-0000-0000C2440000}"/>
    <cellStyle name="SAPBEXexcCritical6 7" xfId="18326" xr:uid="{00000000-0005-0000-0000-0000AC440000}"/>
    <cellStyle name="SAPBEXexcGood1" xfId="2674" xr:uid="{00000000-0005-0000-0000-00004A0A0000}"/>
    <cellStyle name="SAPBEXexcGood1 2" xfId="2675" xr:uid="{00000000-0005-0000-0000-00004B0A0000}"/>
    <cellStyle name="SAPBEXexcGood1 2 2" xfId="18351" xr:uid="{00000000-0005-0000-0000-0000C5440000}"/>
    <cellStyle name="SAPBEXexcGood1 2 2 2" xfId="18352" xr:uid="{00000000-0005-0000-0000-0000C6440000}"/>
    <cellStyle name="SAPBEXexcGood1 2 2 3" xfId="18353" xr:uid="{00000000-0005-0000-0000-0000C7440000}"/>
    <cellStyle name="SAPBEXexcGood1 2 2 3 2" xfId="20274" xr:uid="{00000000-0005-0000-0000-0000C7440000}"/>
    <cellStyle name="SAPBEXexcGood1 2 2 4" xfId="18354" xr:uid="{00000000-0005-0000-0000-0000C8440000}"/>
    <cellStyle name="SAPBEXexcGood1 2 3" xfId="18355" xr:uid="{00000000-0005-0000-0000-0000C9440000}"/>
    <cellStyle name="SAPBEXexcGood1 2 3 2" xfId="18356" xr:uid="{00000000-0005-0000-0000-0000CA440000}"/>
    <cellStyle name="SAPBEXexcGood1 2 3 3" xfId="18357" xr:uid="{00000000-0005-0000-0000-0000CB440000}"/>
    <cellStyle name="SAPBEXexcGood1 2 3 3 2" xfId="20275" xr:uid="{00000000-0005-0000-0000-0000CB440000}"/>
    <cellStyle name="SAPBEXexcGood1 2 3 4" xfId="18358" xr:uid="{00000000-0005-0000-0000-0000CC440000}"/>
    <cellStyle name="SAPBEXexcGood1 2 4" xfId="18359" xr:uid="{00000000-0005-0000-0000-0000CD440000}"/>
    <cellStyle name="SAPBEXexcGood1 2 4 2" xfId="18360" xr:uid="{00000000-0005-0000-0000-0000CE440000}"/>
    <cellStyle name="SAPBEXexcGood1 2 4 2 2" xfId="20276" xr:uid="{00000000-0005-0000-0000-0000CE440000}"/>
    <cellStyle name="SAPBEXexcGood1 2 5" xfId="18361" xr:uid="{00000000-0005-0000-0000-0000CF440000}"/>
    <cellStyle name="SAPBEXexcGood1 2 5 2" xfId="20277" xr:uid="{00000000-0005-0000-0000-0000CF440000}"/>
    <cellStyle name="SAPBEXexcGood1 2 6" xfId="18362" xr:uid="{00000000-0005-0000-0000-0000D0440000}"/>
    <cellStyle name="SAPBEXexcGood1 2 7" xfId="18350" xr:uid="{00000000-0005-0000-0000-0000C4440000}"/>
    <cellStyle name="SAPBEXexcGood1 3" xfId="18363" xr:uid="{00000000-0005-0000-0000-0000D1440000}"/>
    <cellStyle name="SAPBEXexcGood1 3 2" xfId="18364" xr:uid="{00000000-0005-0000-0000-0000D2440000}"/>
    <cellStyle name="SAPBEXexcGood1 3 3" xfId="18365" xr:uid="{00000000-0005-0000-0000-0000D3440000}"/>
    <cellStyle name="SAPBEXexcGood1 3 3 2" xfId="20278" xr:uid="{00000000-0005-0000-0000-0000D3440000}"/>
    <cellStyle name="SAPBEXexcGood1 3 4" xfId="18366" xr:uid="{00000000-0005-0000-0000-0000D4440000}"/>
    <cellStyle name="SAPBEXexcGood1 3 4 2" xfId="20279" xr:uid="{00000000-0005-0000-0000-0000D4440000}"/>
    <cellStyle name="SAPBEXexcGood1 3 5" xfId="18367" xr:uid="{00000000-0005-0000-0000-0000D5440000}"/>
    <cellStyle name="SAPBEXexcGood1 4" xfId="18368" xr:uid="{00000000-0005-0000-0000-0000D6440000}"/>
    <cellStyle name="SAPBEXexcGood1 4 2" xfId="18369" xr:uid="{00000000-0005-0000-0000-0000D7440000}"/>
    <cellStyle name="SAPBEXexcGood1 4 2 2" xfId="20280" xr:uid="{00000000-0005-0000-0000-0000D7440000}"/>
    <cellStyle name="SAPBEXexcGood1 5" xfId="18370" xr:uid="{00000000-0005-0000-0000-0000D8440000}"/>
    <cellStyle name="SAPBEXexcGood1 5 2" xfId="20281" xr:uid="{00000000-0005-0000-0000-0000D8440000}"/>
    <cellStyle name="SAPBEXexcGood1 6" xfId="18371" xr:uid="{00000000-0005-0000-0000-0000D9440000}"/>
    <cellStyle name="SAPBEXexcGood1 7" xfId="18349" xr:uid="{00000000-0005-0000-0000-0000C3440000}"/>
    <cellStyle name="SAPBEXexcGood2" xfId="2676" xr:uid="{00000000-0005-0000-0000-00004C0A0000}"/>
    <cellStyle name="SAPBEXexcGood2 2" xfId="2677" xr:uid="{00000000-0005-0000-0000-00004D0A0000}"/>
    <cellStyle name="SAPBEXexcGood2 2 2" xfId="18374" xr:uid="{00000000-0005-0000-0000-0000DC440000}"/>
    <cellStyle name="SAPBEXexcGood2 2 2 2" xfId="18375" xr:uid="{00000000-0005-0000-0000-0000DD440000}"/>
    <cellStyle name="SAPBEXexcGood2 2 2 3" xfId="18376" xr:uid="{00000000-0005-0000-0000-0000DE440000}"/>
    <cellStyle name="SAPBEXexcGood2 2 2 3 2" xfId="20282" xr:uid="{00000000-0005-0000-0000-0000DE440000}"/>
    <cellStyle name="SAPBEXexcGood2 2 2 4" xfId="18377" xr:uid="{00000000-0005-0000-0000-0000DF440000}"/>
    <cellStyle name="SAPBEXexcGood2 2 3" xfId="18378" xr:uid="{00000000-0005-0000-0000-0000E0440000}"/>
    <cellStyle name="SAPBEXexcGood2 2 3 2" xfId="18379" xr:uid="{00000000-0005-0000-0000-0000E1440000}"/>
    <cellStyle name="SAPBEXexcGood2 2 3 3" xfId="18380" xr:uid="{00000000-0005-0000-0000-0000E2440000}"/>
    <cellStyle name="SAPBEXexcGood2 2 3 3 2" xfId="20283" xr:uid="{00000000-0005-0000-0000-0000E2440000}"/>
    <cellStyle name="SAPBEXexcGood2 2 3 4" xfId="18381" xr:uid="{00000000-0005-0000-0000-0000E3440000}"/>
    <cellStyle name="SAPBEXexcGood2 2 4" xfId="18382" xr:uid="{00000000-0005-0000-0000-0000E4440000}"/>
    <cellStyle name="SAPBEXexcGood2 2 4 2" xfId="18383" xr:uid="{00000000-0005-0000-0000-0000E5440000}"/>
    <cellStyle name="SAPBEXexcGood2 2 4 2 2" xfId="20284" xr:uid="{00000000-0005-0000-0000-0000E5440000}"/>
    <cellStyle name="SAPBEXexcGood2 2 5" xfId="18384" xr:uid="{00000000-0005-0000-0000-0000E6440000}"/>
    <cellStyle name="SAPBEXexcGood2 2 5 2" xfId="20285" xr:uid="{00000000-0005-0000-0000-0000E6440000}"/>
    <cellStyle name="SAPBEXexcGood2 2 6" xfId="18385" xr:uid="{00000000-0005-0000-0000-0000E7440000}"/>
    <cellStyle name="SAPBEXexcGood2 2 7" xfId="18373" xr:uid="{00000000-0005-0000-0000-0000DB440000}"/>
    <cellStyle name="SAPBEXexcGood2 3" xfId="18386" xr:uid="{00000000-0005-0000-0000-0000E8440000}"/>
    <cellStyle name="SAPBEXexcGood2 3 2" xfId="18387" xr:uid="{00000000-0005-0000-0000-0000E9440000}"/>
    <cellStyle name="SAPBEXexcGood2 3 3" xfId="18388" xr:uid="{00000000-0005-0000-0000-0000EA440000}"/>
    <cellStyle name="SAPBEXexcGood2 3 3 2" xfId="20286" xr:uid="{00000000-0005-0000-0000-0000EA440000}"/>
    <cellStyle name="SAPBEXexcGood2 3 4" xfId="18389" xr:uid="{00000000-0005-0000-0000-0000EB440000}"/>
    <cellStyle name="SAPBEXexcGood2 3 4 2" xfId="20287" xr:uid="{00000000-0005-0000-0000-0000EB440000}"/>
    <cellStyle name="SAPBEXexcGood2 3 5" xfId="18390" xr:uid="{00000000-0005-0000-0000-0000EC440000}"/>
    <cellStyle name="SAPBEXexcGood2 4" xfId="18391" xr:uid="{00000000-0005-0000-0000-0000ED440000}"/>
    <cellStyle name="SAPBEXexcGood2 4 2" xfId="18392" xr:uid="{00000000-0005-0000-0000-0000EE440000}"/>
    <cellStyle name="SAPBEXexcGood2 4 2 2" xfId="20288" xr:uid="{00000000-0005-0000-0000-0000EE440000}"/>
    <cellStyle name="SAPBEXexcGood2 5" xfId="18393" xr:uid="{00000000-0005-0000-0000-0000EF440000}"/>
    <cellStyle name="SAPBEXexcGood2 5 2" xfId="20289" xr:uid="{00000000-0005-0000-0000-0000EF440000}"/>
    <cellStyle name="SAPBEXexcGood2 6" xfId="18394" xr:uid="{00000000-0005-0000-0000-0000F0440000}"/>
    <cellStyle name="SAPBEXexcGood2 7" xfId="18372" xr:uid="{00000000-0005-0000-0000-0000DA440000}"/>
    <cellStyle name="SAPBEXexcGood3" xfId="2678" xr:uid="{00000000-0005-0000-0000-00004E0A0000}"/>
    <cellStyle name="SAPBEXexcGood3 2" xfId="2679" xr:uid="{00000000-0005-0000-0000-00004F0A0000}"/>
    <cellStyle name="SAPBEXexcGood3 2 2" xfId="18397" xr:uid="{00000000-0005-0000-0000-0000F3440000}"/>
    <cellStyle name="SAPBEXexcGood3 2 2 2" xfId="18398" xr:uid="{00000000-0005-0000-0000-0000F4440000}"/>
    <cellStyle name="SAPBEXexcGood3 2 2 3" xfId="18399" xr:uid="{00000000-0005-0000-0000-0000F5440000}"/>
    <cellStyle name="SAPBEXexcGood3 2 2 3 2" xfId="20290" xr:uid="{00000000-0005-0000-0000-0000F5440000}"/>
    <cellStyle name="SAPBEXexcGood3 2 2 4" xfId="18400" xr:uid="{00000000-0005-0000-0000-0000F6440000}"/>
    <cellStyle name="SAPBEXexcGood3 2 3" xfId="18401" xr:uid="{00000000-0005-0000-0000-0000F7440000}"/>
    <cellStyle name="SAPBEXexcGood3 2 3 2" xfId="18402" xr:uid="{00000000-0005-0000-0000-0000F8440000}"/>
    <cellStyle name="SAPBEXexcGood3 2 3 3" xfId="18403" xr:uid="{00000000-0005-0000-0000-0000F9440000}"/>
    <cellStyle name="SAPBEXexcGood3 2 3 3 2" xfId="20291" xr:uid="{00000000-0005-0000-0000-0000F9440000}"/>
    <cellStyle name="SAPBEXexcGood3 2 3 4" xfId="18404" xr:uid="{00000000-0005-0000-0000-0000FA440000}"/>
    <cellStyle name="SAPBEXexcGood3 2 4" xfId="18405" xr:uid="{00000000-0005-0000-0000-0000FB440000}"/>
    <cellStyle name="SAPBEXexcGood3 2 4 2" xfId="18406" xr:uid="{00000000-0005-0000-0000-0000FC440000}"/>
    <cellStyle name="SAPBEXexcGood3 2 4 2 2" xfId="20292" xr:uid="{00000000-0005-0000-0000-0000FC440000}"/>
    <cellStyle name="SAPBEXexcGood3 2 5" xfId="18407" xr:uid="{00000000-0005-0000-0000-0000FD440000}"/>
    <cellStyle name="SAPBEXexcGood3 2 5 2" xfId="20293" xr:uid="{00000000-0005-0000-0000-0000FD440000}"/>
    <cellStyle name="SAPBEXexcGood3 2 6" xfId="18408" xr:uid="{00000000-0005-0000-0000-0000FE440000}"/>
    <cellStyle name="SAPBEXexcGood3 2 7" xfId="18396" xr:uid="{00000000-0005-0000-0000-0000F2440000}"/>
    <cellStyle name="SAPBEXexcGood3 3" xfId="18409" xr:uid="{00000000-0005-0000-0000-0000FF440000}"/>
    <cellStyle name="SAPBEXexcGood3 3 2" xfId="18410" xr:uid="{00000000-0005-0000-0000-000000450000}"/>
    <cellStyle name="SAPBEXexcGood3 3 3" xfId="18411" xr:uid="{00000000-0005-0000-0000-000001450000}"/>
    <cellStyle name="SAPBEXexcGood3 3 3 2" xfId="20294" xr:uid="{00000000-0005-0000-0000-000001450000}"/>
    <cellStyle name="SAPBEXexcGood3 3 4" xfId="18412" xr:uid="{00000000-0005-0000-0000-000002450000}"/>
    <cellStyle name="SAPBEXexcGood3 3 4 2" xfId="20295" xr:uid="{00000000-0005-0000-0000-000002450000}"/>
    <cellStyle name="SAPBEXexcGood3 3 5" xfId="18413" xr:uid="{00000000-0005-0000-0000-000003450000}"/>
    <cellStyle name="SAPBEXexcGood3 4" xfId="18414" xr:uid="{00000000-0005-0000-0000-000004450000}"/>
    <cellStyle name="SAPBEXexcGood3 4 2" xfId="18415" xr:uid="{00000000-0005-0000-0000-000005450000}"/>
    <cellStyle name="SAPBEXexcGood3 4 2 2" xfId="20296" xr:uid="{00000000-0005-0000-0000-000005450000}"/>
    <cellStyle name="SAPBEXexcGood3 5" xfId="18416" xr:uid="{00000000-0005-0000-0000-000006450000}"/>
    <cellStyle name="SAPBEXexcGood3 5 2" xfId="20297" xr:uid="{00000000-0005-0000-0000-000006450000}"/>
    <cellStyle name="SAPBEXexcGood3 6" xfId="18417" xr:uid="{00000000-0005-0000-0000-000007450000}"/>
    <cellStyle name="SAPBEXexcGood3 7" xfId="18395" xr:uid="{00000000-0005-0000-0000-0000F1440000}"/>
    <cellStyle name="SAPBEXfilterDrill" xfId="2680" xr:uid="{00000000-0005-0000-0000-0000500A0000}"/>
    <cellStyle name="SAPBEXfilterDrill 2" xfId="2899" xr:uid="{00000000-0005-0000-0000-0000510A0000}"/>
    <cellStyle name="SAPBEXfilterDrill 2 2" xfId="18420" xr:uid="{00000000-0005-0000-0000-00000A450000}"/>
    <cellStyle name="SAPBEXfilterDrill 2 2 2" xfId="18421" xr:uid="{00000000-0005-0000-0000-00000B450000}"/>
    <cellStyle name="SAPBEXfilterDrill 2 2 3" xfId="18422" xr:uid="{00000000-0005-0000-0000-00000C450000}"/>
    <cellStyle name="SAPBEXfilterDrill 2 2 3 2" xfId="20298" xr:uid="{00000000-0005-0000-0000-00000C450000}"/>
    <cellStyle name="SAPBEXfilterDrill 2 2 4" xfId="18423" xr:uid="{00000000-0005-0000-0000-00000D450000}"/>
    <cellStyle name="SAPBEXfilterDrill 2 3" xfId="18424" xr:uid="{00000000-0005-0000-0000-00000E450000}"/>
    <cellStyle name="SAPBEXfilterDrill 2 3 2" xfId="18425" xr:uid="{00000000-0005-0000-0000-00000F450000}"/>
    <cellStyle name="SAPBEXfilterDrill 2 3 3" xfId="18426" xr:uid="{00000000-0005-0000-0000-000010450000}"/>
    <cellStyle name="SAPBEXfilterDrill 2 3 3 2" xfId="20299" xr:uid="{00000000-0005-0000-0000-000010450000}"/>
    <cellStyle name="SAPBEXfilterDrill 2 3 4" xfId="18427" xr:uid="{00000000-0005-0000-0000-000011450000}"/>
    <cellStyle name="SAPBEXfilterDrill 2 4" xfId="18428" xr:uid="{00000000-0005-0000-0000-000012450000}"/>
    <cellStyle name="SAPBEXfilterDrill 2 4 2" xfId="18429" xr:uid="{00000000-0005-0000-0000-000013450000}"/>
    <cellStyle name="SAPBEXfilterDrill 2 4 2 2" xfId="20300" xr:uid="{00000000-0005-0000-0000-000013450000}"/>
    <cellStyle name="SAPBEXfilterDrill 2 5" xfId="18430" xr:uid="{00000000-0005-0000-0000-000014450000}"/>
    <cellStyle name="SAPBEXfilterDrill 2 5 2" xfId="20301" xr:uid="{00000000-0005-0000-0000-000014450000}"/>
    <cellStyle name="SAPBEXfilterDrill 2 6" xfId="18431" xr:uid="{00000000-0005-0000-0000-000015450000}"/>
    <cellStyle name="SAPBEXfilterDrill 2 7" xfId="18419" xr:uid="{00000000-0005-0000-0000-000009450000}"/>
    <cellStyle name="SAPBEXfilterDrill 3" xfId="18432" xr:uid="{00000000-0005-0000-0000-000016450000}"/>
    <cellStyle name="SAPBEXfilterDrill 3 2" xfId="18433" xr:uid="{00000000-0005-0000-0000-000017450000}"/>
    <cellStyle name="SAPBEXfilterDrill 3 3" xfId="18434" xr:uid="{00000000-0005-0000-0000-000018450000}"/>
    <cellStyle name="SAPBEXfilterDrill 3 3 2" xfId="20302" xr:uid="{00000000-0005-0000-0000-000018450000}"/>
    <cellStyle name="SAPBEXfilterDrill 3 4" xfId="18435" xr:uid="{00000000-0005-0000-0000-000019450000}"/>
    <cellStyle name="SAPBEXfilterDrill 3 4 2" xfId="20303" xr:uid="{00000000-0005-0000-0000-000019450000}"/>
    <cellStyle name="SAPBEXfilterDrill 3 5" xfId="18436" xr:uid="{00000000-0005-0000-0000-00001A450000}"/>
    <cellStyle name="SAPBEXfilterDrill 4" xfId="18437" xr:uid="{00000000-0005-0000-0000-00001B450000}"/>
    <cellStyle name="SAPBEXfilterDrill 4 2" xfId="18438" xr:uid="{00000000-0005-0000-0000-00001C450000}"/>
    <cellStyle name="SAPBEXfilterDrill 4 2 2" xfId="20304" xr:uid="{00000000-0005-0000-0000-00001C450000}"/>
    <cellStyle name="SAPBEXfilterDrill 5" xfId="18439" xr:uid="{00000000-0005-0000-0000-00001D450000}"/>
    <cellStyle name="SAPBEXfilterDrill 6" xfId="18440" xr:uid="{00000000-0005-0000-0000-00001E450000}"/>
    <cellStyle name="SAPBEXfilterDrill 7" xfId="18418" xr:uid="{00000000-0005-0000-0000-000008450000}"/>
    <cellStyle name="SAPBEXfilterItem" xfId="2681" xr:uid="{00000000-0005-0000-0000-0000520A0000}"/>
    <cellStyle name="SAPBEXfilterItem 2" xfId="2900" xr:uid="{00000000-0005-0000-0000-0000530A0000}"/>
    <cellStyle name="SAPBEXfilterItem 2 2" xfId="18443" xr:uid="{00000000-0005-0000-0000-000021450000}"/>
    <cellStyle name="SAPBEXfilterItem 2 2 2" xfId="18444" xr:uid="{00000000-0005-0000-0000-000022450000}"/>
    <cellStyle name="SAPBEXfilterItem 2 2 2 2" xfId="20305" xr:uid="{00000000-0005-0000-0000-000022450000}"/>
    <cellStyle name="SAPBEXfilterItem 2 3" xfId="18445" xr:uid="{00000000-0005-0000-0000-000023450000}"/>
    <cellStyle name="SAPBEXfilterItem 2 3 2" xfId="20306" xr:uid="{00000000-0005-0000-0000-000023450000}"/>
    <cellStyle name="SAPBEXfilterItem 2 4" xfId="18446" xr:uid="{00000000-0005-0000-0000-000024450000}"/>
    <cellStyle name="SAPBEXfilterItem 2 5" xfId="18442" xr:uid="{00000000-0005-0000-0000-000020450000}"/>
    <cellStyle name="SAPBEXfilterItem 3" xfId="18447" xr:uid="{00000000-0005-0000-0000-000025450000}"/>
    <cellStyle name="SAPBEXfilterItem 3 2" xfId="18448" xr:uid="{00000000-0005-0000-0000-000026450000}"/>
    <cellStyle name="SAPBEXfilterItem 3 3" xfId="18449" xr:uid="{00000000-0005-0000-0000-000027450000}"/>
    <cellStyle name="SAPBEXfilterItem 3 3 2" xfId="20307" xr:uid="{00000000-0005-0000-0000-000027450000}"/>
    <cellStyle name="SAPBEXfilterItem 3 4" xfId="18450" xr:uid="{00000000-0005-0000-0000-000028450000}"/>
    <cellStyle name="SAPBEXfilterItem 3 4 2" xfId="20308" xr:uid="{00000000-0005-0000-0000-000028450000}"/>
    <cellStyle name="SAPBEXfilterItem 3 5" xfId="18451" xr:uid="{00000000-0005-0000-0000-000029450000}"/>
    <cellStyle name="SAPBEXfilterItem 4" xfId="18452" xr:uid="{00000000-0005-0000-0000-00002A450000}"/>
    <cellStyle name="SAPBEXfilterItem 4 2" xfId="18453" xr:uid="{00000000-0005-0000-0000-00002B450000}"/>
    <cellStyle name="SAPBEXfilterItem 4 2 2" xfId="20309" xr:uid="{00000000-0005-0000-0000-00002B450000}"/>
    <cellStyle name="SAPBEXfilterItem 5" xfId="18454" xr:uid="{00000000-0005-0000-0000-00002C450000}"/>
    <cellStyle name="SAPBEXfilterItem 6" xfId="18455" xr:uid="{00000000-0005-0000-0000-00002D450000}"/>
    <cellStyle name="SAPBEXfilterItem 7" xfId="18441" xr:uid="{00000000-0005-0000-0000-00001F450000}"/>
    <cellStyle name="SAPBEXfilterText" xfId="2682" xr:uid="{00000000-0005-0000-0000-0000540A0000}"/>
    <cellStyle name="SAPBEXfilterText 2" xfId="18457" xr:uid="{00000000-0005-0000-0000-00002F450000}"/>
    <cellStyle name="SAPBEXfilterText 2 2" xfId="18458" xr:uid="{00000000-0005-0000-0000-000030450000}"/>
    <cellStyle name="SAPBEXfilterText 2 2 2" xfId="18459" xr:uid="{00000000-0005-0000-0000-000031450000}"/>
    <cellStyle name="SAPBEXfilterText 2 2 2 2" xfId="20310" xr:uid="{00000000-0005-0000-0000-000031450000}"/>
    <cellStyle name="SAPBEXfilterText 2 3" xfId="18460" xr:uid="{00000000-0005-0000-0000-000032450000}"/>
    <cellStyle name="SAPBEXfilterText 2 3 2" xfId="20311" xr:uid="{00000000-0005-0000-0000-000032450000}"/>
    <cellStyle name="SAPBEXfilterText 2 4" xfId="18461" xr:uid="{00000000-0005-0000-0000-000033450000}"/>
    <cellStyle name="SAPBEXfilterText 3" xfId="18462" xr:uid="{00000000-0005-0000-0000-000034450000}"/>
    <cellStyle name="SAPBEXfilterText 3 2" xfId="18463" xr:uid="{00000000-0005-0000-0000-000035450000}"/>
    <cellStyle name="SAPBEXfilterText 4" xfId="18464" xr:uid="{00000000-0005-0000-0000-000036450000}"/>
    <cellStyle name="SAPBEXfilterText 5" xfId="18465" xr:uid="{00000000-0005-0000-0000-000037450000}"/>
    <cellStyle name="SAPBEXfilterText 6" xfId="18466" xr:uid="{00000000-0005-0000-0000-000038450000}"/>
    <cellStyle name="SAPBEXfilterText 7" xfId="18456" xr:uid="{00000000-0005-0000-0000-00002E450000}"/>
    <cellStyle name="SAPBEXformats" xfId="2683" xr:uid="{00000000-0005-0000-0000-0000550A0000}"/>
    <cellStyle name="SAPBEXformats 2" xfId="2684" xr:uid="{00000000-0005-0000-0000-0000560A0000}"/>
    <cellStyle name="SAPBEXformats 2 2" xfId="18469" xr:uid="{00000000-0005-0000-0000-00003B450000}"/>
    <cellStyle name="SAPBEXformats 2 2 2" xfId="18470" xr:uid="{00000000-0005-0000-0000-00003C450000}"/>
    <cellStyle name="SAPBEXformats 2 2 3" xfId="18471" xr:uid="{00000000-0005-0000-0000-00003D450000}"/>
    <cellStyle name="SAPBEXformats 2 2 3 2" xfId="20312" xr:uid="{00000000-0005-0000-0000-00003D450000}"/>
    <cellStyle name="SAPBEXformats 2 2 4" xfId="18472" xr:uid="{00000000-0005-0000-0000-00003E450000}"/>
    <cellStyle name="SAPBEXformats 2 3" xfId="18473" xr:uid="{00000000-0005-0000-0000-00003F450000}"/>
    <cellStyle name="SAPBEXformats 2 3 2" xfId="18474" xr:uid="{00000000-0005-0000-0000-000040450000}"/>
    <cellStyle name="SAPBEXformats 2 3 3" xfId="18475" xr:uid="{00000000-0005-0000-0000-000041450000}"/>
    <cellStyle name="SAPBEXformats 2 3 3 2" xfId="20313" xr:uid="{00000000-0005-0000-0000-000041450000}"/>
    <cellStyle name="SAPBEXformats 2 3 4" xfId="18476" xr:uid="{00000000-0005-0000-0000-000042450000}"/>
    <cellStyle name="SAPBEXformats 2 4" xfId="18477" xr:uid="{00000000-0005-0000-0000-000043450000}"/>
    <cellStyle name="SAPBEXformats 2 4 2" xfId="18478" xr:uid="{00000000-0005-0000-0000-000044450000}"/>
    <cellStyle name="SAPBEXformats 2 4 2 2" xfId="20314" xr:uid="{00000000-0005-0000-0000-000044450000}"/>
    <cellStyle name="SAPBEXformats 2 5" xfId="18479" xr:uid="{00000000-0005-0000-0000-000045450000}"/>
    <cellStyle name="SAPBEXformats 2 5 2" xfId="20315" xr:uid="{00000000-0005-0000-0000-000045450000}"/>
    <cellStyle name="SAPBEXformats 2 6" xfId="18480" xr:uid="{00000000-0005-0000-0000-000046450000}"/>
    <cellStyle name="SAPBEXformats 2 7" xfId="18468" xr:uid="{00000000-0005-0000-0000-00003A450000}"/>
    <cellStyle name="SAPBEXformats 3" xfId="18481" xr:uid="{00000000-0005-0000-0000-000047450000}"/>
    <cellStyle name="SAPBEXformats 3 2" xfId="18482" xr:uid="{00000000-0005-0000-0000-000048450000}"/>
    <cellStyle name="SAPBEXformats 3 2 2" xfId="18483" xr:uid="{00000000-0005-0000-0000-000049450000}"/>
    <cellStyle name="SAPBEXformats 3 2 2 2" xfId="20316" xr:uid="{00000000-0005-0000-0000-000049450000}"/>
    <cellStyle name="SAPBEXformats 3 3" xfId="18484" xr:uid="{00000000-0005-0000-0000-00004A450000}"/>
    <cellStyle name="SAPBEXformats 3 3 2" xfId="18485" xr:uid="{00000000-0005-0000-0000-00004B450000}"/>
    <cellStyle name="SAPBEXformats 3 3 2 2" xfId="20318" xr:uid="{00000000-0005-0000-0000-00004B450000}"/>
    <cellStyle name="SAPBEXformats 3 3 3" xfId="20317" xr:uid="{00000000-0005-0000-0000-00004A450000}"/>
    <cellStyle name="SAPBEXformats 3 4" xfId="18486" xr:uid="{00000000-0005-0000-0000-00004C450000}"/>
    <cellStyle name="SAPBEXformats 3 4 2" xfId="20319" xr:uid="{00000000-0005-0000-0000-00004C450000}"/>
    <cellStyle name="SAPBEXformats 3 5" xfId="18487" xr:uid="{00000000-0005-0000-0000-00004D450000}"/>
    <cellStyle name="SAPBEXformats 4" xfId="18488" xr:uid="{00000000-0005-0000-0000-00004E450000}"/>
    <cellStyle name="SAPBEXformats 4 2" xfId="18489" xr:uid="{00000000-0005-0000-0000-00004F450000}"/>
    <cellStyle name="SAPBEXformats 4 2 2" xfId="20320" xr:uid="{00000000-0005-0000-0000-00004F450000}"/>
    <cellStyle name="SAPBEXformats 5" xfId="18490" xr:uid="{00000000-0005-0000-0000-000050450000}"/>
    <cellStyle name="SAPBEXformats 5 2" xfId="18491" xr:uid="{00000000-0005-0000-0000-000051450000}"/>
    <cellStyle name="SAPBEXformats 5 2 2" xfId="20322" xr:uid="{00000000-0005-0000-0000-000051450000}"/>
    <cellStyle name="SAPBEXformats 5 3" xfId="20321" xr:uid="{00000000-0005-0000-0000-000050450000}"/>
    <cellStyle name="SAPBEXformats 6" xfId="18492" xr:uid="{00000000-0005-0000-0000-000052450000}"/>
    <cellStyle name="SAPBEXformats 7" xfId="18467" xr:uid="{00000000-0005-0000-0000-000039450000}"/>
    <cellStyle name="SAPBEXheaderData" xfId="2685" xr:uid="{00000000-0005-0000-0000-0000570A0000}"/>
    <cellStyle name="SAPBEXheaderData 2" xfId="18494" xr:uid="{00000000-0005-0000-0000-000054450000}"/>
    <cellStyle name="SAPBEXheaderData 2 2" xfId="18495" xr:uid="{00000000-0005-0000-0000-000055450000}"/>
    <cellStyle name="SAPBEXheaderData 3" xfId="18496" xr:uid="{00000000-0005-0000-0000-000056450000}"/>
    <cellStyle name="SAPBEXheaderData 4" xfId="18493" xr:uid="{00000000-0005-0000-0000-000053450000}"/>
    <cellStyle name="SAPBEXheaderItem" xfId="2686" xr:uid="{00000000-0005-0000-0000-0000580A0000}"/>
    <cellStyle name="SAPBEXheaderItem 2" xfId="2687" xr:uid="{00000000-0005-0000-0000-0000590A0000}"/>
    <cellStyle name="SAPBEXheaderItem 2 2" xfId="18499" xr:uid="{00000000-0005-0000-0000-000059450000}"/>
    <cellStyle name="SAPBEXheaderItem 2 2 2" xfId="18500" xr:uid="{00000000-0005-0000-0000-00005A450000}"/>
    <cellStyle name="SAPBEXheaderItem 2 2 3" xfId="18501" xr:uid="{00000000-0005-0000-0000-00005B450000}"/>
    <cellStyle name="SAPBEXheaderItem 2 2 3 2" xfId="20323" xr:uid="{00000000-0005-0000-0000-00005B450000}"/>
    <cellStyle name="SAPBEXheaderItem 2 2 4" xfId="18502" xr:uid="{00000000-0005-0000-0000-00005C450000}"/>
    <cellStyle name="SAPBEXheaderItem 2 3" xfId="18503" xr:uid="{00000000-0005-0000-0000-00005D450000}"/>
    <cellStyle name="SAPBEXheaderItem 2 3 2" xfId="18504" xr:uid="{00000000-0005-0000-0000-00005E450000}"/>
    <cellStyle name="SAPBEXheaderItem 2 3 3" xfId="18505" xr:uid="{00000000-0005-0000-0000-00005F450000}"/>
    <cellStyle name="SAPBEXheaderItem 2 3 3 2" xfId="20324" xr:uid="{00000000-0005-0000-0000-00005F450000}"/>
    <cellStyle name="SAPBEXheaderItem 2 3 4" xfId="18506" xr:uid="{00000000-0005-0000-0000-000060450000}"/>
    <cellStyle name="SAPBEXheaderItem 2 4" xfId="18507" xr:uid="{00000000-0005-0000-0000-000061450000}"/>
    <cellStyle name="SAPBEXheaderItem 2 4 2" xfId="18508" xr:uid="{00000000-0005-0000-0000-000062450000}"/>
    <cellStyle name="SAPBEXheaderItem 2 4 2 2" xfId="18509" xr:uid="{00000000-0005-0000-0000-000063450000}"/>
    <cellStyle name="SAPBEXheaderItem 2 4 3" xfId="18510" xr:uid="{00000000-0005-0000-0000-000064450000}"/>
    <cellStyle name="SAPBEXheaderItem 2 5" xfId="18511" xr:uid="{00000000-0005-0000-0000-000065450000}"/>
    <cellStyle name="SAPBEXheaderItem 2 5 2" xfId="18512" xr:uid="{00000000-0005-0000-0000-000066450000}"/>
    <cellStyle name="SAPBEXheaderItem 2 5 2 2" xfId="20325" xr:uid="{00000000-0005-0000-0000-000066450000}"/>
    <cellStyle name="SAPBEXheaderItem 2 6" xfId="18513" xr:uid="{00000000-0005-0000-0000-000067450000}"/>
    <cellStyle name="SAPBEXheaderItem 2 6 2" xfId="20326" xr:uid="{00000000-0005-0000-0000-000067450000}"/>
    <cellStyle name="SAPBEXheaderItem 2 7" xfId="18514" xr:uid="{00000000-0005-0000-0000-000068450000}"/>
    <cellStyle name="SAPBEXheaderItem 2 8" xfId="18498" xr:uid="{00000000-0005-0000-0000-000058450000}"/>
    <cellStyle name="SAPBEXheaderItem 3" xfId="18515" xr:uid="{00000000-0005-0000-0000-000069450000}"/>
    <cellStyle name="SAPBEXheaderItem 3 2" xfId="18516" xr:uid="{00000000-0005-0000-0000-00006A450000}"/>
    <cellStyle name="SAPBEXheaderItem 3 3" xfId="18517" xr:uid="{00000000-0005-0000-0000-00006B450000}"/>
    <cellStyle name="SAPBEXheaderItem 3 4" xfId="18518" xr:uid="{00000000-0005-0000-0000-00006C450000}"/>
    <cellStyle name="SAPBEXheaderItem 3 4 2" xfId="20327" xr:uid="{00000000-0005-0000-0000-00006C450000}"/>
    <cellStyle name="SAPBEXheaderItem 3 5" xfId="18519" xr:uid="{00000000-0005-0000-0000-00006D450000}"/>
    <cellStyle name="SAPBEXheaderItem 4" xfId="18520" xr:uid="{00000000-0005-0000-0000-00006E450000}"/>
    <cellStyle name="SAPBEXheaderItem 4 2" xfId="18521" xr:uid="{00000000-0005-0000-0000-00006F450000}"/>
    <cellStyle name="SAPBEXheaderItem 4 2 2" xfId="20328" xr:uid="{00000000-0005-0000-0000-00006F450000}"/>
    <cellStyle name="SAPBEXheaderItem 5" xfId="18522" xr:uid="{00000000-0005-0000-0000-000070450000}"/>
    <cellStyle name="SAPBEXheaderItem 6" xfId="18523" xr:uid="{00000000-0005-0000-0000-000071450000}"/>
    <cellStyle name="SAPBEXheaderItem 7" xfId="18497" xr:uid="{00000000-0005-0000-0000-000057450000}"/>
    <cellStyle name="SAPBEXheaderItem_2010-2012 Program Workbook Completed_Incent_V2" xfId="2688" xr:uid="{00000000-0005-0000-0000-00005A0A0000}"/>
    <cellStyle name="SAPBEXheaderText" xfId="2689" xr:uid="{00000000-0005-0000-0000-00005B0A0000}"/>
    <cellStyle name="SAPBEXheaderText 2" xfId="2690" xr:uid="{00000000-0005-0000-0000-00005C0A0000}"/>
    <cellStyle name="SAPBEXheaderText 2 2" xfId="18526" xr:uid="{00000000-0005-0000-0000-000075450000}"/>
    <cellStyle name="SAPBEXheaderText 2 2 2" xfId="18527" xr:uid="{00000000-0005-0000-0000-000076450000}"/>
    <cellStyle name="SAPBEXheaderText 2 2 3" xfId="18528" xr:uid="{00000000-0005-0000-0000-000077450000}"/>
    <cellStyle name="SAPBEXheaderText 2 2 3 2" xfId="20329" xr:uid="{00000000-0005-0000-0000-000077450000}"/>
    <cellStyle name="SAPBEXheaderText 2 2 4" xfId="18529" xr:uid="{00000000-0005-0000-0000-000078450000}"/>
    <cellStyle name="SAPBEXheaderText 2 3" xfId="18530" xr:uid="{00000000-0005-0000-0000-000079450000}"/>
    <cellStyle name="SAPBEXheaderText 2 3 2" xfId="18531" xr:uid="{00000000-0005-0000-0000-00007A450000}"/>
    <cellStyle name="SAPBEXheaderText 2 3 3" xfId="18532" xr:uid="{00000000-0005-0000-0000-00007B450000}"/>
    <cellStyle name="SAPBEXheaderText 2 3 3 2" xfId="20330" xr:uid="{00000000-0005-0000-0000-00007B450000}"/>
    <cellStyle name="SAPBEXheaderText 2 3 4" xfId="18533" xr:uid="{00000000-0005-0000-0000-00007C450000}"/>
    <cellStyle name="SAPBEXheaderText 2 4" xfId="18534" xr:uid="{00000000-0005-0000-0000-00007D450000}"/>
    <cellStyle name="SAPBEXheaderText 2 4 2" xfId="18535" xr:uid="{00000000-0005-0000-0000-00007E450000}"/>
    <cellStyle name="SAPBEXheaderText 2 4 2 2" xfId="18536" xr:uid="{00000000-0005-0000-0000-00007F450000}"/>
    <cellStyle name="SAPBEXheaderText 2 4 3" xfId="18537" xr:uid="{00000000-0005-0000-0000-000080450000}"/>
    <cellStyle name="SAPBEXheaderText 2 5" xfId="18538" xr:uid="{00000000-0005-0000-0000-000081450000}"/>
    <cellStyle name="SAPBEXheaderText 2 5 2" xfId="18539" xr:uid="{00000000-0005-0000-0000-000082450000}"/>
    <cellStyle name="SAPBEXheaderText 2 5 2 2" xfId="20331" xr:uid="{00000000-0005-0000-0000-000082450000}"/>
    <cellStyle name="SAPBEXheaderText 2 6" xfId="18540" xr:uid="{00000000-0005-0000-0000-000083450000}"/>
    <cellStyle name="SAPBEXheaderText 2 6 2" xfId="20332" xr:uid="{00000000-0005-0000-0000-000083450000}"/>
    <cellStyle name="SAPBEXheaderText 2 7" xfId="18541" xr:uid="{00000000-0005-0000-0000-000084450000}"/>
    <cellStyle name="SAPBEXheaderText 2 8" xfId="18525" xr:uid="{00000000-0005-0000-0000-000074450000}"/>
    <cellStyle name="SAPBEXheaderText 3" xfId="18542" xr:uid="{00000000-0005-0000-0000-000085450000}"/>
    <cellStyle name="SAPBEXheaderText 3 2" xfId="18543" xr:uid="{00000000-0005-0000-0000-000086450000}"/>
    <cellStyle name="SAPBEXheaderText 3 3" xfId="18544" xr:uid="{00000000-0005-0000-0000-000087450000}"/>
    <cellStyle name="SAPBEXheaderText 3 4" xfId="18545" xr:uid="{00000000-0005-0000-0000-000088450000}"/>
    <cellStyle name="SAPBEXheaderText 3 4 2" xfId="20333" xr:uid="{00000000-0005-0000-0000-000088450000}"/>
    <cellStyle name="SAPBEXheaderText 3 5" xfId="18546" xr:uid="{00000000-0005-0000-0000-000089450000}"/>
    <cellStyle name="SAPBEXheaderText 4" xfId="18547" xr:uid="{00000000-0005-0000-0000-00008A450000}"/>
    <cellStyle name="SAPBEXheaderText 4 2" xfId="18548" xr:uid="{00000000-0005-0000-0000-00008B450000}"/>
    <cellStyle name="SAPBEXheaderText 4 2 2" xfId="20334" xr:uid="{00000000-0005-0000-0000-00008B450000}"/>
    <cellStyle name="SAPBEXheaderText 5" xfId="18549" xr:uid="{00000000-0005-0000-0000-00008C450000}"/>
    <cellStyle name="SAPBEXheaderText 6" xfId="18550" xr:uid="{00000000-0005-0000-0000-00008D450000}"/>
    <cellStyle name="SAPBEXheaderText 7" xfId="18524" xr:uid="{00000000-0005-0000-0000-000073450000}"/>
    <cellStyle name="SAPBEXheaderText_2010-2012 Program Workbook Completed_Incent_V2" xfId="2691" xr:uid="{00000000-0005-0000-0000-00005D0A0000}"/>
    <cellStyle name="SAPBEXHLevel0" xfId="2692" xr:uid="{00000000-0005-0000-0000-00005E0A0000}"/>
    <cellStyle name="SAPBEXHLevel0 2" xfId="2693" xr:uid="{00000000-0005-0000-0000-00005F0A0000}"/>
    <cellStyle name="SAPBEXHLevel0 2 2" xfId="2902" xr:uid="{00000000-0005-0000-0000-0000600A0000}"/>
    <cellStyle name="SAPBEXHLevel0 2 2 2" xfId="18554" xr:uid="{00000000-0005-0000-0000-000092450000}"/>
    <cellStyle name="SAPBEXHLevel0 2 2 3" xfId="18555" xr:uid="{00000000-0005-0000-0000-000093450000}"/>
    <cellStyle name="SAPBEXHLevel0 2 2 3 2" xfId="20335" xr:uid="{00000000-0005-0000-0000-000093450000}"/>
    <cellStyle name="SAPBEXHLevel0 2 2 4" xfId="18556" xr:uid="{00000000-0005-0000-0000-000094450000}"/>
    <cellStyle name="SAPBEXHLevel0 2 2 5" xfId="18553" xr:uid="{00000000-0005-0000-0000-000091450000}"/>
    <cellStyle name="SAPBEXHLevel0 2 3" xfId="18557" xr:uid="{00000000-0005-0000-0000-000095450000}"/>
    <cellStyle name="SAPBEXHLevel0 2 3 2" xfId="18558" xr:uid="{00000000-0005-0000-0000-000096450000}"/>
    <cellStyle name="SAPBEXHLevel0 2 3 3" xfId="18559" xr:uid="{00000000-0005-0000-0000-000097450000}"/>
    <cellStyle name="SAPBEXHLevel0 2 3 3 2" xfId="20336" xr:uid="{00000000-0005-0000-0000-000097450000}"/>
    <cellStyle name="SAPBEXHLevel0 2 3 4" xfId="18560" xr:uid="{00000000-0005-0000-0000-000098450000}"/>
    <cellStyle name="SAPBEXHLevel0 2 4" xfId="18561" xr:uid="{00000000-0005-0000-0000-000099450000}"/>
    <cellStyle name="SAPBEXHLevel0 2 4 2" xfId="18562" xr:uid="{00000000-0005-0000-0000-00009A450000}"/>
    <cellStyle name="SAPBEXHLevel0 2 4 2 2" xfId="18563" xr:uid="{00000000-0005-0000-0000-00009B450000}"/>
    <cellStyle name="SAPBEXHLevel0 2 4 2 3" xfId="20337" xr:uid="{00000000-0005-0000-0000-00009A450000}"/>
    <cellStyle name="SAPBEXHLevel0 2 4 3" xfId="18564" xr:uid="{00000000-0005-0000-0000-00009C450000}"/>
    <cellStyle name="SAPBEXHLevel0 2 5" xfId="18565" xr:uid="{00000000-0005-0000-0000-00009D450000}"/>
    <cellStyle name="SAPBEXHLevel0 2 5 2" xfId="18566" xr:uid="{00000000-0005-0000-0000-00009E450000}"/>
    <cellStyle name="SAPBEXHLevel0 2 5 2 2" xfId="20338" xr:uid="{00000000-0005-0000-0000-00009E450000}"/>
    <cellStyle name="SAPBEXHLevel0 2 6" xfId="18567" xr:uid="{00000000-0005-0000-0000-00009F450000}"/>
    <cellStyle name="SAPBEXHLevel0 2 6 2" xfId="20339" xr:uid="{00000000-0005-0000-0000-00009F450000}"/>
    <cellStyle name="SAPBEXHLevel0 2 7" xfId="18568" xr:uid="{00000000-0005-0000-0000-0000A0450000}"/>
    <cellStyle name="SAPBEXHLevel0 2 8" xfId="18552" xr:uid="{00000000-0005-0000-0000-000090450000}"/>
    <cellStyle name="SAPBEXHLevel0 3" xfId="2901" xr:uid="{00000000-0005-0000-0000-0000610A0000}"/>
    <cellStyle name="SAPBEXHLevel0 3 2" xfId="18570" xr:uid="{00000000-0005-0000-0000-0000A2450000}"/>
    <cellStyle name="SAPBEXHLevel0 3 2 2" xfId="18571" xr:uid="{00000000-0005-0000-0000-0000A3450000}"/>
    <cellStyle name="SAPBEXHLevel0 3 2 2 2" xfId="20340" xr:uid="{00000000-0005-0000-0000-0000A3450000}"/>
    <cellStyle name="SAPBEXHLevel0 3 3" xfId="18572" xr:uid="{00000000-0005-0000-0000-0000A4450000}"/>
    <cellStyle name="SAPBEXHLevel0 3 3 2" xfId="18573" xr:uid="{00000000-0005-0000-0000-0000A5450000}"/>
    <cellStyle name="SAPBEXHLevel0 3 3 2 2" xfId="20342" xr:uid="{00000000-0005-0000-0000-0000A5450000}"/>
    <cellStyle name="SAPBEXHLevel0 3 3 3" xfId="20341" xr:uid="{00000000-0005-0000-0000-0000A4450000}"/>
    <cellStyle name="SAPBEXHLevel0 3 4" xfId="18574" xr:uid="{00000000-0005-0000-0000-0000A6450000}"/>
    <cellStyle name="SAPBEXHLevel0 3 4 2" xfId="20343" xr:uid="{00000000-0005-0000-0000-0000A6450000}"/>
    <cellStyle name="SAPBEXHLevel0 3 5" xfId="18575" xr:uid="{00000000-0005-0000-0000-0000A7450000}"/>
    <cellStyle name="SAPBEXHLevel0 3 6" xfId="18569" xr:uid="{00000000-0005-0000-0000-0000A1450000}"/>
    <cellStyle name="SAPBEXHLevel0 4" xfId="18576" xr:uid="{00000000-0005-0000-0000-0000A8450000}"/>
    <cellStyle name="SAPBEXHLevel0 4 2" xfId="18577" xr:uid="{00000000-0005-0000-0000-0000A9450000}"/>
    <cellStyle name="SAPBEXHLevel0 4 2 2" xfId="20344" xr:uid="{00000000-0005-0000-0000-0000A9450000}"/>
    <cellStyle name="SAPBEXHLevel0 5" xfId="18578" xr:uid="{00000000-0005-0000-0000-0000AA450000}"/>
    <cellStyle name="SAPBEXHLevel0 5 2" xfId="18579" xr:uid="{00000000-0005-0000-0000-0000AB450000}"/>
    <cellStyle name="SAPBEXHLevel0 5 2 2" xfId="20346" xr:uid="{00000000-0005-0000-0000-0000AB450000}"/>
    <cellStyle name="SAPBEXHLevel0 5 3" xfId="20345" xr:uid="{00000000-0005-0000-0000-0000AA450000}"/>
    <cellStyle name="SAPBEXHLevel0 6" xfId="18580" xr:uid="{00000000-0005-0000-0000-0000AC450000}"/>
    <cellStyle name="SAPBEXHLevel0 7" xfId="18551" xr:uid="{00000000-0005-0000-0000-00008F450000}"/>
    <cellStyle name="SAPBEXHLevel0_2010-2012 Program Workbook Completed_Incent_V2" xfId="2694" xr:uid="{00000000-0005-0000-0000-0000620A0000}"/>
    <cellStyle name="SAPBEXHLevel0X" xfId="2695" xr:uid="{00000000-0005-0000-0000-0000630A0000}"/>
    <cellStyle name="SAPBEXHLevel0X 2" xfId="2696" xr:uid="{00000000-0005-0000-0000-0000640A0000}"/>
    <cellStyle name="SAPBEXHLevel0X 2 2" xfId="2697" xr:uid="{00000000-0005-0000-0000-0000650A0000}"/>
    <cellStyle name="SAPBEXHLevel0X 2 2 2" xfId="18584" xr:uid="{00000000-0005-0000-0000-0000B1450000}"/>
    <cellStyle name="SAPBEXHLevel0X 2 2 2 2" xfId="18585" xr:uid="{00000000-0005-0000-0000-0000B2450000}"/>
    <cellStyle name="SAPBEXHLevel0X 2 2 2 3" xfId="20347" xr:uid="{00000000-0005-0000-0000-0000B1450000}"/>
    <cellStyle name="SAPBEXHLevel0X 2 2 3" xfId="18586" xr:uid="{00000000-0005-0000-0000-0000B3450000}"/>
    <cellStyle name="SAPBEXHLevel0X 2 2 4" xfId="18583" xr:uid="{00000000-0005-0000-0000-0000B0450000}"/>
    <cellStyle name="SAPBEXHLevel0X 2 3" xfId="18587" xr:uid="{00000000-0005-0000-0000-0000B4450000}"/>
    <cellStyle name="SAPBEXHLevel0X 2 3 2" xfId="18588" xr:uid="{00000000-0005-0000-0000-0000B5450000}"/>
    <cellStyle name="SAPBEXHLevel0X 2 3 2 2" xfId="20348" xr:uid="{00000000-0005-0000-0000-0000B5450000}"/>
    <cellStyle name="SAPBEXHLevel0X 2 4" xfId="18589" xr:uid="{00000000-0005-0000-0000-0000B6450000}"/>
    <cellStyle name="SAPBEXHLevel0X 2 4 2" xfId="20349" xr:uid="{00000000-0005-0000-0000-0000B6450000}"/>
    <cellStyle name="SAPBEXHLevel0X 2 5" xfId="18590" xr:uid="{00000000-0005-0000-0000-0000B7450000}"/>
    <cellStyle name="SAPBEXHLevel0X 2 6" xfId="18582" xr:uid="{00000000-0005-0000-0000-0000AF450000}"/>
    <cellStyle name="SAPBEXHLevel0X 3" xfId="2698" xr:uid="{00000000-0005-0000-0000-0000660A0000}"/>
    <cellStyle name="SAPBEXHLevel0X 3 2" xfId="2699" xr:uid="{00000000-0005-0000-0000-0000670A0000}"/>
    <cellStyle name="SAPBEXHLevel0X 3 2 2" xfId="18593" xr:uid="{00000000-0005-0000-0000-0000BA450000}"/>
    <cellStyle name="SAPBEXHLevel0X 3 2 2 2" xfId="20350" xr:uid="{00000000-0005-0000-0000-0000BA450000}"/>
    <cellStyle name="SAPBEXHLevel0X 3 2 3" xfId="18592" xr:uid="{00000000-0005-0000-0000-0000B9450000}"/>
    <cellStyle name="SAPBEXHLevel0X 3 3" xfId="18594" xr:uid="{00000000-0005-0000-0000-0000BB450000}"/>
    <cellStyle name="SAPBEXHLevel0X 3 3 2" xfId="18595" xr:uid="{00000000-0005-0000-0000-0000BC450000}"/>
    <cellStyle name="SAPBEXHLevel0X 3 3 2 2" xfId="20352" xr:uid="{00000000-0005-0000-0000-0000BC450000}"/>
    <cellStyle name="SAPBEXHLevel0X 3 3 3" xfId="20351" xr:uid="{00000000-0005-0000-0000-0000BB450000}"/>
    <cellStyle name="SAPBEXHLevel0X 3 4" xfId="18596" xr:uid="{00000000-0005-0000-0000-0000BD450000}"/>
    <cellStyle name="SAPBEXHLevel0X 3 4 2" xfId="20353" xr:uid="{00000000-0005-0000-0000-0000BD450000}"/>
    <cellStyle name="SAPBEXHLevel0X 3 5" xfId="18597" xr:uid="{00000000-0005-0000-0000-0000BE450000}"/>
    <cellStyle name="SAPBEXHLevel0X 3 6" xfId="18591" xr:uid="{00000000-0005-0000-0000-0000B8450000}"/>
    <cellStyle name="SAPBEXHLevel0X 4" xfId="2700" xr:uid="{00000000-0005-0000-0000-0000680A0000}"/>
    <cellStyle name="SAPBEXHLevel0X 4 2" xfId="18599" xr:uid="{00000000-0005-0000-0000-0000C0450000}"/>
    <cellStyle name="SAPBEXHLevel0X 4 2 2" xfId="18600" xr:uid="{00000000-0005-0000-0000-0000C1450000}"/>
    <cellStyle name="SAPBEXHLevel0X 4 2 2 2" xfId="20355" xr:uid="{00000000-0005-0000-0000-0000C1450000}"/>
    <cellStyle name="SAPBEXHLevel0X 4 2 3" xfId="18601" xr:uid="{00000000-0005-0000-0000-0000C2450000}"/>
    <cellStyle name="SAPBEXHLevel0X 4 2 4" xfId="20354" xr:uid="{00000000-0005-0000-0000-0000C0450000}"/>
    <cellStyle name="SAPBEXHLevel0X 4 3" xfId="18602" xr:uid="{00000000-0005-0000-0000-0000C3450000}"/>
    <cellStyle name="SAPBEXHLevel0X 4 4" xfId="18598" xr:uid="{00000000-0005-0000-0000-0000BF450000}"/>
    <cellStyle name="SAPBEXHLevel0X 5" xfId="18603" xr:uid="{00000000-0005-0000-0000-0000C4450000}"/>
    <cellStyle name="SAPBEXHLevel0X 5 2" xfId="18604" xr:uid="{00000000-0005-0000-0000-0000C5450000}"/>
    <cellStyle name="SAPBEXHLevel0X 5 2 2" xfId="20356" xr:uid="{00000000-0005-0000-0000-0000C5450000}"/>
    <cellStyle name="SAPBEXHLevel0X 6" xfId="18605" xr:uid="{00000000-0005-0000-0000-0000C6450000}"/>
    <cellStyle name="SAPBEXHLevel0X 6 2" xfId="20357" xr:uid="{00000000-0005-0000-0000-0000C6450000}"/>
    <cellStyle name="SAPBEXHLevel0X 7" xfId="18606" xr:uid="{00000000-0005-0000-0000-0000C7450000}"/>
    <cellStyle name="SAPBEXHLevel0X 8" xfId="18581" xr:uid="{00000000-0005-0000-0000-0000AE450000}"/>
    <cellStyle name="SAPBEXHLevel0X_2010-2012 Program Workbook_Incent_FS" xfId="2701" xr:uid="{00000000-0005-0000-0000-0000690A0000}"/>
    <cellStyle name="SAPBEXHLevel1" xfId="2702" xr:uid="{00000000-0005-0000-0000-00006A0A0000}"/>
    <cellStyle name="SAPBEXHLevel1 2" xfId="2903" xr:uid="{00000000-0005-0000-0000-00006B0A0000}"/>
    <cellStyle name="SAPBEXHLevel1 2 2" xfId="18609" xr:uid="{00000000-0005-0000-0000-0000CB450000}"/>
    <cellStyle name="SAPBEXHLevel1 2 2 2" xfId="18610" xr:uid="{00000000-0005-0000-0000-0000CC450000}"/>
    <cellStyle name="SAPBEXHLevel1 2 2 3" xfId="18611" xr:uid="{00000000-0005-0000-0000-0000CD450000}"/>
    <cellStyle name="SAPBEXHLevel1 2 2 3 2" xfId="20358" xr:uid="{00000000-0005-0000-0000-0000CD450000}"/>
    <cellStyle name="SAPBEXHLevel1 2 2 4" xfId="18612" xr:uid="{00000000-0005-0000-0000-0000CE450000}"/>
    <cellStyle name="SAPBEXHLevel1 2 3" xfId="18613" xr:uid="{00000000-0005-0000-0000-0000CF450000}"/>
    <cellStyle name="SAPBEXHLevel1 2 3 2" xfId="18614" xr:uid="{00000000-0005-0000-0000-0000D0450000}"/>
    <cellStyle name="SAPBEXHLevel1 2 3 3" xfId="18615" xr:uid="{00000000-0005-0000-0000-0000D1450000}"/>
    <cellStyle name="SAPBEXHLevel1 2 3 3 2" xfId="20359" xr:uid="{00000000-0005-0000-0000-0000D1450000}"/>
    <cellStyle name="SAPBEXHLevel1 2 3 4" xfId="18616" xr:uid="{00000000-0005-0000-0000-0000D2450000}"/>
    <cellStyle name="SAPBEXHLevel1 2 4" xfId="18617" xr:uid="{00000000-0005-0000-0000-0000D3450000}"/>
    <cellStyle name="SAPBEXHLevel1 2 4 2" xfId="18618" xr:uid="{00000000-0005-0000-0000-0000D4450000}"/>
    <cellStyle name="SAPBEXHLevel1 2 4 2 2" xfId="20360" xr:uid="{00000000-0005-0000-0000-0000D4450000}"/>
    <cellStyle name="SAPBEXHLevel1 2 5" xfId="18619" xr:uid="{00000000-0005-0000-0000-0000D5450000}"/>
    <cellStyle name="SAPBEXHLevel1 2 5 2" xfId="20361" xr:uid="{00000000-0005-0000-0000-0000D5450000}"/>
    <cellStyle name="SAPBEXHLevel1 2 6" xfId="18620" xr:uid="{00000000-0005-0000-0000-0000D6450000}"/>
    <cellStyle name="SAPBEXHLevel1 2 7" xfId="18608" xr:uid="{00000000-0005-0000-0000-0000CA450000}"/>
    <cellStyle name="SAPBEXHLevel1 3" xfId="18621" xr:uid="{00000000-0005-0000-0000-0000D7450000}"/>
    <cellStyle name="SAPBEXHLevel1 3 2" xfId="18622" xr:uid="{00000000-0005-0000-0000-0000D8450000}"/>
    <cellStyle name="SAPBEXHLevel1 3 2 2" xfId="18623" xr:uid="{00000000-0005-0000-0000-0000D9450000}"/>
    <cellStyle name="SAPBEXHLevel1 3 2 2 2" xfId="20362" xr:uid="{00000000-0005-0000-0000-0000D9450000}"/>
    <cellStyle name="SAPBEXHLevel1 3 3" xfId="18624" xr:uid="{00000000-0005-0000-0000-0000DA450000}"/>
    <cellStyle name="SAPBEXHLevel1 3 3 2" xfId="18625" xr:uid="{00000000-0005-0000-0000-0000DB450000}"/>
    <cellStyle name="SAPBEXHLevel1 3 3 2 2" xfId="20364" xr:uid="{00000000-0005-0000-0000-0000DB450000}"/>
    <cellStyle name="SAPBEXHLevel1 3 3 3" xfId="20363" xr:uid="{00000000-0005-0000-0000-0000DA450000}"/>
    <cellStyle name="SAPBEXHLevel1 3 4" xfId="18626" xr:uid="{00000000-0005-0000-0000-0000DC450000}"/>
    <cellStyle name="SAPBEXHLevel1 3 4 2" xfId="20365" xr:uid="{00000000-0005-0000-0000-0000DC450000}"/>
    <cellStyle name="SAPBEXHLevel1 3 5" xfId="18627" xr:uid="{00000000-0005-0000-0000-0000DD450000}"/>
    <cellStyle name="SAPBEXHLevel1 4" xfId="18628" xr:uid="{00000000-0005-0000-0000-0000DE450000}"/>
    <cellStyle name="SAPBEXHLevel1 4 2" xfId="18629" xr:uid="{00000000-0005-0000-0000-0000DF450000}"/>
    <cellStyle name="SAPBEXHLevel1 4 2 2" xfId="20366" xr:uid="{00000000-0005-0000-0000-0000DF450000}"/>
    <cellStyle name="SAPBEXHLevel1 5" xfId="18630" xr:uid="{00000000-0005-0000-0000-0000E0450000}"/>
    <cellStyle name="SAPBEXHLevel1 5 2" xfId="18631" xr:uid="{00000000-0005-0000-0000-0000E1450000}"/>
    <cellStyle name="SAPBEXHLevel1 5 2 2" xfId="20368" xr:uid="{00000000-0005-0000-0000-0000E1450000}"/>
    <cellStyle name="SAPBEXHLevel1 5 3" xfId="20367" xr:uid="{00000000-0005-0000-0000-0000E0450000}"/>
    <cellStyle name="SAPBEXHLevel1 6" xfId="18632" xr:uid="{00000000-0005-0000-0000-0000E2450000}"/>
    <cellStyle name="SAPBEXHLevel1 7" xfId="18607" xr:uid="{00000000-0005-0000-0000-0000C9450000}"/>
    <cellStyle name="SAPBEXHLevel1X" xfId="2703" xr:uid="{00000000-0005-0000-0000-00006C0A0000}"/>
    <cellStyle name="SAPBEXHLevel1X 2" xfId="2704" xr:uid="{00000000-0005-0000-0000-00006D0A0000}"/>
    <cellStyle name="SAPBEXHLevel1X 2 2" xfId="2705" xr:uid="{00000000-0005-0000-0000-00006E0A0000}"/>
    <cellStyle name="SAPBEXHLevel1X 2 2 2" xfId="18636" xr:uid="{00000000-0005-0000-0000-0000E6450000}"/>
    <cellStyle name="SAPBEXHLevel1X 2 2 2 2" xfId="18637" xr:uid="{00000000-0005-0000-0000-0000E7450000}"/>
    <cellStyle name="SAPBEXHLevel1X 2 2 2 3" xfId="20369" xr:uid="{00000000-0005-0000-0000-0000E6450000}"/>
    <cellStyle name="SAPBEXHLevel1X 2 2 3" xfId="18638" xr:uid="{00000000-0005-0000-0000-0000E8450000}"/>
    <cellStyle name="SAPBEXHLevel1X 2 2 4" xfId="18635" xr:uid="{00000000-0005-0000-0000-0000E5450000}"/>
    <cellStyle name="SAPBEXHLevel1X 2 3" xfId="18639" xr:uid="{00000000-0005-0000-0000-0000E9450000}"/>
    <cellStyle name="SAPBEXHLevel1X 2 3 2" xfId="18640" xr:uid="{00000000-0005-0000-0000-0000EA450000}"/>
    <cellStyle name="SAPBEXHLevel1X 2 3 2 2" xfId="20370" xr:uid="{00000000-0005-0000-0000-0000EA450000}"/>
    <cellStyle name="SAPBEXHLevel1X 2 4" xfId="18641" xr:uid="{00000000-0005-0000-0000-0000EB450000}"/>
    <cellStyle name="SAPBEXHLevel1X 2 4 2" xfId="20371" xr:uid="{00000000-0005-0000-0000-0000EB450000}"/>
    <cellStyle name="SAPBEXHLevel1X 2 5" xfId="18642" xr:uid="{00000000-0005-0000-0000-0000EC450000}"/>
    <cellStyle name="SAPBEXHLevel1X 2 6" xfId="18634" xr:uid="{00000000-0005-0000-0000-0000E4450000}"/>
    <cellStyle name="SAPBEXHLevel1X 3" xfId="2706" xr:uid="{00000000-0005-0000-0000-00006F0A0000}"/>
    <cellStyle name="SAPBEXHLevel1X 3 2" xfId="2707" xr:uid="{00000000-0005-0000-0000-0000700A0000}"/>
    <cellStyle name="SAPBEXHLevel1X 3 2 2" xfId="18645" xr:uid="{00000000-0005-0000-0000-0000EF450000}"/>
    <cellStyle name="SAPBEXHLevel1X 3 2 2 2" xfId="20372" xr:uid="{00000000-0005-0000-0000-0000EF450000}"/>
    <cellStyle name="SAPBEXHLevel1X 3 2 3" xfId="18644" xr:uid="{00000000-0005-0000-0000-0000EE450000}"/>
    <cellStyle name="SAPBEXHLevel1X 3 3" xfId="18646" xr:uid="{00000000-0005-0000-0000-0000F0450000}"/>
    <cellStyle name="SAPBEXHLevel1X 3 3 2" xfId="18647" xr:uid="{00000000-0005-0000-0000-0000F1450000}"/>
    <cellStyle name="SAPBEXHLevel1X 3 3 2 2" xfId="20374" xr:uid="{00000000-0005-0000-0000-0000F1450000}"/>
    <cellStyle name="SAPBEXHLevel1X 3 3 3" xfId="20373" xr:uid="{00000000-0005-0000-0000-0000F0450000}"/>
    <cellStyle name="SAPBEXHLevel1X 3 4" xfId="18648" xr:uid="{00000000-0005-0000-0000-0000F2450000}"/>
    <cellStyle name="SAPBEXHLevel1X 3 4 2" xfId="20375" xr:uid="{00000000-0005-0000-0000-0000F2450000}"/>
    <cellStyle name="SAPBEXHLevel1X 3 5" xfId="18649" xr:uid="{00000000-0005-0000-0000-0000F3450000}"/>
    <cellStyle name="SAPBEXHLevel1X 3 6" xfId="18643" xr:uid="{00000000-0005-0000-0000-0000ED450000}"/>
    <cellStyle name="SAPBEXHLevel1X 4" xfId="2708" xr:uid="{00000000-0005-0000-0000-0000710A0000}"/>
    <cellStyle name="SAPBEXHLevel1X 4 2" xfId="18651" xr:uid="{00000000-0005-0000-0000-0000F5450000}"/>
    <cellStyle name="SAPBEXHLevel1X 4 2 2" xfId="18652" xr:uid="{00000000-0005-0000-0000-0000F6450000}"/>
    <cellStyle name="SAPBEXHLevel1X 4 2 2 2" xfId="20377" xr:uid="{00000000-0005-0000-0000-0000F6450000}"/>
    <cellStyle name="SAPBEXHLevel1X 4 2 3" xfId="18653" xr:uid="{00000000-0005-0000-0000-0000F7450000}"/>
    <cellStyle name="SAPBEXHLevel1X 4 2 4" xfId="20376" xr:uid="{00000000-0005-0000-0000-0000F5450000}"/>
    <cellStyle name="SAPBEXHLevel1X 4 3" xfId="18654" xr:uid="{00000000-0005-0000-0000-0000F8450000}"/>
    <cellStyle name="SAPBEXHLevel1X 4 4" xfId="18650" xr:uid="{00000000-0005-0000-0000-0000F4450000}"/>
    <cellStyle name="SAPBEXHLevel1X 5" xfId="18655" xr:uid="{00000000-0005-0000-0000-0000F9450000}"/>
    <cellStyle name="SAPBEXHLevel1X 5 2" xfId="18656" xr:uid="{00000000-0005-0000-0000-0000FA450000}"/>
    <cellStyle name="SAPBEXHLevel1X 5 2 2" xfId="20378" xr:uid="{00000000-0005-0000-0000-0000FA450000}"/>
    <cellStyle name="SAPBEXHLevel1X 6" xfId="18657" xr:uid="{00000000-0005-0000-0000-0000FB450000}"/>
    <cellStyle name="SAPBEXHLevel1X 6 2" xfId="20379" xr:uid="{00000000-0005-0000-0000-0000FB450000}"/>
    <cellStyle name="SAPBEXHLevel1X 7" xfId="18658" xr:uid="{00000000-0005-0000-0000-0000FC450000}"/>
    <cellStyle name="SAPBEXHLevel1X 8" xfId="18633" xr:uid="{00000000-0005-0000-0000-0000E3450000}"/>
    <cellStyle name="SAPBEXHLevel1X_2010-2012 Program Workbook_Incent_FS" xfId="2709" xr:uid="{00000000-0005-0000-0000-0000720A0000}"/>
    <cellStyle name="SAPBEXHLevel2" xfId="2710" xr:uid="{00000000-0005-0000-0000-0000730A0000}"/>
    <cellStyle name="SAPBEXHLevel2 2" xfId="2904" xr:uid="{00000000-0005-0000-0000-0000740A0000}"/>
    <cellStyle name="SAPBEXHLevel2 2 2" xfId="18661" xr:uid="{00000000-0005-0000-0000-000000460000}"/>
    <cellStyle name="SAPBEXHLevel2 2 2 2" xfId="18662" xr:uid="{00000000-0005-0000-0000-000001460000}"/>
    <cellStyle name="SAPBEXHLevel2 2 2 3" xfId="18663" xr:uid="{00000000-0005-0000-0000-000002460000}"/>
    <cellStyle name="SAPBEXHLevel2 2 2 3 2" xfId="20380" xr:uid="{00000000-0005-0000-0000-000002460000}"/>
    <cellStyle name="SAPBEXHLevel2 2 2 4" xfId="18664" xr:uid="{00000000-0005-0000-0000-000003460000}"/>
    <cellStyle name="SAPBEXHLevel2 2 3" xfId="18665" xr:uid="{00000000-0005-0000-0000-000004460000}"/>
    <cellStyle name="SAPBEXHLevel2 2 3 2" xfId="18666" xr:uid="{00000000-0005-0000-0000-000005460000}"/>
    <cellStyle name="SAPBEXHLevel2 2 3 3" xfId="18667" xr:uid="{00000000-0005-0000-0000-000006460000}"/>
    <cellStyle name="SAPBEXHLevel2 2 3 3 2" xfId="20381" xr:uid="{00000000-0005-0000-0000-000006460000}"/>
    <cellStyle name="SAPBEXHLevel2 2 3 4" xfId="18668" xr:uid="{00000000-0005-0000-0000-000007460000}"/>
    <cellStyle name="SAPBEXHLevel2 2 4" xfId="18669" xr:uid="{00000000-0005-0000-0000-000008460000}"/>
    <cellStyle name="SAPBEXHLevel2 2 4 2" xfId="18670" xr:uid="{00000000-0005-0000-0000-000009460000}"/>
    <cellStyle name="SAPBEXHLevel2 2 4 2 2" xfId="20382" xr:uid="{00000000-0005-0000-0000-000009460000}"/>
    <cellStyle name="SAPBEXHLevel2 2 5" xfId="18671" xr:uid="{00000000-0005-0000-0000-00000A460000}"/>
    <cellStyle name="SAPBEXHLevel2 2 5 2" xfId="20383" xr:uid="{00000000-0005-0000-0000-00000A460000}"/>
    <cellStyle name="SAPBEXHLevel2 2 6" xfId="18672" xr:uid="{00000000-0005-0000-0000-00000B460000}"/>
    <cellStyle name="SAPBEXHLevel2 2 7" xfId="18660" xr:uid="{00000000-0005-0000-0000-0000FF450000}"/>
    <cellStyle name="SAPBEXHLevel2 3" xfId="18673" xr:uid="{00000000-0005-0000-0000-00000C460000}"/>
    <cellStyle name="SAPBEXHLevel2 3 2" xfId="18674" xr:uid="{00000000-0005-0000-0000-00000D460000}"/>
    <cellStyle name="SAPBEXHLevel2 3 2 2" xfId="18675" xr:uid="{00000000-0005-0000-0000-00000E460000}"/>
    <cellStyle name="SAPBEXHLevel2 3 2 2 2" xfId="20384" xr:uid="{00000000-0005-0000-0000-00000E460000}"/>
    <cellStyle name="SAPBEXHLevel2 3 3" xfId="18676" xr:uid="{00000000-0005-0000-0000-00000F460000}"/>
    <cellStyle name="SAPBEXHLevel2 3 3 2" xfId="18677" xr:uid="{00000000-0005-0000-0000-000010460000}"/>
    <cellStyle name="SAPBEXHLevel2 3 3 2 2" xfId="20386" xr:uid="{00000000-0005-0000-0000-000010460000}"/>
    <cellStyle name="SAPBEXHLevel2 3 3 3" xfId="20385" xr:uid="{00000000-0005-0000-0000-00000F460000}"/>
    <cellStyle name="SAPBEXHLevel2 3 4" xfId="18678" xr:uid="{00000000-0005-0000-0000-000011460000}"/>
    <cellStyle name="SAPBEXHLevel2 3 4 2" xfId="20387" xr:uid="{00000000-0005-0000-0000-000011460000}"/>
    <cellStyle name="SAPBEXHLevel2 3 5" xfId="18679" xr:uid="{00000000-0005-0000-0000-000012460000}"/>
    <cellStyle name="SAPBEXHLevel2 4" xfId="18680" xr:uid="{00000000-0005-0000-0000-000013460000}"/>
    <cellStyle name="SAPBEXHLevel2 4 2" xfId="18681" xr:uid="{00000000-0005-0000-0000-000014460000}"/>
    <cellStyle name="SAPBEXHLevel2 4 2 2" xfId="20388" xr:uid="{00000000-0005-0000-0000-000014460000}"/>
    <cellStyle name="SAPBEXHLevel2 5" xfId="18682" xr:uid="{00000000-0005-0000-0000-000015460000}"/>
    <cellStyle name="SAPBEXHLevel2 5 2" xfId="18683" xr:uid="{00000000-0005-0000-0000-000016460000}"/>
    <cellStyle name="SAPBEXHLevel2 5 2 2" xfId="20390" xr:uid="{00000000-0005-0000-0000-000016460000}"/>
    <cellStyle name="SAPBEXHLevel2 5 3" xfId="20389" xr:uid="{00000000-0005-0000-0000-000015460000}"/>
    <cellStyle name="SAPBEXHLevel2 6" xfId="18684" xr:uid="{00000000-0005-0000-0000-000017460000}"/>
    <cellStyle name="SAPBEXHLevel2 7" xfId="18659" xr:uid="{00000000-0005-0000-0000-0000FE450000}"/>
    <cellStyle name="SAPBEXHLevel2X" xfId="2711" xr:uid="{00000000-0005-0000-0000-0000750A0000}"/>
    <cellStyle name="SAPBEXHLevel2X 2" xfId="2712" xr:uid="{00000000-0005-0000-0000-0000760A0000}"/>
    <cellStyle name="SAPBEXHLevel2X 2 2" xfId="2713" xr:uid="{00000000-0005-0000-0000-0000770A0000}"/>
    <cellStyle name="SAPBEXHLevel2X 2 2 2" xfId="18688" xr:uid="{00000000-0005-0000-0000-00001B460000}"/>
    <cellStyle name="SAPBEXHLevel2X 2 2 2 2" xfId="18689" xr:uid="{00000000-0005-0000-0000-00001C460000}"/>
    <cellStyle name="SAPBEXHLevel2X 2 2 2 3" xfId="20391" xr:uid="{00000000-0005-0000-0000-00001B460000}"/>
    <cellStyle name="SAPBEXHLevel2X 2 2 3" xfId="18690" xr:uid="{00000000-0005-0000-0000-00001D460000}"/>
    <cellStyle name="SAPBEXHLevel2X 2 2 4" xfId="18687" xr:uid="{00000000-0005-0000-0000-00001A460000}"/>
    <cellStyle name="SAPBEXHLevel2X 2 3" xfId="18691" xr:uid="{00000000-0005-0000-0000-00001E460000}"/>
    <cellStyle name="SAPBEXHLevel2X 2 3 2" xfId="18692" xr:uid="{00000000-0005-0000-0000-00001F460000}"/>
    <cellStyle name="SAPBEXHLevel2X 2 3 2 2" xfId="20392" xr:uid="{00000000-0005-0000-0000-00001F460000}"/>
    <cellStyle name="SAPBEXHLevel2X 2 4" xfId="18693" xr:uid="{00000000-0005-0000-0000-000020460000}"/>
    <cellStyle name="SAPBEXHLevel2X 2 4 2" xfId="20393" xr:uid="{00000000-0005-0000-0000-000020460000}"/>
    <cellStyle name="SAPBEXHLevel2X 2 5" xfId="18694" xr:uid="{00000000-0005-0000-0000-000021460000}"/>
    <cellStyle name="SAPBEXHLevel2X 2 6" xfId="18686" xr:uid="{00000000-0005-0000-0000-000019460000}"/>
    <cellStyle name="SAPBEXHLevel2X 3" xfId="2714" xr:uid="{00000000-0005-0000-0000-0000780A0000}"/>
    <cellStyle name="SAPBEXHLevel2X 3 2" xfId="2715" xr:uid="{00000000-0005-0000-0000-0000790A0000}"/>
    <cellStyle name="SAPBEXHLevel2X 3 2 2" xfId="18697" xr:uid="{00000000-0005-0000-0000-000024460000}"/>
    <cellStyle name="SAPBEXHLevel2X 3 2 2 2" xfId="20394" xr:uid="{00000000-0005-0000-0000-000024460000}"/>
    <cellStyle name="SAPBEXHLevel2X 3 2 3" xfId="18696" xr:uid="{00000000-0005-0000-0000-000023460000}"/>
    <cellStyle name="SAPBEXHLevel2X 3 3" xfId="18698" xr:uid="{00000000-0005-0000-0000-000025460000}"/>
    <cellStyle name="SAPBEXHLevel2X 3 3 2" xfId="18699" xr:uid="{00000000-0005-0000-0000-000026460000}"/>
    <cellStyle name="SAPBEXHLevel2X 3 3 2 2" xfId="20396" xr:uid="{00000000-0005-0000-0000-000026460000}"/>
    <cellStyle name="SAPBEXHLevel2X 3 3 3" xfId="20395" xr:uid="{00000000-0005-0000-0000-000025460000}"/>
    <cellStyle name="SAPBEXHLevel2X 3 4" xfId="18700" xr:uid="{00000000-0005-0000-0000-000027460000}"/>
    <cellStyle name="SAPBEXHLevel2X 3 4 2" xfId="20397" xr:uid="{00000000-0005-0000-0000-000027460000}"/>
    <cellStyle name="SAPBEXHLevel2X 3 5" xfId="18701" xr:uid="{00000000-0005-0000-0000-000028460000}"/>
    <cellStyle name="SAPBEXHLevel2X 3 6" xfId="18695" xr:uid="{00000000-0005-0000-0000-000022460000}"/>
    <cellStyle name="SAPBEXHLevel2X 4" xfId="2716" xr:uid="{00000000-0005-0000-0000-00007A0A0000}"/>
    <cellStyle name="SAPBEXHLevel2X 4 2" xfId="18703" xr:uid="{00000000-0005-0000-0000-00002A460000}"/>
    <cellStyle name="SAPBEXHLevel2X 4 2 2" xfId="18704" xr:uid="{00000000-0005-0000-0000-00002B460000}"/>
    <cellStyle name="SAPBEXHLevel2X 4 2 2 2" xfId="20399" xr:uid="{00000000-0005-0000-0000-00002B460000}"/>
    <cellStyle name="SAPBEXHLevel2X 4 2 3" xfId="18705" xr:uid="{00000000-0005-0000-0000-00002C460000}"/>
    <cellStyle name="SAPBEXHLevel2X 4 2 4" xfId="20398" xr:uid="{00000000-0005-0000-0000-00002A460000}"/>
    <cellStyle name="SAPBEXHLevel2X 4 3" xfId="18706" xr:uid="{00000000-0005-0000-0000-00002D460000}"/>
    <cellStyle name="SAPBEXHLevel2X 4 4" xfId="18702" xr:uid="{00000000-0005-0000-0000-000029460000}"/>
    <cellStyle name="SAPBEXHLevel2X 5" xfId="18707" xr:uid="{00000000-0005-0000-0000-00002E460000}"/>
    <cellStyle name="SAPBEXHLevel2X 5 2" xfId="18708" xr:uid="{00000000-0005-0000-0000-00002F460000}"/>
    <cellStyle name="SAPBEXHLevel2X 5 2 2" xfId="20400" xr:uid="{00000000-0005-0000-0000-00002F460000}"/>
    <cellStyle name="SAPBEXHLevel2X 6" xfId="18709" xr:uid="{00000000-0005-0000-0000-000030460000}"/>
    <cellStyle name="SAPBEXHLevel2X 6 2" xfId="20401" xr:uid="{00000000-0005-0000-0000-000030460000}"/>
    <cellStyle name="SAPBEXHLevel2X 7" xfId="18710" xr:uid="{00000000-0005-0000-0000-000031460000}"/>
    <cellStyle name="SAPBEXHLevel2X 8" xfId="18685" xr:uid="{00000000-0005-0000-0000-000018460000}"/>
    <cellStyle name="SAPBEXHLevel2X_2010-2012 Program Workbook_Incent_FS" xfId="2717" xr:uid="{00000000-0005-0000-0000-00007B0A0000}"/>
    <cellStyle name="SAPBEXHLevel3" xfId="2718" xr:uid="{00000000-0005-0000-0000-00007C0A0000}"/>
    <cellStyle name="SAPBEXHLevel3 2" xfId="2905" xr:uid="{00000000-0005-0000-0000-00007D0A0000}"/>
    <cellStyle name="SAPBEXHLevel3 2 2" xfId="18713" xr:uid="{00000000-0005-0000-0000-000035460000}"/>
    <cellStyle name="SAPBEXHLevel3 2 2 2" xfId="18714" xr:uid="{00000000-0005-0000-0000-000036460000}"/>
    <cellStyle name="SAPBEXHLevel3 2 2 3" xfId="18715" xr:uid="{00000000-0005-0000-0000-000037460000}"/>
    <cellStyle name="SAPBEXHLevel3 2 2 3 2" xfId="20402" xr:uid="{00000000-0005-0000-0000-000037460000}"/>
    <cellStyle name="SAPBEXHLevel3 2 2 4" xfId="18716" xr:uid="{00000000-0005-0000-0000-000038460000}"/>
    <cellStyle name="SAPBEXHLevel3 2 3" xfId="18717" xr:uid="{00000000-0005-0000-0000-000039460000}"/>
    <cellStyle name="SAPBEXHLevel3 2 3 2" xfId="18718" xr:uid="{00000000-0005-0000-0000-00003A460000}"/>
    <cellStyle name="SAPBEXHLevel3 2 3 3" xfId="18719" xr:uid="{00000000-0005-0000-0000-00003B460000}"/>
    <cellStyle name="SAPBEXHLevel3 2 3 3 2" xfId="20403" xr:uid="{00000000-0005-0000-0000-00003B460000}"/>
    <cellStyle name="SAPBEXHLevel3 2 3 4" xfId="18720" xr:uid="{00000000-0005-0000-0000-00003C460000}"/>
    <cellStyle name="SAPBEXHLevel3 2 4" xfId="18721" xr:uid="{00000000-0005-0000-0000-00003D460000}"/>
    <cellStyle name="SAPBEXHLevel3 2 4 2" xfId="18722" xr:uid="{00000000-0005-0000-0000-00003E460000}"/>
    <cellStyle name="SAPBEXHLevel3 2 4 2 2" xfId="20404" xr:uid="{00000000-0005-0000-0000-00003E460000}"/>
    <cellStyle name="SAPBEXHLevel3 2 5" xfId="18723" xr:uid="{00000000-0005-0000-0000-00003F460000}"/>
    <cellStyle name="SAPBEXHLevel3 2 5 2" xfId="20405" xr:uid="{00000000-0005-0000-0000-00003F460000}"/>
    <cellStyle name="SAPBEXHLevel3 2 6" xfId="18724" xr:uid="{00000000-0005-0000-0000-000040460000}"/>
    <cellStyle name="SAPBEXHLevel3 2 7" xfId="18712" xr:uid="{00000000-0005-0000-0000-000034460000}"/>
    <cellStyle name="SAPBEXHLevel3 3" xfId="18725" xr:uid="{00000000-0005-0000-0000-000041460000}"/>
    <cellStyle name="SAPBEXHLevel3 3 2" xfId="18726" xr:uid="{00000000-0005-0000-0000-000042460000}"/>
    <cellStyle name="SAPBEXHLevel3 3 2 2" xfId="18727" xr:uid="{00000000-0005-0000-0000-000043460000}"/>
    <cellStyle name="SAPBEXHLevel3 3 2 2 2" xfId="20406" xr:uid="{00000000-0005-0000-0000-000043460000}"/>
    <cellStyle name="SAPBEXHLevel3 3 3" xfId="18728" xr:uid="{00000000-0005-0000-0000-000044460000}"/>
    <cellStyle name="SAPBEXHLevel3 3 3 2" xfId="18729" xr:uid="{00000000-0005-0000-0000-000045460000}"/>
    <cellStyle name="SAPBEXHLevel3 3 3 2 2" xfId="20408" xr:uid="{00000000-0005-0000-0000-000045460000}"/>
    <cellStyle name="SAPBEXHLevel3 3 3 3" xfId="20407" xr:uid="{00000000-0005-0000-0000-000044460000}"/>
    <cellStyle name="SAPBEXHLevel3 3 4" xfId="18730" xr:uid="{00000000-0005-0000-0000-000046460000}"/>
    <cellStyle name="SAPBEXHLevel3 3 4 2" xfId="20409" xr:uid="{00000000-0005-0000-0000-000046460000}"/>
    <cellStyle name="SAPBEXHLevel3 3 5" xfId="18731" xr:uid="{00000000-0005-0000-0000-000047460000}"/>
    <cellStyle name="SAPBEXHLevel3 4" xfId="18732" xr:uid="{00000000-0005-0000-0000-000048460000}"/>
    <cellStyle name="SAPBEXHLevel3 4 2" xfId="18733" xr:uid="{00000000-0005-0000-0000-000049460000}"/>
    <cellStyle name="SAPBEXHLevel3 4 2 2" xfId="20410" xr:uid="{00000000-0005-0000-0000-000049460000}"/>
    <cellStyle name="SAPBEXHLevel3 5" xfId="18734" xr:uid="{00000000-0005-0000-0000-00004A460000}"/>
    <cellStyle name="SAPBEXHLevel3 5 2" xfId="18735" xr:uid="{00000000-0005-0000-0000-00004B460000}"/>
    <cellStyle name="SAPBEXHLevel3 5 2 2" xfId="20412" xr:uid="{00000000-0005-0000-0000-00004B460000}"/>
    <cellStyle name="SAPBEXHLevel3 5 3" xfId="20411" xr:uid="{00000000-0005-0000-0000-00004A460000}"/>
    <cellStyle name="SAPBEXHLevel3 6" xfId="18736" xr:uid="{00000000-0005-0000-0000-00004C460000}"/>
    <cellStyle name="SAPBEXHLevel3 7" xfId="18711" xr:uid="{00000000-0005-0000-0000-000033460000}"/>
    <cellStyle name="SAPBEXHLevel3X" xfId="2719" xr:uid="{00000000-0005-0000-0000-00007E0A0000}"/>
    <cellStyle name="SAPBEXHLevel3X 2" xfId="2720" xr:uid="{00000000-0005-0000-0000-00007F0A0000}"/>
    <cellStyle name="SAPBEXHLevel3X 2 2" xfId="2721" xr:uid="{00000000-0005-0000-0000-0000800A0000}"/>
    <cellStyle name="SAPBEXHLevel3X 2 2 2" xfId="18740" xr:uid="{00000000-0005-0000-0000-000050460000}"/>
    <cellStyle name="SAPBEXHLevel3X 2 2 2 2" xfId="18741" xr:uid="{00000000-0005-0000-0000-000051460000}"/>
    <cellStyle name="SAPBEXHLevel3X 2 2 2 3" xfId="20413" xr:uid="{00000000-0005-0000-0000-000050460000}"/>
    <cellStyle name="SAPBEXHLevel3X 2 2 3" xfId="18742" xr:uid="{00000000-0005-0000-0000-000052460000}"/>
    <cellStyle name="SAPBEXHLevel3X 2 2 4" xfId="18739" xr:uid="{00000000-0005-0000-0000-00004F460000}"/>
    <cellStyle name="SAPBEXHLevel3X 2 3" xfId="18743" xr:uid="{00000000-0005-0000-0000-000053460000}"/>
    <cellStyle name="SAPBEXHLevel3X 2 3 2" xfId="18744" xr:uid="{00000000-0005-0000-0000-000054460000}"/>
    <cellStyle name="SAPBEXHLevel3X 2 3 2 2" xfId="20414" xr:uid="{00000000-0005-0000-0000-000054460000}"/>
    <cellStyle name="SAPBEXHLevel3X 2 4" xfId="18745" xr:uid="{00000000-0005-0000-0000-000055460000}"/>
    <cellStyle name="SAPBEXHLevel3X 2 4 2" xfId="20415" xr:uid="{00000000-0005-0000-0000-000055460000}"/>
    <cellStyle name="SAPBEXHLevel3X 2 5" xfId="18746" xr:uid="{00000000-0005-0000-0000-000056460000}"/>
    <cellStyle name="SAPBEXHLevel3X 2 6" xfId="18738" xr:uid="{00000000-0005-0000-0000-00004E460000}"/>
    <cellStyle name="SAPBEXHLevel3X 3" xfId="2722" xr:uid="{00000000-0005-0000-0000-0000810A0000}"/>
    <cellStyle name="SAPBEXHLevel3X 3 2" xfId="2723" xr:uid="{00000000-0005-0000-0000-0000820A0000}"/>
    <cellStyle name="SAPBEXHLevel3X 3 2 2" xfId="18749" xr:uid="{00000000-0005-0000-0000-000059460000}"/>
    <cellStyle name="SAPBEXHLevel3X 3 2 2 2" xfId="20416" xr:uid="{00000000-0005-0000-0000-000059460000}"/>
    <cellStyle name="SAPBEXHLevel3X 3 2 3" xfId="18748" xr:uid="{00000000-0005-0000-0000-000058460000}"/>
    <cellStyle name="SAPBEXHLevel3X 3 3" xfId="18750" xr:uid="{00000000-0005-0000-0000-00005A460000}"/>
    <cellStyle name="SAPBEXHLevel3X 3 3 2" xfId="18751" xr:uid="{00000000-0005-0000-0000-00005B460000}"/>
    <cellStyle name="SAPBEXHLevel3X 3 3 2 2" xfId="20418" xr:uid="{00000000-0005-0000-0000-00005B460000}"/>
    <cellStyle name="SAPBEXHLevel3X 3 3 3" xfId="20417" xr:uid="{00000000-0005-0000-0000-00005A460000}"/>
    <cellStyle name="SAPBEXHLevel3X 3 4" xfId="18752" xr:uid="{00000000-0005-0000-0000-00005C460000}"/>
    <cellStyle name="SAPBEXHLevel3X 3 4 2" xfId="20419" xr:uid="{00000000-0005-0000-0000-00005C460000}"/>
    <cellStyle name="SAPBEXHLevel3X 3 5" xfId="18753" xr:uid="{00000000-0005-0000-0000-00005D460000}"/>
    <cellStyle name="SAPBEXHLevel3X 3 6" xfId="18747" xr:uid="{00000000-0005-0000-0000-000057460000}"/>
    <cellStyle name="SAPBEXHLevel3X 4" xfId="2724" xr:uid="{00000000-0005-0000-0000-0000830A0000}"/>
    <cellStyle name="SAPBEXHLevel3X 4 2" xfId="18755" xr:uid="{00000000-0005-0000-0000-00005F460000}"/>
    <cellStyle name="SAPBEXHLevel3X 4 2 2" xfId="18756" xr:uid="{00000000-0005-0000-0000-000060460000}"/>
    <cellStyle name="SAPBEXHLevel3X 4 2 2 2" xfId="20421" xr:uid="{00000000-0005-0000-0000-000060460000}"/>
    <cellStyle name="SAPBEXHLevel3X 4 2 3" xfId="18757" xr:uid="{00000000-0005-0000-0000-000061460000}"/>
    <cellStyle name="SAPBEXHLevel3X 4 2 4" xfId="20420" xr:uid="{00000000-0005-0000-0000-00005F460000}"/>
    <cellStyle name="SAPBEXHLevel3X 4 3" xfId="18758" xr:uid="{00000000-0005-0000-0000-000062460000}"/>
    <cellStyle name="SAPBEXHLevel3X 4 4" xfId="18754" xr:uid="{00000000-0005-0000-0000-00005E460000}"/>
    <cellStyle name="SAPBEXHLevel3X 5" xfId="18759" xr:uid="{00000000-0005-0000-0000-000063460000}"/>
    <cellStyle name="SAPBEXHLevel3X 5 2" xfId="18760" xr:uid="{00000000-0005-0000-0000-000064460000}"/>
    <cellStyle name="SAPBEXHLevel3X 5 2 2" xfId="20422" xr:uid="{00000000-0005-0000-0000-000064460000}"/>
    <cellStyle name="SAPBEXHLevel3X 6" xfId="18761" xr:uid="{00000000-0005-0000-0000-000065460000}"/>
    <cellStyle name="SAPBEXHLevel3X 6 2" xfId="20423" xr:uid="{00000000-0005-0000-0000-000065460000}"/>
    <cellStyle name="SAPBEXHLevel3X 7" xfId="18762" xr:uid="{00000000-0005-0000-0000-000066460000}"/>
    <cellStyle name="SAPBEXHLevel3X 8" xfId="18737" xr:uid="{00000000-0005-0000-0000-00004D460000}"/>
    <cellStyle name="SAPBEXHLevel3X_2010-2012 Program Workbook_Incent_FS" xfId="2725" xr:uid="{00000000-0005-0000-0000-0000840A0000}"/>
    <cellStyle name="SAPBEXinputData" xfId="2726" xr:uid="{00000000-0005-0000-0000-0000850A0000}"/>
    <cellStyle name="SAPBEXinputData 10" xfId="18764" xr:uid="{00000000-0005-0000-0000-000069460000}"/>
    <cellStyle name="SAPBEXinputData 10 2" xfId="18765" xr:uid="{00000000-0005-0000-0000-00006A460000}"/>
    <cellStyle name="SAPBEXinputData 10 2 2" xfId="18766" xr:uid="{00000000-0005-0000-0000-00006B460000}"/>
    <cellStyle name="SAPBEXinputData 10 2 3" xfId="18767" xr:uid="{00000000-0005-0000-0000-00006C460000}"/>
    <cellStyle name="SAPBEXinputData 10 3" xfId="18768" xr:uid="{00000000-0005-0000-0000-00006D460000}"/>
    <cellStyle name="SAPBEXinputData 10 4" xfId="18769" xr:uid="{00000000-0005-0000-0000-00006E460000}"/>
    <cellStyle name="SAPBEXinputData 10 5" xfId="18770" xr:uid="{00000000-0005-0000-0000-00006F460000}"/>
    <cellStyle name="SAPBEXinputData 10 6" xfId="18771" xr:uid="{00000000-0005-0000-0000-000070460000}"/>
    <cellStyle name="SAPBEXinputData 11" xfId="18772" xr:uid="{00000000-0005-0000-0000-000071460000}"/>
    <cellStyle name="SAPBEXinputData 11 2" xfId="18773" xr:uid="{00000000-0005-0000-0000-000072460000}"/>
    <cellStyle name="SAPBEXinputData 11 3" xfId="18774" xr:uid="{00000000-0005-0000-0000-000073460000}"/>
    <cellStyle name="SAPBEXinputData 12" xfId="18775" xr:uid="{00000000-0005-0000-0000-000074460000}"/>
    <cellStyle name="SAPBEXinputData 12 2" xfId="18776" xr:uid="{00000000-0005-0000-0000-000075460000}"/>
    <cellStyle name="SAPBEXinputData 13" xfId="18777" xr:uid="{00000000-0005-0000-0000-000076460000}"/>
    <cellStyle name="SAPBEXinputData 14" xfId="18778" xr:uid="{00000000-0005-0000-0000-000077460000}"/>
    <cellStyle name="SAPBEXinputData 14 2" xfId="20424" xr:uid="{00000000-0005-0000-0000-000077460000}"/>
    <cellStyle name="SAPBEXinputData 15" xfId="18779" xr:uid="{00000000-0005-0000-0000-000078460000}"/>
    <cellStyle name="SAPBEXinputData 16" xfId="18763" xr:uid="{00000000-0005-0000-0000-000068460000}"/>
    <cellStyle name="SAPBEXinputData 2" xfId="2727" xr:uid="{00000000-0005-0000-0000-0000860A0000}"/>
    <cellStyle name="SAPBEXinputData 2 2" xfId="2907" xr:uid="{00000000-0005-0000-0000-0000870A0000}"/>
    <cellStyle name="SAPBEXinputData 2 2 2" xfId="18782" xr:uid="{00000000-0005-0000-0000-00007B460000}"/>
    <cellStyle name="SAPBEXinputData 2 2 2 2" xfId="18783" xr:uid="{00000000-0005-0000-0000-00007C460000}"/>
    <cellStyle name="SAPBEXinputData 2 2 2 3" xfId="20425" xr:uid="{00000000-0005-0000-0000-00007B460000}"/>
    <cellStyle name="SAPBEXinputData 2 2 3" xfId="18784" xr:uid="{00000000-0005-0000-0000-00007D460000}"/>
    <cellStyle name="SAPBEXinputData 2 2 4" xfId="18781" xr:uid="{00000000-0005-0000-0000-00007A460000}"/>
    <cellStyle name="SAPBEXinputData 2 3" xfId="18785" xr:uid="{00000000-0005-0000-0000-00007E460000}"/>
    <cellStyle name="SAPBEXinputData 2 4" xfId="18786" xr:uid="{00000000-0005-0000-0000-00007F460000}"/>
    <cellStyle name="SAPBEXinputData 2 5" xfId="18787" xr:uid="{00000000-0005-0000-0000-000080460000}"/>
    <cellStyle name="SAPBEXinputData 2 6" xfId="18780" xr:uid="{00000000-0005-0000-0000-000079460000}"/>
    <cellStyle name="SAPBEXinputData 3" xfId="2728" xr:uid="{00000000-0005-0000-0000-0000880A0000}"/>
    <cellStyle name="SAPBEXinputData 3 10" xfId="18789" xr:uid="{00000000-0005-0000-0000-000082460000}"/>
    <cellStyle name="SAPBEXinputData 3 11" xfId="18790" xr:uid="{00000000-0005-0000-0000-000083460000}"/>
    <cellStyle name="SAPBEXinputData 3 12" xfId="18791" xr:uid="{00000000-0005-0000-0000-000084460000}"/>
    <cellStyle name="SAPBEXinputData 3 13" xfId="18792" xr:uid="{00000000-0005-0000-0000-000085460000}"/>
    <cellStyle name="SAPBEXinputData 3 14" xfId="18788" xr:uid="{00000000-0005-0000-0000-000081460000}"/>
    <cellStyle name="SAPBEXinputData 3 2" xfId="2908" xr:uid="{00000000-0005-0000-0000-0000890A0000}"/>
    <cellStyle name="SAPBEXinputData 3 2 10" xfId="18794" xr:uid="{00000000-0005-0000-0000-000087460000}"/>
    <cellStyle name="SAPBEXinputData 3 2 11" xfId="18795" xr:uid="{00000000-0005-0000-0000-000088460000}"/>
    <cellStyle name="SAPBEXinputData 3 2 12" xfId="18793" xr:uid="{00000000-0005-0000-0000-000086460000}"/>
    <cellStyle name="SAPBEXinputData 3 2 2" xfId="18796" xr:uid="{00000000-0005-0000-0000-000089460000}"/>
    <cellStyle name="SAPBEXinputData 3 2 2 10" xfId="18797" xr:uid="{00000000-0005-0000-0000-00008A460000}"/>
    <cellStyle name="SAPBEXinputData 3 2 2 2" xfId="18798" xr:uid="{00000000-0005-0000-0000-00008B460000}"/>
    <cellStyle name="SAPBEXinputData 3 2 2 2 2" xfId="18799" xr:uid="{00000000-0005-0000-0000-00008C460000}"/>
    <cellStyle name="SAPBEXinputData 3 2 2 2 2 2" xfId="18800" xr:uid="{00000000-0005-0000-0000-00008D460000}"/>
    <cellStyle name="SAPBEXinputData 3 2 2 2 2 2 2" xfId="18801" xr:uid="{00000000-0005-0000-0000-00008E460000}"/>
    <cellStyle name="SAPBEXinputData 3 2 2 2 2 2 2 2" xfId="18802" xr:uid="{00000000-0005-0000-0000-00008F460000}"/>
    <cellStyle name="SAPBEXinputData 3 2 2 2 2 2 2 3" xfId="18803" xr:uid="{00000000-0005-0000-0000-000090460000}"/>
    <cellStyle name="SAPBEXinputData 3 2 2 2 2 2 3" xfId="18804" xr:uid="{00000000-0005-0000-0000-000091460000}"/>
    <cellStyle name="SAPBEXinputData 3 2 2 2 2 2 4" xfId="18805" xr:uid="{00000000-0005-0000-0000-000092460000}"/>
    <cellStyle name="SAPBEXinputData 3 2 2 2 2 2 5" xfId="18806" xr:uid="{00000000-0005-0000-0000-000093460000}"/>
    <cellStyle name="SAPBEXinputData 3 2 2 2 2 2 6" xfId="18807" xr:uid="{00000000-0005-0000-0000-000094460000}"/>
    <cellStyle name="SAPBEXinputData 3 2 2 2 2 3" xfId="18808" xr:uid="{00000000-0005-0000-0000-000095460000}"/>
    <cellStyle name="SAPBEXinputData 3 2 2 2 2 3 2" xfId="18809" xr:uid="{00000000-0005-0000-0000-000096460000}"/>
    <cellStyle name="SAPBEXinputData 3 2 2 2 2 3 2 2" xfId="18810" xr:uid="{00000000-0005-0000-0000-000097460000}"/>
    <cellStyle name="SAPBEXinputData 3 2 2 2 2 3 2 3" xfId="18811" xr:uid="{00000000-0005-0000-0000-000098460000}"/>
    <cellStyle name="SAPBEXinputData 3 2 2 2 2 3 3" xfId="18812" xr:uid="{00000000-0005-0000-0000-000099460000}"/>
    <cellStyle name="SAPBEXinputData 3 2 2 2 2 3 3 2" xfId="18813" xr:uid="{00000000-0005-0000-0000-00009A460000}"/>
    <cellStyle name="SAPBEXinputData 3 2 2 2 2 3 4" xfId="18814" xr:uid="{00000000-0005-0000-0000-00009B460000}"/>
    <cellStyle name="SAPBEXinputData 3 2 2 2 2 4" xfId="18815" xr:uid="{00000000-0005-0000-0000-00009C460000}"/>
    <cellStyle name="SAPBEXinputData 3 2 2 2 2 4 2" xfId="18816" xr:uid="{00000000-0005-0000-0000-00009D460000}"/>
    <cellStyle name="SAPBEXinputData 3 2 2 2 2 4 3" xfId="18817" xr:uid="{00000000-0005-0000-0000-00009E460000}"/>
    <cellStyle name="SAPBEXinputData 3 2 2 2 2 5" xfId="18818" xr:uid="{00000000-0005-0000-0000-00009F460000}"/>
    <cellStyle name="SAPBEXinputData 3 2 2 2 2 6" xfId="18819" xr:uid="{00000000-0005-0000-0000-0000A0460000}"/>
    <cellStyle name="SAPBEXinputData 3 2 2 2 2 7" xfId="18820" xr:uid="{00000000-0005-0000-0000-0000A1460000}"/>
    <cellStyle name="SAPBEXinputData 3 2 2 2 2 8" xfId="18821" xr:uid="{00000000-0005-0000-0000-0000A2460000}"/>
    <cellStyle name="SAPBEXinputData 3 2 2 2 3" xfId="18822" xr:uid="{00000000-0005-0000-0000-0000A3460000}"/>
    <cellStyle name="SAPBEXinputData 3 2 2 2 3 2" xfId="18823" xr:uid="{00000000-0005-0000-0000-0000A4460000}"/>
    <cellStyle name="SAPBEXinputData 3 2 2 2 3 2 2" xfId="18824" xr:uid="{00000000-0005-0000-0000-0000A5460000}"/>
    <cellStyle name="SAPBEXinputData 3 2 2 2 3 2 3" xfId="18825" xr:uid="{00000000-0005-0000-0000-0000A6460000}"/>
    <cellStyle name="SAPBEXinputData 3 2 2 2 3 3" xfId="18826" xr:uid="{00000000-0005-0000-0000-0000A7460000}"/>
    <cellStyle name="SAPBEXinputData 3 2 2 2 3 4" xfId="18827" xr:uid="{00000000-0005-0000-0000-0000A8460000}"/>
    <cellStyle name="SAPBEXinputData 3 2 2 2 3 5" xfId="18828" xr:uid="{00000000-0005-0000-0000-0000A9460000}"/>
    <cellStyle name="SAPBEXinputData 3 2 2 2 3 6" xfId="18829" xr:uid="{00000000-0005-0000-0000-0000AA460000}"/>
    <cellStyle name="SAPBEXinputData 3 2 2 2 4" xfId="18830" xr:uid="{00000000-0005-0000-0000-0000AB460000}"/>
    <cellStyle name="SAPBEXinputData 3 2 2 2 4 2" xfId="18831" xr:uid="{00000000-0005-0000-0000-0000AC460000}"/>
    <cellStyle name="SAPBEXinputData 3 2 2 2 4 2 2" xfId="18832" xr:uid="{00000000-0005-0000-0000-0000AD460000}"/>
    <cellStyle name="SAPBEXinputData 3 2 2 2 4 2 3" xfId="18833" xr:uid="{00000000-0005-0000-0000-0000AE460000}"/>
    <cellStyle name="SAPBEXinputData 3 2 2 2 4 3" xfId="18834" xr:uid="{00000000-0005-0000-0000-0000AF460000}"/>
    <cellStyle name="SAPBEXinputData 3 2 2 2 4 3 2" xfId="18835" xr:uid="{00000000-0005-0000-0000-0000B0460000}"/>
    <cellStyle name="SAPBEXinputData 3 2 2 2 4 4" xfId="18836" xr:uid="{00000000-0005-0000-0000-0000B1460000}"/>
    <cellStyle name="SAPBEXinputData 3 2 2 2 5" xfId="18837" xr:uid="{00000000-0005-0000-0000-0000B2460000}"/>
    <cellStyle name="SAPBEXinputData 3 2 2 2 5 2" xfId="18838" xr:uid="{00000000-0005-0000-0000-0000B3460000}"/>
    <cellStyle name="SAPBEXinputData 3 2 2 2 5 3" xfId="18839" xr:uid="{00000000-0005-0000-0000-0000B4460000}"/>
    <cellStyle name="SAPBEXinputData 3 2 2 2 6" xfId="18840" xr:uid="{00000000-0005-0000-0000-0000B5460000}"/>
    <cellStyle name="SAPBEXinputData 3 2 2 2 7" xfId="18841" xr:uid="{00000000-0005-0000-0000-0000B6460000}"/>
    <cellStyle name="SAPBEXinputData 3 2 2 2 8" xfId="18842" xr:uid="{00000000-0005-0000-0000-0000B7460000}"/>
    <cellStyle name="SAPBEXinputData 3 2 2 2 9" xfId="18843" xr:uid="{00000000-0005-0000-0000-0000B8460000}"/>
    <cellStyle name="SAPBEXinputData 3 2 2 3" xfId="18844" xr:uid="{00000000-0005-0000-0000-0000B9460000}"/>
    <cellStyle name="SAPBEXinputData 3 2 2 3 2" xfId="18845" xr:uid="{00000000-0005-0000-0000-0000BA460000}"/>
    <cellStyle name="SAPBEXinputData 3 2 2 3 2 2" xfId="18846" xr:uid="{00000000-0005-0000-0000-0000BB460000}"/>
    <cellStyle name="SAPBEXinputData 3 2 2 3 2 2 2" xfId="18847" xr:uid="{00000000-0005-0000-0000-0000BC460000}"/>
    <cellStyle name="SAPBEXinputData 3 2 2 3 2 2 3" xfId="18848" xr:uid="{00000000-0005-0000-0000-0000BD460000}"/>
    <cellStyle name="SAPBEXinputData 3 2 2 3 2 3" xfId="18849" xr:uid="{00000000-0005-0000-0000-0000BE460000}"/>
    <cellStyle name="SAPBEXinputData 3 2 2 3 2 4" xfId="18850" xr:uid="{00000000-0005-0000-0000-0000BF460000}"/>
    <cellStyle name="SAPBEXinputData 3 2 2 3 2 5" xfId="18851" xr:uid="{00000000-0005-0000-0000-0000C0460000}"/>
    <cellStyle name="SAPBEXinputData 3 2 2 3 2 6" xfId="18852" xr:uid="{00000000-0005-0000-0000-0000C1460000}"/>
    <cellStyle name="SAPBEXinputData 3 2 2 3 3" xfId="18853" xr:uid="{00000000-0005-0000-0000-0000C2460000}"/>
    <cellStyle name="SAPBEXinputData 3 2 2 3 3 2" xfId="18854" xr:uid="{00000000-0005-0000-0000-0000C3460000}"/>
    <cellStyle name="SAPBEXinputData 3 2 2 3 3 2 2" xfId="18855" xr:uid="{00000000-0005-0000-0000-0000C4460000}"/>
    <cellStyle name="SAPBEXinputData 3 2 2 3 3 2 3" xfId="18856" xr:uid="{00000000-0005-0000-0000-0000C5460000}"/>
    <cellStyle name="SAPBEXinputData 3 2 2 3 3 3" xfId="18857" xr:uid="{00000000-0005-0000-0000-0000C6460000}"/>
    <cellStyle name="SAPBEXinputData 3 2 2 3 3 3 2" xfId="18858" xr:uid="{00000000-0005-0000-0000-0000C7460000}"/>
    <cellStyle name="SAPBEXinputData 3 2 2 3 3 4" xfId="18859" xr:uid="{00000000-0005-0000-0000-0000C8460000}"/>
    <cellStyle name="SAPBEXinputData 3 2 2 3 4" xfId="18860" xr:uid="{00000000-0005-0000-0000-0000C9460000}"/>
    <cellStyle name="SAPBEXinputData 3 2 2 3 4 2" xfId="18861" xr:uid="{00000000-0005-0000-0000-0000CA460000}"/>
    <cellStyle name="SAPBEXinputData 3 2 2 3 4 3" xfId="18862" xr:uid="{00000000-0005-0000-0000-0000CB460000}"/>
    <cellStyle name="SAPBEXinputData 3 2 2 3 5" xfId="18863" xr:uid="{00000000-0005-0000-0000-0000CC460000}"/>
    <cellStyle name="SAPBEXinputData 3 2 2 3 6" xfId="18864" xr:uid="{00000000-0005-0000-0000-0000CD460000}"/>
    <cellStyle name="SAPBEXinputData 3 2 2 3 7" xfId="18865" xr:uid="{00000000-0005-0000-0000-0000CE460000}"/>
    <cellStyle name="SAPBEXinputData 3 2 2 3 8" xfId="18866" xr:uid="{00000000-0005-0000-0000-0000CF460000}"/>
    <cellStyle name="SAPBEXinputData 3 2 2 4" xfId="18867" xr:uid="{00000000-0005-0000-0000-0000D0460000}"/>
    <cellStyle name="SAPBEXinputData 3 2 2 4 2" xfId="18868" xr:uid="{00000000-0005-0000-0000-0000D1460000}"/>
    <cellStyle name="SAPBEXinputData 3 2 2 4 2 2" xfId="18869" xr:uid="{00000000-0005-0000-0000-0000D2460000}"/>
    <cellStyle name="SAPBEXinputData 3 2 2 4 2 3" xfId="18870" xr:uid="{00000000-0005-0000-0000-0000D3460000}"/>
    <cellStyle name="SAPBEXinputData 3 2 2 4 2 4" xfId="18871" xr:uid="{00000000-0005-0000-0000-0000D4460000}"/>
    <cellStyle name="SAPBEXinputData 3 2 2 4 3" xfId="18872" xr:uid="{00000000-0005-0000-0000-0000D5460000}"/>
    <cellStyle name="SAPBEXinputData 3 2 2 4 4" xfId="18873" xr:uid="{00000000-0005-0000-0000-0000D6460000}"/>
    <cellStyle name="SAPBEXinputData 3 2 2 4 5" xfId="18874" xr:uid="{00000000-0005-0000-0000-0000D7460000}"/>
    <cellStyle name="SAPBEXinputData 3 2 2 4 6" xfId="18875" xr:uid="{00000000-0005-0000-0000-0000D8460000}"/>
    <cellStyle name="SAPBEXinputData 3 2 2 5" xfId="18876" xr:uid="{00000000-0005-0000-0000-0000D9460000}"/>
    <cellStyle name="SAPBEXinputData 3 2 2 5 2" xfId="18877" xr:uid="{00000000-0005-0000-0000-0000DA460000}"/>
    <cellStyle name="SAPBEXinputData 3 2 2 5 2 2" xfId="18878" xr:uid="{00000000-0005-0000-0000-0000DB460000}"/>
    <cellStyle name="SAPBEXinputData 3 2 2 5 2 3" xfId="18879" xr:uid="{00000000-0005-0000-0000-0000DC460000}"/>
    <cellStyle name="SAPBEXinputData 3 2 2 5 3" xfId="18880" xr:uid="{00000000-0005-0000-0000-0000DD460000}"/>
    <cellStyle name="SAPBEXinputData 3 2 2 5 4" xfId="18881" xr:uid="{00000000-0005-0000-0000-0000DE460000}"/>
    <cellStyle name="SAPBEXinputData 3 2 2 5 5" xfId="18882" xr:uid="{00000000-0005-0000-0000-0000DF460000}"/>
    <cellStyle name="SAPBEXinputData 3 2 2 5 6" xfId="18883" xr:uid="{00000000-0005-0000-0000-0000E0460000}"/>
    <cellStyle name="SAPBEXinputData 3 2 2 6" xfId="18884" xr:uid="{00000000-0005-0000-0000-0000E1460000}"/>
    <cellStyle name="SAPBEXinputData 3 2 2 6 2" xfId="18885" xr:uid="{00000000-0005-0000-0000-0000E2460000}"/>
    <cellStyle name="SAPBEXinputData 3 2 2 6 3" xfId="18886" xr:uid="{00000000-0005-0000-0000-0000E3460000}"/>
    <cellStyle name="SAPBEXinputData 3 2 2 7" xfId="18887" xr:uid="{00000000-0005-0000-0000-0000E4460000}"/>
    <cellStyle name="SAPBEXinputData 3 2 2 8" xfId="18888" xr:uid="{00000000-0005-0000-0000-0000E5460000}"/>
    <cellStyle name="SAPBEXinputData 3 2 2 9" xfId="18889" xr:uid="{00000000-0005-0000-0000-0000E6460000}"/>
    <cellStyle name="SAPBEXinputData 3 2 3" xfId="18890" xr:uid="{00000000-0005-0000-0000-0000E7460000}"/>
    <cellStyle name="SAPBEXinputData 3 2 3 2" xfId="18891" xr:uid="{00000000-0005-0000-0000-0000E8460000}"/>
    <cellStyle name="SAPBEXinputData 3 2 3 2 2" xfId="18892" xr:uid="{00000000-0005-0000-0000-0000E9460000}"/>
    <cellStyle name="SAPBEXinputData 3 2 3 2 2 2" xfId="18893" xr:uid="{00000000-0005-0000-0000-0000EA460000}"/>
    <cellStyle name="SAPBEXinputData 3 2 3 2 2 2 2" xfId="18894" xr:uid="{00000000-0005-0000-0000-0000EB460000}"/>
    <cellStyle name="SAPBEXinputData 3 2 3 2 2 2 3" xfId="18895" xr:uid="{00000000-0005-0000-0000-0000EC460000}"/>
    <cellStyle name="SAPBEXinputData 3 2 3 2 2 3" xfId="18896" xr:uid="{00000000-0005-0000-0000-0000ED460000}"/>
    <cellStyle name="SAPBEXinputData 3 2 3 2 2 4" xfId="18897" xr:uid="{00000000-0005-0000-0000-0000EE460000}"/>
    <cellStyle name="SAPBEXinputData 3 2 3 2 2 5" xfId="18898" xr:uid="{00000000-0005-0000-0000-0000EF460000}"/>
    <cellStyle name="SAPBEXinputData 3 2 3 2 2 6" xfId="18899" xr:uid="{00000000-0005-0000-0000-0000F0460000}"/>
    <cellStyle name="SAPBEXinputData 3 2 3 2 3" xfId="18900" xr:uid="{00000000-0005-0000-0000-0000F1460000}"/>
    <cellStyle name="SAPBEXinputData 3 2 3 2 3 2" xfId="18901" xr:uid="{00000000-0005-0000-0000-0000F2460000}"/>
    <cellStyle name="SAPBEXinputData 3 2 3 2 3 2 2" xfId="18902" xr:uid="{00000000-0005-0000-0000-0000F3460000}"/>
    <cellStyle name="SAPBEXinputData 3 2 3 2 3 2 3" xfId="18903" xr:uid="{00000000-0005-0000-0000-0000F4460000}"/>
    <cellStyle name="SAPBEXinputData 3 2 3 2 3 3" xfId="18904" xr:uid="{00000000-0005-0000-0000-0000F5460000}"/>
    <cellStyle name="SAPBEXinputData 3 2 3 2 3 3 2" xfId="18905" xr:uid="{00000000-0005-0000-0000-0000F6460000}"/>
    <cellStyle name="SAPBEXinputData 3 2 3 2 3 4" xfId="18906" xr:uid="{00000000-0005-0000-0000-0000F7460000}"/>
    <cellStyle name="SAPBEXinputData 3 2 3 2 4" xfId="18907" xr:uid="{00000000-0005-0000-0000-0000F8460000}"/>
    <cellStyle name="SAPBEXinputData 3 2 3 2 4 2" xfId="18908" xr:uid="{00000000-0005-0000-0000-0000F9460000}"/>
    <cellStyle name="SAPBEXinputData 3 2 3 2 4 3" xfId="18909" xr:uid="{00000000-0005-0000-0000-0000FA460000}"/>
    <cellStyle name="SAPBEXinputData 3 2 3 2 5" xfId="18910" xr:uid="{00000000-0005-0000-0000-0000FB460000}"/>
    <cellStyle name="SAPBEXinputData 3 2 3 2 6" xfId="18911" xr:uid="{00000000-0005-0000-0000-0000FC460000}"/>
    <cellStyle name="SAPBEXinputData 3 2 3 2 7" xfId="18912" xr:uid="{00000000-0005-0000-0000-0000FD460000}"/>
    <cellStyle name="SAPBEXinputData 3 2 3 2 8" xfId="18913" xr:uid="{00000000-0005-0000-0000-0000FE460000}"/>
    <cellStyle name="SAPBEXinputData 3 2 3 3" xfId="18914" xr:uid="{00000000-0005-0000-0000-0000FF460000}"/>
    <cellStyle name="SAPBEXinputData 3 2 3 3 2" xfId="18915" xr:uid="{00000000-0005-0000-0000-000000470000}"/>
    <cellStyle name="SAPBEXinputData 3 2 3 3 2 2" xfId="18916" xr:uid="{00000000-0005-0000-0000-000001470000}"/>
    <cellStyle name="SAPBEXinputData 3 2 3 3 2 3" xfId="18917" xr:uid="{00000000-0005-0000-0000-000002470000}"/>
    <cellStyle name="SAPBEXinputData 3 2 3 3 3" xfId="18918" xr:uid="{00000000-0005-0000-0000-000003470000}"/>
    <cellStyle name="SAPBEXinputData 3 2 3 3 4" xfId="18919" xr:uid="{00000000-0005-0000-0000-000004470000}"/>
    <cellStyle name="SAPBEXinputData 3 2 3 3 5" xfId="18920" xr:uid="{00000000-0005-0000-0000-000005470000}"/>
    <cellStyle name="SAPBEXinputData 3 2 3 3 6" xfId="18921" xr:uid="{00000000-0005-0000-0000-000006470000}"/>
    <cellStyle name="SAPBEXinputData 3 2 3 4" xfId="18922" xr:uid="{00000000-0005-0000-0000-000007470000}"/>
    <cellStyle name="SAPBEXinputData 3 2 3 4 2" xfId="18923" xr:uid="{00000000-0005-0000-0000-000008470000}"/>
    <cellStyle name="SAPBEXinputData 3 2 3 4 2 2" xfId="18924" xr:uid="{00000000-0005-0000-0000-000009470000}"/>
    <cellStyle name="SAPBEXinputData 3 2 3 4 2 3" xfId="18925" xr:uid="{00000000-0005-0000-0000-00000A470000}"/>
    <cellStyle name="SAPBEXinputData 3 2 3 4 3" xfId="18926" xr:uid="{00000000-0005-0000-0000-00000B470000}"/>
    <cellStyle name="SAPBEXinputData 3 2 3 4 3 2" xfId="18927" xr:uid="{00000000-0005-0000-0000-00000C470000}"/>
    <cellStyle name="SAPBEXinputData 3 2 3 4 4" xfId="18928" xr:uid="{00000000-0005-0000-0000-00000D470000}"/>
    <cellStyle name="SAPBEXinputData 3 2 3 5" xfId="18929" xr:uid="{00000000-0005-0000-0000-00000E470000}"/>
    <cellStyle name="SAPBEXinputData 3 2 3 5 2" xfId="18930" xr:uid="{00000000-0005-0000-0000-00000F470000}"/>
    <cellStyle name="SAPBEXinputData 3 2 3 5 3" xfId="18931" xr:uid="{00000000-0005-0000-0000-000010470000}"/>
    <cellStyle name="SAPBEXinputData 3 2 3 6" xfId="18932" xr:uid="{00000000-0005-0000-0000-000011470000}"/>
    <cellStyle name="SAPBEXinputData 3 2 3 7" xfId="18933" xr:uid="{00000000-0005-0000-0000-000012470000}"/>
    <cellStyle name="SAPBEXinputData 3 2 3 8" xfId="18934" xr:uid="{00000000-0005-0000-0000-000013470000}"/>
    <cellStyle name="SAPBEXinputData 3 2 3 9" xfId="18935" xr:uid="{00000000-0005-0000-0000-000014470000}"/>
    <cellStyle name="SAPBEXinputData 3 2 4" xfId="18936" xr:uid="{00000000-0005-0000-0000-000015470000}"/>
    <cellStyle name="SAPBEXinputData 3 2 4 2" xfId="18937" xr:uid="{00000000-0005-0000-0000-000016470000}"/>
    <cellStyle name="SAPBEXinputData 3 2 4 2 2" xfId="18938" xr:uid="{00000000-0005-0000-0000-000017470000}"/>
    <cellStyle name="SAPBEXinputData 3 2 4 2 2 2" xfId="18939" xr:uid="{00000000-0005-0000-0000-000018470000}"/>
    <cellStyle name="SAPBEXinputData 3 2 4 2 2 3" xfId="18940" xr:uid="{00000000-0005-0000-0000-000019470000}"/>
    <cellStyle name="SAPBEXinputData 3 2 4 2 2 4" xfId="18941" xr:uid="{00000000-0005-0000-0000-00001A470000}"/>
    <cellStyle name="SAPBEXinputData 3 2 4 2 3" xfId="18942" xr:uid="{00000000-0005-0000-0000-00001B470000}"/>
    <cellStyle name="SAPBEXinputData 3 2 4 2 4" xfId="18943" xr:uid="{00000000-0005-0000-0000-00001C470000}"/>
    <cellStyle name="SAPBEXinputData 3 2 4 2 5" xfId="18944" xr:uid="{00000000-0005-0000-0000-00001D470000}"/>
    <cellStyle name="SAPBEXinputData 3 2 4 2 6" xfId="18945" xr:uid="{00000000-0005-0000-0000-00001E470000}"/>
    <cellStyle name="SAPBEXinputData 3 2 4 3" xfId="18946" xr:uid="{00000000-0005-0000-0000-00001F470000}"/>
    <cellStyle name="SAPBEXinputData 3 2 4 3 2" xfId="18947" xr:uid="{00000000-0005-0000-0000-000020470000}"/>
    <cellStyle name="SAPBEXinputData 3 2 4 3 2 2" xfId="18948" xr:uid="{00000000-0005-0000-0000-000021470000}"/>
    <cellStyle name="SAPBEXinputData 3 2 4 3 2 3" xfId="18949" xr:uid="{00000000-0005-0000-0000-000022470000}"/>
    <cellStyle name="SAPBEXinputData 3 2 4 3 3" xfId="18950" xr:uid="{00000000-0005-0000-0000-000023470000}"/>
    <cellStyle name="SAPBEXinputData 3 2 4 3 4" xfId="18951" xr:uid="{00000000-0005-0000-0000-000024470000}"/>
    <cellStyle name="SAPBEXinputData 3 2 4 3 5" xfId="18952" xr:uid="{00000000-0005-0000-0000-000025470000}"/>
    <cellStyle name="SAPBEXinputData 3 2 4 3 6" xfId="18953" xr:uid="{00000000-0005-0000-0000-000026470000}"/>
    <cellStyle name="SAPBEXinputData 3 2 4 4" xfId="18954" xr:uid="{00000000-0005-0000-0000-000027470000}"/>
    <cellStyle name="SAPBEXinputData 3 2 4 4 2" xfId="18955" xr:uid="{00000000-0005-0000-0000-000028470000}"/>
    <cellStyle name="SAPBEXinputData 3 2 4 4 3" xfId="18956" xr:uid="{00000000-0005-0000-0000-000029470000}"/>
    <cellStyle name="SAPBEXinputData 3 2 4 5" xfId="18957" xr:uid="{00000000-0005-0000-0000-00002A470000}"/>
    <cellStyle name="SAPBEXinputData 3 2 4 6" xfId="18958" xr:uid="{00000000-0005-0000-0000-00002B470000}"/>
    <cellStyle name="SAPBEXinputData 3 2 4 7" xfId="18959" xr:uid="{00000000-0005-0000-0000-00002C470000}"/>
    <cellStyle name="SAPBEXinputData 3 2 4 8" xfId="18960" xr:uid="{00000000-0005-0000-0000-00002D470000}"/>
    <cellStyle name="SAPBEXinputData 3 2 5" xfId="18961" xr:uid="{00000000-0005-0000-0000-00002E470000}"/>
    <cellStyle name="SAPBEXinputData 3 2 5 2" xfId="18962" xr:uid="{00000000-0005-0000-0000-00002F470000}"/>
    <cellStyle name="SAPBEXinputData 3 2 5 2 2" xfId="18963" xr:uid="{00000000-0005-0000-0000-000030470000}"/>
    <cellStyle name="SAPBEXinputData 3 2 5 2 3" xfId="18964" xr:uid="{00000000-0005-0000-0000-000031470000}"/>
    <cellStyle name="SAPBEXinputData 3 2 5 2 4" xfId="18965" xr:uid="{00000000-0005-0000-0000-000032470000}"/>
    <cellStyle name="SAPBEXinputData 3 2 5 3" xfId="18966" xr:uid="{00000000-0005-0000-0000-000033470000}"/>
    <cellStyle name="SAPBEXinputData 3 2 5 4" xfId="18967" xr:uid="{00000000-0005-0000-0000-000034470000}"/>
    <cellStyle name="SAPBEXinputData 3 2 5 5" xfId="18968" xr:uid="{00000000-0005-0000-0000-000035470000}"/>
    <cellStyle name="SAPBEXinputData 3 2 5 6" xfId="18969" xr:uid="{00000000-0005-0000-0000-000036470000}"/>
    <cellStyle name="SAPBEXinputData 3 2 6" xfId="18970" xr:uid="{00000000-0005-0000-0000-000037470000}"/>
    <cellStyle name="SAPBEXinputData 3 2 6 2" xfId="18971" xr:uid="{00000000-0005-0000-0000-000038470000}"/>
    <cellStyle name="SAPBEXinputData 3 2 6 2 2" xfId="18972" xr:uid="{00000000-0005-0000-0000-000039470000}"/>
    <cellStyle name="SAPBEXinputData 3 2 6 2 3" xfId="18973" xr:uid="{00000000-0005-0000-0000-00003A470000}"/>
    <cellStyle name="SAPBEXinputData 3 2 6 3" xfId="18974" xr:uid="{00000000-0005-0000-0000-00003B470000}"/>
    <cellStyle name="SAPBEXinputData 3 2 6 4" xfId="18975" xr:uid="{00000000-0005-0000-0000-00003C470000}"/>
    <cellStyle name="SAPBEXinputData 3 2 6 5" xfId="18976" xr:uid="{00000000-0005-0000-0000-00003D470000}"/>
    <cellStyle name="SAPBEXinputData 3 2 6 6" xfId="18977" xr:uid="{00000000-0005-0000-0000-00003E470000}"/>
    <cellStyle name="SAPBEXinputData 3 2 7" xfId="18978" xr:uid="{00000000-0005-0000-0000-00003F470000}"/>
    <cellStyle name="SAPBEXinputData 3 2 7 2" xfId="18979" xr:uid="{00000000-0005-0000-0000-000040470000}"/>
    <cellStyle name="SAPBEXinputData 3 2 7 3" xfId="18980" xr:uid="{00000000-0005-0000-0000-000041470000}"/>
    <cellStyle name="SAPBEXinputData 3 2 8" xfId="18981" xr:uid="{00000000-0005-0000-0000-000042470000}"/>
    <cellStyle name="SAPBEXinputData 3 2 9" xfId="18982" xr:uid="{00000000-0005-0000-0000-000043470000}"/>
    <cellStyle name="SAPBEXinputData 3 3" xfId="18983" xr:uid="{00000000-0005-0000-0000-000044470000}"/>
    <cellStyle name="SAPBEXinputData 3 3 10" xfId="18984" xr:uid="{00000000-0005-0000-0000-000045470000}"/>
    <cellStyle name="SAPBEXinputData 3 3 2" xfId="18985" xr:uid="{00000000-0005-0000-0000-000046470000}"/>
    <cellStyle name="SAPBEXinputData 3 3 2 2" xfId="18986" xr:uid="{00000000-0005-0000-0000-000047470000}"/>
    <cellStyle name="SAPBEXinputData 3 3 2 2 2" xfId="18987" xr:uid="{00000000-0005-0000-0000-000048470000}"/>
    <cellStyle name="SAPBEXinputData 3 3 2 2 2 2" xfId="18988" xr:uid="{00000000-0005-0000-0000-000049470000}"/>
    <cellStyle name="SAPBEXinputData 3 3 2 2 2 2 2" xfId="18989" xr:uid="{00000000-0005-0000-0000-00004A470000}"/>
    <cellStyle name="SAPBEXinputData 3 3 2 2 2 2 3" xfId="18990" xr:uid="{00000000-0005-0000-0000-00004B470000}"/>
    <cellStyle name="SAPBEXinputData 3 3 2 2 2 3" xfId="18991" xr:uid="{00000000-0005-0000-0000-00004C470000}"/>
    <cellStyle name="SAPBEXinputData 3 3 2 2 2 4" xfId="18992" xr:uid="{00000000-0005-0000-0000-00004D470000}"/>
    <cellStyle name="SAPBEXinputData 3 3 2 2 2 5" xfId="18993" xr:uid="{00000000-0005-0000-0000-00004E470000}"/>
    <cellStyle name="SAPBEXinputData 3 3 2 2 2 6" xfId="18994" xr:uid="{00000000-0005-0000-0000-00004F470000}"/>
    <cellStyle name="SAPBEXinputData 3 3 2 2 3" xfId="18995" xr:uid="{00000000-0005-0000-0000-000050470000}"/>
    <cellStyle name="SAPBEXinputData 3 3 2 2 3 2" xfId="18996" xr:uid="{00000000-0005-0000-0000-000051470000}"/>
    <cellStyle name="SAPBEXinputData 3 3 2 2 3 2 2" xfId="18997" xr:uid="{00000000-0005-0000-0000-000052470000}"/>
    <cellStyle name="SAPBEXinputData 3 3 2 2 3 2 3" xfId="18998" xr:uid="{00000000-0005-0000-0000-000053470000}"/>
    <cellStyle name="SAPBEXinputData 3 3 2 2 3 3" xfId="18999" xr:uid="{00000000-0005-0000-0000-000054470000}"/>
    <cellStyle name="SAPBEXinputData 3 3 2 2 3 3 2" xfId="19000" xr:uid="{00000000-0005-0000-0000-000055470000}"/>
    <cellStyle name="SAPBEXinputData 3 3 2 2 3 4" xfId="19001" xr:uid="{00000000-0005-0000-0000-000056470000}"/>
    <cellStyle name="SAPBEXinputData 3 3 2 2 4" xfId="19002" xr:uid="{00000000-0005-0000-0000-000057470000}"/>
    <cellStyle name="SAPBEXinputData 3 3 2 2 4 2" xfId="19003" xr:uid="{00000000-0005-0000-0000-000058470000}"/>
    <cellStyle name="SAPBEXinputData 3 3 2 2 4 3" xfId="19004" xr:uid="{00000000-0005-0000-0000-000059470000}"/>
    <cellStyle name="SAPBEXinputData 3 3 2 2 5" xfId="19005" xr:uid="{00000000-0005-0000-0000-00005A470000}"/>
    <cellStyle name="SAPBEXinputData 3 3 2 2 6" xfId="19006" xr:uid="{00000000-0005-0000-0000-00005B470000}"/>
    <cellStyle name="SAPBEXinputData 3 3 2 2 7" xfId="19007" xr:uid="{00000000-0005-0000-0000-00005C470000}"/>
    <cellStyle name="SAPBEXinputData 3 3 2 2 8" xfId="19008" xr:uid="{00000000-0005-0000-0000-00005D470000}"/>
    <cellStyle name="SAPBEXinputData 3 3 2 3" xfId="19009" xr:uid="{00000000-0005-0000-0000-00005E470000}"/>
    <cellStyle name="SAPBEXinputData 3 3 2 3 2" xfId="19010" xr:uid="{00000000-0005-0000-0000-00005F470000}"/>
    <cellStyle name="SAPBEXinputData 3 3 2 3 2 2" xfId="19011" xr:uid="{00000000-0005-0000-0000-000060470000}"/>
    <cellStyle name="SAPBEXinputData 3 3 2 3 2 3" xfId="19012" xr:uid="{00000000-0005-0000-0000-000061470000}"/>
    <cellStyle name="SAPBEXinputData 3 3 2 3 3" xfId="19013" xr:uid="{00000000-0005-0000-0000-000062470000}"/>
    <cellStyle name="SAPBEXinputData 3 3 2 3 4" xfId="19014" xr:uid="{00000000-0005-0000-0000-000063470000}"/>
    <cellStyle name="SAPBEXinputData 3 3 2 3 5" xfId="19015" xr:uid="{00000000-0005-0000-0000-000064470000}"/>
    <cellStyle name="SAPBEXinputData 3 3 2 3 6" xfId="19016" xr:uid="{00000000-0005-0000-0000-000065470000}"/>
    <cellStyle name="SAPBEXinputData 3 3 2 4" xfId="19017" xr:uid="{00000000-0005-0000-0000-000066470000}"/>
    <cellStyle name="SAPBEXinputData 3 3 2 4 2" xfId="19018" xr:uid="{00000000-0005-0000-0000-000067470000}"/>
    <cellStyle name="SAPBEXinputData 3 3 2 4 2 2" xfId="19019" xr:uid="{00000000-0005-0000-0000-000068470000}"/>
    <cellStyle name="SAPBEXinputData 3 3 2 4 2 3" xfId="19020" xr:uid="{00000000-0005-0000-0000-000069470000}"/>
    <cellStyle name="SAPBEXinputData 3 3 2 4 3" xfId="19021" xr:uid="{00000000-0005-0000-0000-00006A470000}"/>
    <cellStyle name="SAPBEXinputData 3 3 2 4 3 2" xfId="19022" xr:uid="{00000000-0005-0000-0000-00006B470000}"/>
    <cellStyle name="SAPBEXinputData 3 3 2 4 4" xfId="19023" xr:uid="{00000000-0005-0000-0000-00006C470000}"/>
    <cellStyle name="SAPBEXinputData 3 3 2 5" xfId="19024" xr:uid="{00000000-0005-0000-0000-00006D470000}"/>
    <cellStyle name="SAPBEXinputData 3 3 2 5 2" xfId="19025" xr:uid="{00000000-0005-0000-0000-00006E470000}"/>
    <cellStyle name="SAPBEXinputData 3 3 2 5 3" xfId="19026" xr:uid="{00000000-0005-0000-0000-00006F470000}"/>
    <cellStyle name="SAPBEXinputData 3 3 2 6" xfId="19027" xr:uid="{00000000-0005-0000-0000-000070470000}"/>
    <cellStyle name="SAPBEXinputData 3 3 2 7" xfId="19028" xr:uid="{00000000-0005-0000-0000-000071470000}"/>
    <cellStyle name="SAPBEXinputData 3 3 2 8" xfId="19029" xr:uid="{00000000-0005-0000-0000-000072470000}"/>
    <cellStyle name="SAPBEXinputData 3 3 2 9" xfId="19030" xr:uid="{00000000-0005-0000-0000-000073470000}"/>
    <cellStyle name="SAPBEXinputData 3 3 3" xfId="19031" xr:uid="{00000000-0005-0000-0000-000074470000}"/>
    <cellStyle name="SAPBEXinputData 3 3 3 2" xfId="19032" xr:uid="{00000000-0005-0000-0000-000075470000}"/>
    <cellStyle name="SAPBEXinputData 3 3 3 2 2" xfId="19033" xr:uid="{00000000-0005-0000-0000-000076470000}"/>
    <cellStyle name="SAPBEXinputData 3 3 3 2 2 2" xfId="19034" xr:uid="{00000000-0005-0000-0000-000077470000}"/>
    <cellStyle name="SAPBEXinputData 3 3 3 2 2 3" xfId="19035" xr:uid="{00000000-0005-0000-0000-000078470000}"/>
    <cellStyle name="SAPBEXinputData 3 3 3 2 3" xfId="19036" xr:uid="{00000000-0005-0000-0000-000079470000}"/>
    <cellStyle name="SAPBEXinputData 3 3 3 2 4" xfId="19037" xr:uid="{00000000-0005-0000-0000-00007A470000}"/>
    <cellStyle name="SAPBEXinputData 3 3 3 2 5" xfId="19038" xr:uid="{00000000-0005-0000-0000-00007B470000}"/>
    <cellStyle name="SAPBEXinputData 3 3 3 2 6" xfId="19039" xr:uid="{00000000-0005-0000-0000-00007C470000}"/>
    <cellStyle name="SAPBEXinputData 3 3 3 3" xfId="19040" xr:uid="{00000000-0005-0000-0000-00007D470000}"/>
    <cellStyle name="SAPBEXinputData 3 3 3 3 2" xfId="19041" xr:uid="{00000000-0005-0000-0000-00007E470000}"/>
    <cellStyle name="SAPBEXinputData 3 3 3 3 2 2" xfId="19042" xr:uid="{00000000-0005-0000-0000-00007F470000}"/>
    <cellStyle name="SAPBEXinputData 3 3 3 3 2 3" xfId="19043" xr:uid="{00000000-0005-0000-0000-000080470000}"/>
    <cellStyle name="SAPBEXinputData 3 3 3 3 3" xfId="19044" xr:uid="{00000000-0005-0000-0000-000081470000}"/>
    <cellStyle name="SAPBEXinputData 3 3 3 3 3 2" xfId="19045" xr:uid="{00000000-0005-0000-0000-000082470000}"/>
    <cellStyle name="SAPBEXinputData 3 3 3 3 4" xfId="19046" xr:uid="{00000000-0005-0000-0000-000083470000}"/>
    <cellStyle name="SAPBEXinputData 3 3 3 4" xfId="19047" xr:uid="{00000000-0005-0000-0000-000084470000}"/>
    <cellStyle name="SAPBEXinputData 3 3 3 4 2" xfId="19048" xr:uid="{00000000-0005-0000-0000-000085470000}"/>
    <cellStyle name="SAPBEXinputData 3 3 3 4 3" xfId="19049" xr:uid="{00000000-0005-0000-0000-000086470000}"/>
    <cellStyle name="SAPBEXinputData 3 3 3 5" xfId="19050" xr:uid="{00000000-0005-0000-0000-000087470000}"/>
    <cellStyle name="SAPBEXinputData 3 3 3 6" xfId="19051" xr:uid="{00000000-0005-0000-0000-000088470000}"/>
    <cellStyle name="SAPBEXinputData 3 3 3 7" xfId="19052" xr:uid="{00000000-0005-0000-0000-000089470000}"/>
    <cellStyle name="SAPBEXinputData 3 3 3 8" xfId="19053" xr:uid="{00000000-0005-0000-0000-00008A470000}"/>
    <cellStyle name="SAPBEXinputData 3 3 4" xfId="19054" xr:uid="{00000000-0005-0000-0000-00008B470000}"/>
    <cellStyle name="SAPBEXinputData 3 3 4 2" xfId="19055" xr:uid="{00000000-0005-0000-0000-00008C470000}"/>
    <cellStyle name="SAPBEXinputData 3 3 4 2 2" xfId="19056" xr:uid="{00000000-0005-0000-0000-00008D470000}"/>
    <cellStyle name="SAPBEXinputData 3 3 4 2 3" xfId="19057" xr:uid="{00000000-0005-0000-0000-00008E470000}"/>
    <cellStyle name="SAPBEXinputData 3 3 4 2 4" xfId="19058" xr:uid="{00000000-0005-0000-0000-00008F470000}"/>
    <cellStyle name="SAPBEXinputData 3 3 4 3" xfId="19059" xr:uid="{00000000-0005-0000-0000-000090470000}"/>
    <cellStyle name="SAPBEXinputData 3 3 4 4" xfId="19060" xr:uid="{00000000-0005-0000-0000-000091470000}"/>
    <cellStyle name="SAPBEXinputData 3 3 4 5" xfId="19061" xr:uid="{00000000-0005-0000-0000-000092470000}"/>
    <cellStyle name="SAPBEXinputData 3 3 4 6" xfId="19062" xr:uid="{00000000-0005-0000-0000-000093470000}"/>
    <cellStyle name="SAPBEXinputData 3 3 5" xfId="19063" xr:uid="{00000000-0005-0000-0000-000094470000}"/>
    <cellStyle name="SAPBEXinputData 3 3 5 2" xfId="19064" xr:uid="{00000000-0005-0000-0000-000095470000}"/>
    <cellStyle name="SAPBEXinputData 3 3 5 2 2" xfId="19065" xr:uid="{00000000-0005-0000-0000-000096470000}"/>
    <cellStyle name="SAPBEXinputData 3 3 5 2 3" xfId="19066" xr:uid="{00000000-0005-0000-0000-000097470000}"/>
    <cellStyle name="SAPBEXinputData 3 3 5 3" xfId="19067" xr:uid="{00000000-0005-0000-0000-000098470000}"/>
    <cellStyle name="SAPBEXinputData 3 3 5 4" xfId="19068" xr:uid="{00000000-0005-0000-0000-000099470000}"/>
    <cellStyle name="SAPBEXinputData 3 3 5 5" xfId="19069" xr:uid="{00000000-0005-0000-0000-00009A470000}"/>
    <cellStyle name="SAPBEXinputData 3 3 5 6" xfId="19070" xr:uid="{00000000-0005-0000-0000-00009B470000}"/>
    <cellStyle name="SAPBEXinputData 3 3 6" xfId="19071" xr:uid="{00000000-0005-0000-0000-00009C470000}"/>
    <cellStyle name="SAPBEXinputData 3 3 6 2" xfId="19072" xr:uid="{00000000-0005-0000-0000-00009D470000}"/>
    <cellStyle name="SAPBEXinputData 3 3 6 3" xfId="19073" xr:uid="{00000000-0005-0000-0000-00009E470000}"/>
    <cellStyle name="SAPBEXinputData 3 3 7" xfId="19074" xr:uid="{00000000-0005-0000-0000-00009F470000}"/>
    <cellStyle name="SAPBEXinputData 3 3 8" xfId="19075" xr:uid="{00000000-0005-0000-0000-0000A0470000}"/>
    <cellStyle name="SAPBEXinputData 3 3 9" xfId="19076" xr:uid="{00000000-0005-0000-0000-0000A1470000}"/>
    <cellStyle name="SAPBEXinputData 3 4" xfId="19077" xr:uid="{00000000-0005-0000-0000-0000A2470000}"/>
    <cellStyle name="SAPBEXinputData 3 4 2" xfId="19078" xr:uid="{00000000-0005-0000-0000-0000A3470000}"/>
    <cellStyle name="SAPBEXinputData 3 4 2 2" xfId="19079" xr:uid="{00000000-0005-0000-0000-0000A4470000}"/>
    <cellStyle name="SAPBEXinputData 3 4 2 2 2" xfId="19080" xr:uid="{00000000-0005-0000-0000-0000A5470000}"/>
    <cellStyle name="SAPBEXinputData 3 4 2 2 2 2" xfId="19081" xr:uid="{00000000-0005-0000-0000-0000A6470000}"/>
    <cellStyle name="SAPBEXinputData 3 4 2 2 2 3" xfId="19082" xr:uid="{00000000-0005-0000-0000-0000A7470000}"/>
    <cellStyle name="SAPBEXinputData 3 4 2 2 3" xfId="19083" xr:uid="{00000000-0005-0000-0000-0000A8470000}"/>
    <cellStyle name="SAPBEXinputData 3 4 2 2 4" xfId="19084" xr:uid="{00000000-0005-0000-0000-0000A9470000}"/>
    <cellStyle name="SAPBEXinputData 3 4 2 2 5" xfId="19085" xr:uid="{00000000-0005-0000-0000-0000AA470000}"/>
    <cellStyle name="SAPBEXinputData 3 4 2 2 6" xfId="19086" xr:uid="{00000000-0005-0000-0000-0000AB470000}"/>
    <cellStyle name="SAPBEXinputData 3 4 2 3" xfId="19087" xr:uid="{00000000-0005-0000-0000-0000AC470000}"/>
    <cellStyle name="SAPBEXinputData 3 4 2 3 2" xfId="19088" xr:uid="{00000000-0005-0000-0000-0000AD470000}"/>
    <cellStyle name="SAPBEXinputData 3 4 2 3 2 2" xfId="19089" xr:uid="{00000000-0005-0000-0000-0000AE470000}"/>
    <cellStyle name="SAPBEXinputData 3 4 2 3 2 3" xfId="19090" xr:uid="{00000000-0005-0000-0000-0000AF470000}"/>
    <cellStyle name="SAPBEXinputData 3 4 2 3 3" xfId="19091" xr:uid="{00000000-0005-0000-0000-0000B0470000}"/>
    <cellStyle name="SAPBEXinputData 3 4 2 3 3 2" xfId="19092" xr:uid="{00000000-0005-0000-0000-0000B1470000}"/>
    <cellStyle name="SAPBEXinputData 3 4 2 3 4" xfId="19093" xr:uid="{00000000-0005-0000-0000-0000B2470000}"/>
    <cellStyle name="SAPBEXinputData 3 4 2 4" xfId="19094" xr:uid="{00000000-0005-0000-0000-0000B3470000}"/>
    <cellStyle name="SAPBEXinputData 3 4 2 4 2" xfId="19095" xr:uid="{00000000-0005-0000-0000-0000B4470000}"/>
    <cellStyle name="SAPBEXinputData 3 4 2 4 3" xfId="19096" xr:uid="{00000000-0005-0000-0000-0000B5470000}"/>
    <cellStyle name="SAPBEXinputData 3 4 2 5" xfId="19097" xr:uid="{00000000-0005-0000-0000-0000B6470000}"/>
    <cellStyle name="SAPBEXinputData 3 4 2 6" xfId="19098" xr:uid="{00000000-0005-0000-0000-0000B7470000}"/>
    <cellStyle name="SAPBEXinputData 3 4 2 7" xfId="19099" xr:uid="{00000000-0005-0000-0000-0000B8470000}"/>
    <cellStyle name="SAPBEXinputData 3 4 2 8" xfId="19100" xr:uid="{00000000-0005-0000-0000-0000B9470000}"/>
    <cellStyle name="SAPBEXinputData 3 4 3" xfId="19101" xr:uid="{00000000-0005-0000-0000-0000BA470000}"/>
    <cellStyle name="SAPBEXinputData 3 4 3 2" xfId="19102" xr:uid="{00000000-0005-0000-0000-0000BB470000}"/>
    <cellStyle name="SAPBEXinputData 3 4 3 2 2" xfId="19103" xr:uid="{00000000-0005-0000-0000-0000BC470000}"/>
    <cellStyle name="SAPBEXinputData 3 4 3 2 3" xfId="19104" xr:uid="{00000000-0005-0000-0000-0000BD470000}"/>
    <cellStyle name="SAPBEXinputData 3 4 3 3" xfId="19105" xr:uid="{00000000-0005-0000-0000-0000BE470000}"/>
    <cellStyle name="SAPBEXinputData 3 4 3 4" xfId="19106" xr:uid="{00000000-0005-0000-0000-0000BF470000}"/>
    <cellStyle name="SAPBEXinputData 3 4 3 5" xfId="19107" xr:uid="{00000000-0005-0000-0000-0000C0470000}"/>
    <cellStyle name="SAPBEXinputData 3 4 3 6" xfId="19108" xr:uid="{00000000-0005-0000-0000-0000C1470000}"/>
    <cellStyle name="SAPBEXinputData 3 4 4" xfId="19109" xr:uid="{00000000-0005-0000-0000-0000C2470000}"/>
    <cellStyle name="SAPBEXinputData 3 4 4 2" xfId="19110" xr:uid="{00000000-0005-0000-0000-0000C3470000}"/>
    <cellStyle name="SAPBEXinputData 3 4 4 2 2" xfId="19111" xr:uid="{00000000-0005-0000-0000-0000C4470000}"/>
    <cellStyle name="SAPBEXinputData 3 4 4 2 3" xfId="19112" xr:uid="{00000000-0005-0000-0000-0000C5470000}"/>
    <cellStyle name="SAPBEXinputData 3 4 4 3" xfId="19113" xr:uid="{00000000-0005-0000-0000-0000C6470000}"/>
    <cellStyle name="SAPBEXinputData 3 4 4 3 2" xfId="19114" xr:uid="{00000000-0005-0000-0000-0000C7470000}"/>
    <cellStyle name="SAPBEXinputData 3 4 4 4" xfId="19115" xr:uid="{00000000-0005-0000-0000-0000C8470000}"/>
    <cellStyle name="SAPBEXinputData 3 4 5" xfId="19116" xr:uid="{00000000-0005-0000-0000-0000C9470000}"/>
    <cellStyle name="SAPBEXinputData 3 4 5 2" xfId="19117" xr:uid="{00000000-0005-0000-0000-0000CA470000}"/>
    <cellStyle name="SAPBEXinputData 3 4 5 3" xfId="19118" xr:uid="{00000000-0005-0000-0000-0000CB470000}"/>
    <cellStyle name="SAPBEXinputData 3 4 6" xfId="19119" xr:uid="{00000000-0005-0000-0000-0000CC470000}"/>
    <cellStyle name="SAPBEXinputData 3 4 7" xfId="19120" xr:uid="{00000000-0005-0000-0000-0000CD470000}"/>
    <cellStyle name="SAPBEXinputData 3 4 8" xfId="19121" xr:uid="{00000000-0005-0000-0000-0000CE470000}"/>
    <cellStyle name="SAPBEXinputData 3 4 9" xfId="19122" xr:uid="{00000000-0005-0000-0000-0000CF470000}"/>
    <cellStyle name="SAPBEXinputData 3 5" xfId="19123" xr:uid="{00000000-0005-0000-0000-0000D0470000}"/>
    <cellStyle name="SAPBEXinputData 3 5 2" xfId="19124" xr:uid="{00000000-0005-0000-0000-0000D1470000}"/>
    <cellStyle name="SAPBEXinputData 3 5 2 2" xfId="19125" xr:uid="{00000000-0005-0000-0000-0000D2470000}"/>
    <cellStyle name="SAPBEXinputData 3 5 2 2 2" xfId="19126" xr:uid="{00000000-0005-0000-0000-0000D3470000}"/>
    <cellStyle name="SAPBEXinputData 3 5 2 2 3" xfId="19127" xr:uid="{00000000-0005-0000-0000-0000D4470000}"/>
    <cellStyle name="SAPBEXinputData 3 5 2 2 4" xfId="19128" xr:uid="{00000000-0005-0000-0000-0000D5470000}"/>
    <cellStyle name="SAPBEXinputData 3 5 2 3" xfId="19129" xr:uid="{00000000-0005-0000-0000-0000D6470000}"/>
    <cellStyle name="SAPBEXinputData 3 5 2 4" xfId="19130" xr:uid="{00000000-0005-0000-0000-0000D7470000}"/>
    <cellStyle name="SAPBEXinputData 3 5 2 5" xfId="19131" xr:uid="{00000000-0005-0000-0000-0000D8470000}"/>
    <cellStyle name="SAPBEXinputData 3 5 2 6" xfId="19132" xr:uid="{00000000-0005-0000-0000-0000D9470000}"/>
    <cellStyle name="SAPBEXinputData 3 5 3" xfId="19133" xr:uid="{00000000-0005-0000-0000-0000DA470000}"/>
    <cellStyle name="SAPBEXinputData 3 5 3 2" xfId="19134" xr:uid="{00000000-0005-0000-0000-0000DB470000}"/>
    <cellStyle name="SAPBEXinputData 3 5 3 2 2" xfId="19135" xr:uid="{00000000-0005-0000-0000-0000DC470000}"/>
    <cellStyle name="SAPBEXinputData 3 5 3 2 3" xfId="19136" xr:uid="{00000000-0005-0000-0000-0000DD470000}"/>
    <cellStyle name="SAPBEXinputData 3 5 3 3" xfId="19137" xr:uid="{00000000-0005-0000-0000-0000DE470000}"/>
    <cellStyle name="SAPBEXinputData 3 5 3 4" xfId="19138" xr:uid="{00000000-0005-0000-0000-0000DF470000}"/>
    <cellStyle name="SAPBEXinputData 3 5 3 5" xfId="19139" xr:uid="{00000000-0005-0000-0000-0000E0470000}"/>
    <cellStyle name="SAPBEXinputData 3 5 3 6" xfId="19140" xr:uid="{00000000-0005-0000-0000-0000E1470000}"/>
    <cellStyle name="SAPBEXinputData 3 5 4" xfId="19141" xr:uid="{00000000-0005-0000-0000-0000E2470000}"/>
    <cellStyle name="SAPBEXinputData 3 5 4 2" xfId="19142" xr:uid="{00000000-0005-0000-0000-0000E3470000}"/>
    <cellStyle name="SAPBEXinputData 3 5 4 3" xfId="19143" xr:uid="{00000000-0005-0000-0000-0000E4470000}"/>
    <cellStyle name="SAPBEXinputData 3 5 5" xfId="19144" xr:uid="{00000000-0005-0000-0000-0000E5470000}"/>
    <cellStyle name="SAPBEXinputData 3 5 6" xfId="19145" xr:uid="{00000000-0005-0000-0000-0000E6470000}"/>
    <cellStyle name="SAPBEXinputData 3 5 7" xfId="19146" xr:uid="{00000000-0005-0000-0000-0000E7470000}"/>
    <cellStyle name="SAPBEXinputData 3 5 8" xfId="19147" xr:uid="{00000000-0005-0000-0000-0000E8470000}"/>
    <cellStyle name="SAPBEXinputData 3 6" xfId="19148" xr:uid="{00000000-0005-0000-0000-0000E9470000}"/>
    <cellStyle name="SAPBEXinputData 3 6 2" xfId="19149" xr:uid="{00000000-0005-0000-0000-0000EA470000}"/>
    <cellStyle name="SAPBEXinputData 3 6 2 2" xfId="19150" xr:uid="{00000000-0005-0000-0000-0000EB470000}"/>
    <cellStyle name="SAPBEXinputData 3 6 3" xfId="19151" xr:uid="{00000000-0005-0000-0000-0000EC470000}"/>
    <cellStyle name="SAPBEXinputData 3 6 4" xfId="19152" xr:uid="{00000000-0005-0000-0000-0000ED470000}"/>
    <cellStyle name="SAPBEXinputData 3 6 4 2" xfId="20426" xr:uid="{00000000-0005-0000-0000-0000ED470000}"/>
    <cellStyle name="SAPBEXinputData 3 6 5" xfId="19153" xr:uid="{00000000-0005-0000-0000-0000EE470000}"/>
    <cellStyle name="SAPBEXinputData 3 6 6" xfId="19154" xr:uid="{00000000-0005-0000-0000-0000EF470000}"/>
    <cellStyle name="SAPBEXinputData 3 7" xfId="19155" xr:uid="{00000000-0005-0000-0000-0000F0470000}"/>
    <cellStyle name="SAPBEXinputData 3 7 2" xfId="19156" xr:uid="{00000000-0005-0000-0000-0000F1470000}"/>
    <cellStyle name="SAPBEXinputData 3 7 2 2" xfId="19157" xr:uid="{00000000-0005-0000-0000-0000F2470000}"/>
    <cellStyle name="SAPBEXinputData 3 7 2 3" xfId="19158" xr:uid="{00000000-0005-0000-0000-0000F3470000}"/>
    <cellStyle name="SAPBEXinputData 3 7 3" xfId="19159" xr:uid="{00000000-0005-0000-0000-0000F4470000}"/>
    <cellStyle name="SAPBEXinputData 3 7 4" xfId="19160" xr:uid="{00000000-0005-0000-0000-0000F5470000}"/>
    <cellStyle name="SAPBEXinputData 3 7 5" xfId="19161" xr:uid="{00000000-0005-0000-0000-0000F6470000}"/>
    <cellStyle name="SAPBEXinputData 3 7 6" xfId="19162" xr:uid="{00000000-0005-0000-0000-0000F7470000}"/>
    <cellStyle name="SAPBEXinputData 3 8" xfId="19163" xr:uid="{00000000-0005-0000-0000-0000F8470000}"/>
    <cellStyle name="SAPBEXinputData 3 8 2" xfId="19164" xr:uid="{00000000-0005-0000-0000-0000F9470000}"/>
    <cellStyle name="SAPBEXinputData 3 8 2 2" xfId="19165" xr:uid="{00000000-0005-0000-0000-0000FA470000}"/>
    <cellStyle name="SAPBEXinputData 3 8 2 3" xfId="19166" xr:uid="{00000000-0005-0000-0000-0000FB470000}"/>
    <cellStyle name="SAPBEXinputData 3 8 3" xfId="19167" xr:uid="{00000000-0005-0000-0000-0000FC470000}"/>
    <cellStyle name="SAPBEXinputData 3 8 3 2" xfId="19168" xr:uid="{00000000-0005-0000-0000-0000FD470000}"/>
    <cellStyle name="SAPBEXinputData 3 8 4" xfId="19169" xr:uid="{00000000-0005-0000-0000-0000FE470000}"/>
    <cellStyle name="SAPBEXinputData 3 9" xfId="19170" xr:uid="{00000000-0005-0000-0000-0000FF470000}"/>
    <cellStyle name="SAPBEXinputData 3 9 2" xfId="19171" xr:uid="{00000000-0005-0000-0000-000000480000}"/>
    <cellStyle name="SAPBEXinputData 3 9 3" xfId="19172" xr:uid="{00000000-0005-0000-0000-000001480000}"/>
    <cellStyle name="SAPBEXinputData 4" xfId="2906" xr:uid="{00000000-0005-0000-0000-00008A0A0000}"/>
    <cellStyle name="SAPBEXinputData 4 10" xfId="19174" xr:uid="{00000000-0005-0000-0000-000003480000}"/>
    <cellStyle name="SAPBEXinputData 4 11" xfId="19175" xr:uid="{00000000-0005-0000-0000-000004480000}"/>
    <cellStyle name="SAPBEXinputData 4 12" xfId="19173" xr:uid="{00000000-0005-0000-0000-000002480000}"/>
    <cellStyle name="SAPBEXinputData 4 2" xfId="19176" xr:uid="{00000000-0005-0000-0000-000005480000}"/>
    <cellStyle name="SAPBEXinputData 4 2 10" xfId="19177" xr:uid="{00000000-0005-0000-0000-000006480000}"/>
    <cellStyle name="SAPBEXinputData 4 2 2" xfId="19178" xr:uid="{00000000-0005-0000-0000-000007480000}"/>
    <cellStyle name="SAPBEXinputData 4 2 2 2" xfId="19179" xr:uid="{00000000-0005-0000-0000-000008480000}"/>
    <cellStyle name="SAPBEXinputData 4 2 2 2 2" xfId="19180" xr:uid="{00000000-0005-0000-0000-000009480000}"/>
    <cellStyle name="SAPBEXinputData 4 2 2 2 2 2" xfId="19181" xr:uid="{00000000-0005-0000-0000-00000A480000}"/>
    <cellStyle name="SAPBEXinputData 4 2 2 2 2 2 2" xfId="19182" xr:uid="{00000000-0005-0000-0000-00000B480000}"/>
    <cellStyle name="SAPBEXinputData 4 2 2 2 2 2 3" xfId="19183" xr:uid="{00000000-0005-0000-0000-00000C480000}"/>
    <cellStyle name="SAPBEXinputData 4 2 2 2 2 3" xfId="19184" xr:uid="{00000000-0005-0000-0000-00000D480000}"/>
    <cellStyle name="SAPBEXinputData 4 2 2 2 2 4" xfId="19185" xr:uid="{00000000-0005-0000-0000-00000E480000}"/>
    <cellStyle name="SAPBEXinputData 4 2 2 2 2 5" xfId="19186" xr:uid="{00000000-0005-0000-0000-00000F480000}"/>
    <cellStyle name="SAPBEXinputData 4 2 2 2 2 6" xfId="19187" xr:uid="{00000000-0005-0000-0000-000010480000}"/>
    <cellStyle name="SAPBEXinputData 4 2 2 2 3" xfId="19188" xr:uid="{00000000-0005-0000-0000-000011480000}"/>
    <cellStyle name="SAPBEXinputData 4 2 2 2 3 2" xfId="19189" xr:uid="{00000000-0005-0000-0000-000012480000}"/>
    <cellStyle name="SAPBEXinputData 4 2 2 2 3 2 2" xfId="19190" xr:uid="{00000000-0005-0000-0000-000013480000}"/>
    <cellStyle name="SAPBEXinputData 4 2 2 2 3 2 3" xfId="19191" xr:uid="{00000000-0005-0000-0000-000014480000}"/>
    <cellStyle name="SAPBEXinputData 4 2 2 2 3 3" xfId="19192" xr:uid="{00000000-0005-0000-0000-000015480000}"/>
    <cellStyle name="SAPBEXinputData 4 2 2 2 3 3 2" xfId="19193" xr:uid="{00000000-0005-0000-0000-000016480000}"/>
    <cellStyle name="SAPBEXinputData 4 2 2 2 3 4" xfId="19194" xr:uid="{00000000-0005-0000-0000-000017480000}"/>
    <cellStyle name="SAPBEXinputData 4 2 2 2 4" xfId="19195" xr:uid="{00000000-0005-0000-0000-000018480000}"/>
    <cellStyle name="SAPBEXinputData 4 2 2 2 4 2" xfId="19196" xr:uid="{00000000-0005-0000-0000-000019480000}"/>
    <cellStyle name="SAPBEXinputData 4 2 2 2 4 3" xfId="19197" xr:uid="{00000000-0005-0000-0000-00001A480000}"/>
    <cellStyle name="SAPBEXinputData 4 2 2 2 5" xfId="19198" xr:uid="{00000000-0005-0000-0000-00001B480000}"/>
    <cellStyle name="SAPBEXinputData 4 2 2 2 6" xfId="19199" xr:uid="{00000000-0005-0000-0000-00001C480000}"/>
    <cellStyle name="SAPBEXinputData 4 2 2 2 7" xfId="19200" xr:uid="{00000000-0005-0000-0000-00001D480000}"/>
    <cellStyle name="SAPBEXinputData 4 2 2 2 8" xfId="19201" xr:uid="{00000000-0005-0000-0000-00001E480000}"/>
    <cellStyle name="SAPBEXinputData 4 2 2 3" xfId="19202" xr:uid="{00000000-0005-0000-0000-00001F480000}"/>
    <cellStyle name="SAPBEXinputData 4 2 2 3 2" xfId="19203" xr:uid="{00000000-0005-0000-0000-000020480000}"/>
    <cellStyle name="SAPBEXinputData 4 2 2 3 2 2" xfId="19204" xr:uid="{00000000-0005-0000-0000-000021480000}"/>
    <cellStyle name="SAPBEXinputData 4 2 2 3 2 3" xfId="19205" xr:uid="{00000000-0005-0000-0000-000022480000}"/>
    <cellStyle name="SAPBEXinputData 4 2 2 3 3" xfId="19206" xr:uid="{00000000-0005-0000-0000-000023480000}"/>
    <cellStyle name="SAPBEXinputData 4 2 2 3 4" xfId="19207" xr:uid="{00000000-0005-0000-0000-000024480000}"/>
    <cellStyle name="SAPBEXinputData 4 2 2 3 5" xfId="19208" xr:uid="{00000000-0005-0000-0000-000025480000}"/>
    <cellStyle name="SAPBEXinputData 4 2 2 3 6" xfId="19209" xr:uid="{00000000-0005-0000-0000-000026480000}"/>
    <cellStyle name="SAPBEXinputData 4 2 2 4" xfId="19210" xr:uid="{00000000-0005-0000-0000-000027480000}"/>
    <cellStyle name="SAPBEXinputData 4 2 2 4 2" xfId="19211" xr:uid="{00000000-0005-0000-0000-000028480000}"/>
    <cellStyle name="SAPBEXinputData 4 2 2 4 2 2" xfId="19212" xr:uid="{00000000-0005-0000-0000-000029480000}"/>
    <cellStyle name="SAPBEXinputData 4 2 2 4 2 3" xfId="19213" xr:uid="{00000000-0005-0000-0000-00002A480000}"/>
    <cellStyle name="SAPBEXinputData 4 2 2 4 3" xfId="19214" xr:uid="{00000000-0005-0000-0000-00002B480000}"/>
    <cellStyle name="SAPBEXinputData 4 2 2 4 3 2" xfId="19215" xr:uid="{00000000-0005-0000-0000-00002C480000}"/>
    <cellStyle name="SAPBEXinputData 4 2 2 4 4" xfId="19216" xr:uid="{00000000-0005-0000-0000-00002D480000}"/>
    <cellStyle name="SAPBEXinputData 4 2 2 5" xfId="19217" xr:uid="{00000000-0005-0000-0000-00002E480000}"/>
    <cellStyle name="SAPBEXinputData 4 2 2 5 2" xfId="19218" xr:uid="{00000000-0005-0000-0000-00002F480000}"/>
    <cellStyle name="SAPBEXinputData 4 2 2 5 3" xfId="19219" xr:uid="{00000000-0005-0000-0000-000030480000}"/>
    <cellStyle name="SAPBEXinputData 4 2 2 6" xfId="19220" xr:uid="{00000000-0005-0000-0000-000031480000}"/>
    <cellStyle name="SAPBEXinputData 4 2 2 7" xfId="19221" xr:uid="{00000000-0005-0000-0000-000032480000}"/>
    <cellStyle name="SAPBEXinputData 4 2 2 8" xfId="19222" xr:uid="{00000000-0005-0000-0000-000033480000}"/>
    <cellStyle name="SAPBEXinputData 4 2 2 9" xfId="19223" xr:uid="{00000000-0005-0000-0000-000034480000}"/>
    <cellStyle name="SAPBEXinputData 4 2 3" xfId="19224" xr:uid="{00000000-0005-0000-0000-000035480000}"/>
    <cellStyle name="SAPBEXinputData 4 2 3 2" xfId="19225" xr:uid="{00000000-0005-0000-0000-000036480000}"/>
    <cellStyle name="SAPBEXinputData 4 2 3 2 2" xfId="19226" xr:uid="{00000000-0005-0000-0000-000037480000}"/>
    <cellStyle name="SAPBEXinputData 4 2 3 2 2 2" xfId="19227" xr:uid="{00000000-0005-0000-0000-000038480000}"/>
    <cellStyle name="SAPBEXinputData 4 2 3 2 2 3" xfId="19228" xr:uid="{00000000-0005-0000-0000-000039480000}"/>
    <cellStyle name="SAPBEXinputData 4 2 3 2 3" xfId="19229" xr:uid="{00000000-0005-0000-0000-00003A480000}"/>
    <cellStyle name="SAPBEXinputData 4 2 3 2 4" xfId="19230" xr:uid="{00000000-0005-0000-0000-00003B480000}"/>
    <cellStyle name="SAPBEXinputData 4 2 3 2 5" xfId="19231" xr:uid="{00000000-0005-0000-0000-00003C480000}"/>
    <cellStyle name="SAPBEXinputData 4 2 3 2 6" xfId="19232" xr:uid="{00000000-0005-0000-0000-00003D480000}"/>
    <cellStyle name="SAPBEXinputData 4 2 3 3" xfId="19233" xr:uid="{00000000-0005-0000-0000-00003E480000}"/>
    <cellStyle name="SAPBEXinputData 4 2 3 3 2" xfId="19234" xr:uid="{00000000-0005-0000-0000-00003F480000}"/>
    <cellStyle name="SAPBEXinputData 4 2 3 3 2 2" xfId="19235" xr:uid="{00000000-0005-0000-0000-000040480000}"/>
    <cellStyle name="SAPBEXinputData 4 2 3 3 2 3" xfId="19236" xr:uid="{00000000-0005-0000-0000-000041480000}"/>
    <cellStyle name="SAPBEXinputData 4 2 3 3 3" xfId="19237" xr:uid="{00000000-0005-0000-0000-000042480000}"/>
    <cellStyle name="SAPBEXinputData 4 2 3 3 3 2" xfId="19238" xr:uid="{00000000-0005-0000-0000-000043480000}"/>
    <cellStyle name="SAPBEXinputData 4 2 3 3 4" xfId="19239" xr:uid="{00000000-0005-0000-0000-000044480000}"/>
    <cellStyle name="SAPBEXinputData 4 2 3 4" xfId="19240" xr:uid="{00000000-0005-0000-0000-000045480000}"/>
    <cellStyle name="SAPBEXinputData 4 2 3 4 2" xfId="19241" xr:uid="{00000000-0005-0000-0000-000046480000}"/>
    <cellStyle name="SAPBEXinputData 4 2 3 4 3" xfId="19242" xr:uid="{00000000-0005-0000-0000-000047480000}"/>
    <cellStyle name="SAPBEXinputData 4 2 3 5" xfId="19243" xr:uid="{00000000-0005-0000-0000-000048480000}"/>
    <cellStyle name="SAPBEXinputData 4 2 3 6" xfId="19244" xr:uid="{00000000-0005-0000-0000-000049480000}"/>
    <cellStyle name="SAPBEXinputData 4 2 3 7" xfId="19245" xr:uid="{00000000-0005-0000-0000-00004A480000}"/>
    <cellStyle name="SAPBEXinputData 4 2 3 8" xfId="19246" xr:uid="{00000000-0005-0000-0000-00004B480000}"/>
    <cellStyle name="SAPBEXinputData 4 2 4" xfId="19247" xr:uid="{00000000-0005-0000-0000-00004C480000}"/>
    <cellStyle name="SAPBEXinputData 4 2 4 2" xfId="19248" xr:uid="{00000000-0005-0000-0000-00004D480000}"/>
    <cellStyle name="SAPBEXinputData 4 2 4 2 2" xfId="19249" xr:uid="{00000000-0005-0000-0000-00004E480000}"/>
    <cellStyle name="SAPBEXinputData 4 2 4 2 3" xfId="19250" xr:uid="{00000000-0005-0000-0000-00004F480000}"/>
    <cellStyle name="SAPBEXinputData 4 2 4 2 4" xfId="19251" xr:uid="{00000000-0005-0000-0000-000050480000}"/>
    <cellStyle name="SAPBEXinputData 4 2 4 3" xfId="19252" xr:uid="{00000000-0005-0000-0000-000051480000}"/>
    <cellStyle name="SAPBEXinputData 4 2 4 4" xfId="19253" xr:uid="{00000000-0005-0000-0000-000052480000}"/>
    <cellStyle name="SAPBEXinputData 4 2 4 5" xfId="19254" xr:uid="{00000000-0005-0000-0000-000053480000}"/>
    <cellStyle name="SAPBEXinputData 4 2 4 6" xfId="19255" xr:uid="{00000000-0005-0000-0000-000054480000}"/>
    <cellStyle name="SAPBEXinputData 4 2 5" xfId="19256" xr:uid="{00000000-0005-0000-0000-000055480000}"/>
    <cellStyle name="SAPBEXinputData 4 2 5 2" xfId="19257" xr:uid="{00000000-0005-0000-0000-000056480000}"/>
    <cellStyle name="SAPBEXinputData 4 2 5 2 2" xfId="19258" xr:uid="{00000000-0005-0000-0000-000057480000}"/>
    <cellStyle name="SAPBEXinputData 4 2 5 2 3" xfId="19259" xr:uid="{00000000-0005-0000-0000-000058480000}"/>
    <cellStyle name="SAPBEXinputData 4 2 5 3" xfId="19260" xr:uid="{00000000-0005-0000-0000-000059480000}"/>
    <cellStyle name="SAPBEXinputData 4 2 5 4" xfId="19261" xr:uid="{00000000-0005-0000-0000-00005A480000}"/>
    <cellStyle name="SAPBEXinputData 4 2 5 5" xfId="19262" xr:uid="{00000000-0005-0000-0000-00005B480000}"/>
    <cellStyle name="SAPBEXinputData 4 2 5 6" xfId="19263" xr:uid="{00000000-0005-0000-0000-00005C480000}"/>
    <cellStyle name="SAPBEXinputData 4 2 6" xfId="19264" xr:uid="{00000000-0005-0000-0000-00005D480000}"/>
    <cellStyle name="SAPBEXinputData 4 2 6 2" xfId="19265" xr:uid="{00000000-0005-0000-0000-00005E480000}"/>
    <cellStyle name="SAPBEXinputData 4 2 6 3" xfId="19266" xr:uid="{00000000-0005-0000-0000-00005F480000}"/>
    <cellStyle name="SAPBEXinputData 4 2 7" xfId="19267" xr:uid="{00000000-0005-0000-0000-000060480000}"/>
    <cellStyle name="SAPBEXinputData 4 2 8" xfId="19268" xr:uid="{00000000-0005-0000-0000-000061480000}"/>
    <cellStyle name="SAPBEXinputData 4 2 9" xfId="19269" xr:uid="{00000000-0005-0000-0000-000062480000}"/>
    <cellStyle name="SAPBEXinputData 4 3" xfId="19270" xr:uid="{00000000-0005-0000-0000-000063480000}"/>
    <cellStyle name="SAPBEXinputData 4 3 2" xfId="19271" xr:uid="{00000000-0005-0000-0000-000064480000}"/>
    <cellStyle name="SAPBEXinputData 4 3 2 2" xfId="19272" xr:uid="{00000000-0005-0000-0000-000065480000}"/>
    <cellStyle name="SAPBEXinputData 4 3 2 2 2" xfId="19273" xr:uid="{00000000-0005-0000-0000-000066480000}"/>
    <cellStyle name="SAPBEXinputData 4 3 2 2 2 2" xfId="19274" xr:uid="{00000000-0005-0000-0000-000067480000}"/>
    <cellStyle name="SAPBEXinputData 4 3 2 2 2 3" xfId="19275" xr:uid="{00000000-0005-0000-0000-000068480000}"/>
    <cellStyle name="SAPBEXinputData 4 3 2 2 3" xfId="19276" xr:uid="{00000000-0005-0000-0000-000069480000}"/>
    <cellStyle name="SAPBEXinputData 4 3 2 2 4" xfId="19277" xr:uid="{00000000-0005-0000-0000-00006A480000}"/>
    <cellStyle name="SAPBEXinputData 4 3 2 2 5" xfId="19278" xr:uid="{00000000-0005-0000-0000-00006B480000}"/>
    <cellStyle name="SAPBEXinputData 4 3 2 2 6" xfId="19279" xr:uid="{00000000-0005-0000-0000-00006C480000}"/>
    <cellStyle name="SAPBEXinputData 4 3 2 3" xfId="19280" xr:uid="{00000000-0005-0000-0000-00006D480000}"/>
    <cellStyle name="SAPBEXinputData 4 3 2 3 2" xfId="19281" xr:uid="{00000000-0005-0000-0000-00006E480000}"/>
    <cellStyle name="SAPBEXinputData 4 3 2 3 2 2" xfId="19282" xr:uid="{00000000-0005-0000-0000-00006F480000}"/>
    <cellStyle name="SAPBEXinputData 4 3 2 3 2 3" xfId="19283" xr:uid="{00000000-0005-0000-0000-000070480000}"/>
    <cellStyle name="SAPBEXinputData 4 3 2 3 3" xfId="19284" xr:uid="{00000000-0005-0000-0000-000071480000}"/>
    <cellStyle name="SAPBEXinputData 4 3 2 3 3 2" xfId="19285" xr:uid="{00000000-0005-0000-0000-000072480000}"/>
    <cellStyle name="SAPBEXinputData 4 3 2 3 4" xfId="19286" xr:uid="{00000000-0005-0000-0000-000073480000}"/>
    <cellStyle name="SAPBEXinputData 4 3 2 4" xfId="19287" xr:uid="{00000000-0005-0000-0000-000074480000}"/>
    <cellStyle name="SAPBEXinputData 4 3 2 4 2" xfId="19288" xr:uid="{00000000-0005-0000-0000-000075480000}"/>
    <cellStyle name="SAPBEXinputData 4 3 2 4 3" xfId="19289" xr:uid="{00000000-0005-0000-0000-000076480000}"/>
    <cellStyle name="SAPBEXinputData 4 3 2 5" xfId="19290" xr:uid="{00000000-0005-0000-0000-000077480000}"/>
    <cellStyle name="SAPBEXinputData 4 3 2 6" xfId="19291" xr:uid="{00000000-0005-0000-0000-000078480000}"/>
    <cellStyle name="SAPBEXinputData 4 3 2 7" xfId="19292" xr:uid="{00000000-0005-0000-0000-000079480000}"/>
    <cellStyle name="SAPBEXinputData 4 3 2 8" xfId="19293" xr:uid="{00000000-0005-0000-0000-00007A480000}"/>
    <cellStyle name="SAPBEXinputData 4 3 3" xfId="19294" xr:uid="{00000000-0005-0000-0000-00007B480000}"/>
    <cellStyle name="SAPBEXinputData 4 3 3 2" xfId="19295" xr:uid="{00000000-0005-0000-0000-00007C480000}"/>
    <cellStyle name="SAPBEXinputData 4 3 3 2 2" xfId="19296" xr:uid="{00000000-0005-0000-0000-00007D480000}"/>
    <cellStyle name="SAPBEXinputData 4 3 3 2 3" xfId="19297" xr:uid="{00000000-0005-0000-0000-00007E480000}"/>
    <cellStyle name="SAPBEXinputData 4 3 3 3" xfId="19298" xr:uid="{00000000-0005-0000-0000-00007F480000}"/>
    <cellStyle name="SAPBEXinputData 4 3 3 4" xfId="19299" xr:uid="{00000000-0005-0000-0000-000080480000}"/>
    <cellStyle name="SAPBEXinputData 4 3 3 5" xfId="19300" xr:uid="{00000000-0005-0000-0000-000081480000}"/>
    <cellStyle name="SAPBEXinputData 4 3 3 6" xfId="19301" xr:uid="{00000000-0005-0000-0000-000082480000}"/>
    <cellStyle name="SAPBEXinputData 4 3 4" xfId="19302" xr:uid="{00000000-0005-0000-0000-000083480000}"/>
    <cellStyle name="SAPBEXinputData 4 3 4 2" xfId="19303" xr:uid="{00000000-0005-0000-0000-000084480000}"/>
    <cellStyle name="SAPBEXinputData 4 3 4 2 2" xfId="19304" xr:uid="{00000000-0005-0000-0000-000085480000}"/>
    <cellStyle name="SAPBEXinputData 4 3 4 2 3" xfId="19305" xr:uid="{00000000-0005-0000-0000-000086480000}"/>
    <cellStyle name="SAPBEXinputData 4 3 4 3" xfId="19306" xr:uid="{00000000-0005-0000-0000-000087480000}"/>
    <cellStyle name="SAPBEXinputData 4 3 4 3 2" xfId="19307" xr:uid="{00000000-0005-0000-0000-000088480000}"/>
    <cellStyle name="SAPBEXinputData 4 3 4 4" xfId="19308" xr:uid="{00000000-0005-0000-0000-000089480000}"/>
    <cellStyle name="SAPBEXinputData 4 3 5" xfId="19309" xr:uid="{00000000-0005-0000-0000-00008A480000}"/>
    <cellStyle name="SAPBEXinputData 4 3 5 2" xfId="19310" xr:uid="{00000000-0005-0000-0000-00008B480000}"/>
    <cellStyle name="SAPBEXinputData 4 3 5 3" xfId="19311" xr:uid="{00000000-0005-0000-0000-00008C480000}"/>
    <cellStyle name="SAPBEXinputData 4 3 6" xfId="19312" xr:uid="{00000000-0005-0000-0000-00008D480000}"/>
    <cellStyle name="SAPBEXinputData 4 3 7" xfId="19313" xr:uid="{00000000-0005-0000-0000-00008E480000}"/>
    <cellStyle name="SAPBEXinputData 4 3 8" xfId="19314" xr:uid="{00000000-0005-0000-0000-00008F480000}"/>
    <cellStyle name="SAPBEXinputData 4 3 9" xfId="19315" xr:uid="{00000000-0005-0000-0000-000090480000}"/>
    <cellStyle name="SAPBEXinputData 4 4" xfId="19316" xr:uid="{00000000-0005-0000-0000-000091480000}"/>
    <cellStyle name="SAPBEXinputData 4 4 2" xfId="19317" xr:uid="{00000000-0005-0000-0000-000092480000}"/>
    <cellStyle name="SAPBEXinputData 4 4 2 2" xfId="19318" xr:uid="{00000000-0005-0000-0000-000093480000}"/>
    <cellStyle name="SAPBEXinputData 4 4 2 2 2" xfId="19319" xr:uid="{00000000-0005-0000-0000-000094480000}"/>
    <cellStyle name="SAPBEXinputData 4 4 2 2 3" xfId="19320" xr:uid="{00000000-0005-0000-0000-000095480000}"/>
    <cellStyle name="SAPBEXinputData 4 4 2 2 4" xfId="19321" xr:uid="{00000000-0005-0000-0000-000096480000}"/>
    <cellStyle name="SAPBEXinputData 4 4 2 3" xfId="19322" xr:uid="{00000000-0005-0000-0000-000097480000}"/>
    <cellStyle name="SAPBEXinputData 4 4 2 4" xfId="19323" xr:uid="{00000000-0005-0000-0000-000098480000}"/>
    <cellStyle name="SAPBEXinputData 4 4 2 5" xfId="19324" xr:uid="{00000000-0005-0000-0000-000099480000}"/>
    <cellStyle name="SAPBEXinputData 4 4 2 6" xfId="19325" xr:uid="{00000000-0005-0000-0000-00009A480000}"/>
    <cellStyle name="SAPBEXinputData 4 4 3" xfId="19326" xr:uid="{00000000-0005-0000-0000-00009B480000}"/>
    <cellStyle name="SAPBEXinputData 4 4 3 2" xfId="19327" xr:uid="{00000000-0005-0000-0000-00009C480000}"/>
    <cellStyle name="SAPBEXinputData 4 4 3 2 2" xfId="19328" xr:uid="{00000000-0005-0000-0000-00009D480000}"/>
    <cellStyle name="SAPBEXinputData 4 4 3 2 3" xfId="19329" xr:uid="{00000000-0005-0000-0000-00009E480000}"/>
    <cellStyle name="SAPBEXinputData 4 4 3 3" xfId="19330" xr:uid="{00000000-0005-0000-0000-00009F480000}"/>
    <cellStyle name="SAPBEXinputData 4 4 3 4" xfId="19331" xr:uid="{00000000-0005-0000-0000-0000A0480000}"/>
    <cellStyle name="SAPBEXinputData 4 4 3 5" xfId="19332" xr:uid="{00000000-0005-0000-0000-0000A1480000}"/>
    <cellStyle name="SAPBEXinputData 4 4 3 6" xfId="19333" xr:uid="{00000000-0005-0000-0000-0000A2480000}"/>
    <cellStyle name="SAPBEXinputData 4 4 4" xfId="19334" xr:uid="{00000000-0005-0000-0000-0000A3480000}"/>
    <cellStyle name="SAPBEXinputData 4 4 4 2" xfId="19335" xr:uid="{00000000-0005-0000-0000-0000A4480000}"/>
    <cellStyle name="SAPBEXinputData 4 4 4 3" xfId="19336" xr:uid="{00000000-0005-0000-0000-0000A5480000}"/>
    <cellStyle name="SAPBEXinputData 4 4 5" xfId="19337" xr:uid="{00000000-0005-0000-0000-0000A6480000}"/>
    <cellStyle name="SAPBEXinputData 4 4 6" xfId="19338" xr:uid="{00000000-0005-0000-0000-0000A7480000}"/>
    <cellStyle name="SAPBEXinputData 4 4 7" xfId="19339" xr:uid="{00000000-0005-0000-0000-0000A8480000}"/>
    <cellStyle name="SAPBEXinputData 4 4 8" xfId="19340" xr:uid="{00000000-0005-0000-0000-0000A9480000}"/>
    <cellStyle name="SAPBEXinputData 4 5" xfId="19341" xr:uid="{00000000-0005-0000-0000-0000AA480000}"/>
    <cellStyle name="SAPBEXinputData 4 5 2" xfId="19342" xr:uid="{00000000-0005-0000-0000-0000AB480000}"/>
    <cellStyle name="SAPBEXinputData 4 5 2 2" xfId="19343" xr:uid="{00000000-0005-0000-0000-0000AC480000}"/>
    <cellStyle name="SAPBEXinputData 4 5 2 3" xfId="19344" xr:uid="{00000000-0005-0000-0000-0000AD480000}"/>
    <cellStyle name="SAPBEXinputData 4 5 2 4" xfId="19345" xr:uid="{00000000-0005-0000-0000-0000AE480000}"/>
    <cellStyle name="SAPBEXinputData 4 5 3" xfId="19346" xr:uid="{00000000-0005-0000-0000-0000AF480000}"/>
    <cellStyle name="SAPBEXinputData 4 5 4" xfId="19347" xr:uid="{00000000-0005-0000-0000-0000B0480000}"/>
    <cellStyle name="SAPBEXinputData 4 5 5" xfId="19348" xr:uid="{00000000-0005-0000-0000-0000B1480000}"/>
    <cellStyle name="SAPBEXinputData 4 5 6" xfId="19349" xr:uid="{00000000-0005-0000-0000-0000B2480000}"/>
    <cellStyle name="SAPBEXinputData 4 6" xfId="19350" xr:uid="{00000000-0005-0000-0000-0000B3480000}"/>
    <cellStyle name="SAPBEXinputData 4 6 2" xfId="19351" xr:uid="{00000000-0005-0000-0000-0000B4480000}"/>
    <cellStyle name="SAPBEXinputData 4 6 2 2" xfId="19352" xr:uid="{00000000-0005-0000-0000-0000B5480000}"/>
    <cellStyle name="SAPBEXinputData 4 6 2 3" xfId="19353" xr:uid="{00000000-0005-0000-0000-0000B6480000}"/>
    <cellStyle name="SAPBEXinputData 4 6 3" xfId="19354" xr:uid="{00000000-0005-0000-0000-0000B7480000}"/>
    <cellStyle name="SAPBEXinputData 4 6 4" xfId="19355" xr:uid="{00000000-0005-0000-0000-0000B8480000}"/>
    <cellStyle name="SAPBEXinputData 4 6 5" xfId="19356" xr:uid="{00000000-0005-0000-0000-0000B9480000}"/>
    <cellStyle name="SAPBEXinputData 4 6 6" xfId="19357" xr:uid="{00000000-0005-0000-0000-0000BA480000}"/>
    <cellStyle name="SAPBEXinputData 4 7" xfId="19358" xr:uid="{00000000-0005-0000-0000-0000BB480000}"/>
    <cellStyle name="SAPBEXinputData 4 7 2" xfId="19359" xr:uid="{00000000-0005-0000-0000-0000BC480000}"/>
    <cellStyle name="SAPBEXinputData 4 7 3" xfId="19360" xr:uid="{00000000-0005-0000-0000-0000BD480000}"/>
    <cellStyle name="SAPBEXinputData 4 8" xfId="19361" xr:uid="{00000000-0005-0000-0000-0000BE480000}"/>
    <cellStyle name="SAPBEXinputData 4 9" xfId="19362" xr:uid="{00000000-0005-0000-0000-0000BF480000}"/>
    <cellStyle name="SAPBEXinputData 5" xfId="19363" xr:uid="{00000000-0005-0000-0000-0000C0480000}"/>
    <cellStyle name="SAPBEXinputData 5 10" xfId="19364" xr:uid="{00000000-0005-0000-0000-0000C1480000}"/>
    <cellStyle name="SAPBEXinputData 5 2" xfId="19365" xr:uid="{00000000-0005-0000-0000-0000C2480000}"/>
    <cellStyle name="SAPBEXinputData 5 2 2" xfId="19366" xr:uid="{00000000-0005-0000-0000-0000C3480000}"/>
    <cellStyle name="SAPBEXinputData 5 2 2 2" xfId="19367" xr:uid="{00000000-0005-0000-0000-0000C4480000}"/>
    <cellStyle name="SAPBEXinputData 5 2 2 2 2" xfId="19368" xr:uid="{00000000-0005-0000-0000-0000C5480000}"/>
    <cellStyle name="SAPBEXinputData 5 2 2 2 2 2" xfId="19369" xr:uid="{00000000-0005-0000-0000-0000C6480000}"/>
    <cellStyle name="SAPBEXinputData 5 2 2 2 2 3" xfId="19370" xr:uid="{00000000-0005-0000-0000-0000C7480000}"/>
    <cellStyle name="SAPBEXinputData 5 2 2 2 3" xfId="19371" xr:uid="{00000000-0005-0000-0000-0000C8480000}"/>
    <cellStyle name="SAPBEXinputData 5 2 2 2 4" xfId="19372" xr:uid="{00000000-0005-0000-0000-0000C9480000}"/>
    <cellStyle name="SAPBEXinputData 5 2 2 2 5" xfId="19373" xr:uid="{00000000-0005-0000-0000-0000CA480000}"/>
    <cellStyle name="SAPBEXinputData 5 2 2 2 6" xfId="19374" xr:uid="{00000000-0005-0000-0000-0000CB480000}"/>
    <cellStyle name="SAPBEXinputData 5 2 2 3" xfId="19375" xr:uid="{00000000-0005-0000-0000-0000CC480000}"/>
    <cellStyle name="SAPBEXinputData 5 2 2 3 2" xfId="19376" xr:uid="{00000000-0005-0000-0000-0000CD480000}"/>
    <cellStyle name="SAPBEXinputData 5 2 2 3 2 2" xfId="19377" xr:uid="{00000000-0005-0000-0000-0000CE480000}"/>
    <cellStyle name="SAPBEXinputData 5 2 2 3 2 3" xfId="19378" xr:uid="{00000000-0005-0000-0000-0000CF480000}"/>
    <cellStyle name="SAPBEXinputData 5 2 2 3 3" xfId="19379" xr:uid="{00000000-0005-0000-0000-0000D0480000}"/>
    <cellStyle name="SAPBEXinputData 5 2 2 3 3 2" xfId="19380" xr:uid="{00000000-0005-0000-0000-0000D1480000}"/>
    <cellStyle name="SAPBEXinputData 5 2 2 3 4" xfId="19381" xr:uid="{00000000-0005-0000-0000-0000D2480000}"/>
    <cellStyle name="SAPBEXinputData 5 2 2 4" xfId="19382" xr:uid="{00000000-0005-0000-0000-0000D3480000}"/>
    <cellStyle name="SAPBEXinputData 5 2 2 4 2" xfId="19383" xr:uid="{00000000-0005-0000-0000-0000D4480000}"/>
    <cellStyle name="SAPBEXinputData 5 2 2 4 3" xfId="19384" xr:uid="{00000000-0005-0000-0000-0000D5480000}"/>
    <cellStyle name="SAPBEXinputData 5 2 2 5" xfId="19385" xr:uid="{00000000-0005-0000-0000-0000D6480000}"/>
    <cellStyle name="SAPBEXinputData 5 2 2 6" xfId="19386" xr:uid="{00000000-0005-0000-0000-0000D7480000}"/>
    <cellStyle name="SAPBEXinputData 5 2 2 7" xfId="19387" xr:uid="{00000000-0005-0000-0000-0000D8480000}"/>
    <cellStyle name="SAPBEXinputData 5 2 2 8" xfId="19388" xr:uid="{00000000-0005-0000-0000-0000D9480000}"/>
    <cellStyle name="SAPBEXinputData 5 2 3" xfId="19389" xr:uid="{00000000-0005-0000-0000-0000DA480000}"/>
    <cellStyle name="SAPBEXinputData 5 2 3 2" xfId="19390" xr:uid="{00000000-0005-0000-0000-0000DB480000}"/>
    <cellStyle name="SAPBEXinputData 5 2 3 2 2" xfId="19391" xr:uid="{00000000-0005-0000-0000-0000DC480000}"/>
    <cellStyle name="SAPBEXinputData 5 2 3 2 3" xfId="19392" xr:uid="{00000000-0005-0000-0000-0000DD480000}"/>
    <cellStyle name="SAPBEXinputData 5 2 3 3" xfId="19393" xr:uid="{00000000-0005-0000-0000-0000DE480000}"/>
    <cellStyle name="SAPBEXinputData 5 2 3 4" xfId="19394" xr:uid="{00000000-0005-0000-0000-0000DF480000}"/>
    <cellStyle name="SAPBEXinputData 5 2 3 5" xfId="19395" xr:uid="{00000000-0005-0000-0000-0000E0480000}"/>
    <cellStyle name="SAPBEXinputData 5 2 3 6" xfId="19396" xr:uid="{00000000-0005-0000-0000-0000E1480000}"/>
    <cellStyle name="SAPBEXinputData 5 2 4" xfId="19397" xr:uid="{00000000-0005-0000-0000-0000E2480000}"/>
    <cellStyle name="SAPBEXinputData 5 2 4 2" xfId="19398" xr:uid="{00000000-0005-0000-0000-0000E3480000}"/>
    <cellStyle name="SAPBEXinputData 5 2 4 2 2" xfId="19399" xr:uid="{00000000-0005-0000-0000-0000E4480000}"/>
    <cellStyle name="SAPBEXinputData 5 2 4 2 3" xfId="19400" xr:uid="{00000000-0005-0000-0000-0000E5480000}"/>
    <cellStyle name="SAPBEXinputData 5 2 4 3" xfId="19401" xr:uid="{00000000-0005-0000-0000-0000E6480000}"/>
    <cellStyle name="SAPBEXinputData 5 2 4 3 2" xfId="19402" xr:uid="{00000000-0005-0000-0000-0000E7480000}"/>
    <cellStyle name="SAPBEXinputData 5 2 4 4" xfId="19403" xr:uid="{00000000-0005-0000-0000-0000E8480000}"/>
    <cellStyle name="SAPBEXinputData 5 2 5" xfId="19404" xr:uid="{00000000-0005-0000-0000-0000E9480000}"/>
    <cellStyle name="SAPBEXinputData 5 2 5 2" xfId="19405" xr:uid="{00000000-0005-0000-0000-0000EA480000}"/>
    <cellStyle name="SAPBEXinputData 5 2 5 3" xfId="19406" xr:uid="{00000000-0005-0000-0000-0000EB480000}"/>
    <cellStyle name="SAPBEXinputData 5 2 6" xfId="19407" xr:uid="{00000000-0005-0000-0000-0000EC480000}"/>
    <cellStyle name="SAPBEXinputData 5 2 7" xfId="19408" xr:uid="{00000000-0005-0000-0000-0000ED480000}"/>
    <cellStyle name="SAPBEXinputData 5 2 8" xfId="19409" xr:uid="{00000000-0005-0000-0000-0000EE480000}"/>
    <cellStyle name="SAPBEXinputData 5 2 9" xfId="19410" xr:uid="{00000000-0005-0000-0000-0000EF480000}"/>
    <cellStyle name="SAPBEXinputData 5 3" xfId="19411" xr:uid="{00000000-0005-0000-0000-0000F0480000}"/>
    <cellStyle name="SAPBEXinputData 5 3 2" xfId="19412" xr:uid="{00000000-0005-0000-0000-0000F1480000}"/>
    <cellStyle name="SAPBEXinputData 5 3 2 2" xfId="19413" xr:uid="{00000000-0005-0000-0000-0000F2480000}"/>
    <cellStyle name="SAPBEXinputData 5 3 2 2 2" xfId="19414" xr:uid="{00000000-0005-0000-0000-0000F3480000}"/>
    <cellStyle name="SAPBEXinputData 5 3 2 2 3" xfId="19415" xr:uid="{00000000-0005-0000-0000-0000F4480000}"/>
    <cellStyle name="SAPBEXinputData 5 3 2 3" xfId="19416" xr:uid="{00000000-0005-0000-0000-0000F5480000}"/>
    <cellStyle name="SAPBEXinputData 5 3 2 4" xfId="19417" xr:uid="{00000000-0005-0000-0000-0000F6480000}"/>
    <cellStyle name="SAPBEXinputData 5 3 2 5" xfId="19418" xr:uid="{00000000-0005-0000-0000-0000F7480000}"/>
    <cellStyle name="SAPBEXinputData 5 3 2 6" xfId="19419" xr:uid="{00000000-0005-0000-0000-0000F8480000}"/>
    <cellStyle name="SAPBEXinputData 5 3 3" xfId="19420" xr:uid="{00000000-0005-0000-0000-0000F9480000}"/>
    <cellStyle name="SAPBEXinputData 5 3 3 2" xfId="19421" xr:uid="{00000000-0005-0000-0000-0000FA480000}"/>
    <cellStyle name="SAPBEXinputData 5 3 3 2 2" xfId="19422" xr:uid="{00000000-0005-0000-0000-0000FB480000}"/>
    <cellStyle name="SAPBEXinputData 5 3 3 2 3" xfId="19423" xr:uid="{00000000-0005-0000-0000-0000FC480000}"/>
    <cellStyle name="SAPBEXinputData 5 3 3 3" xfId="19424" xr:uid="{00000000-0005-0000-0000-0000FD480000}"/>
    <cellStyle name="SAPBEXinputData 5 3 3 3 2" xfId="19425" xr:uid="{00000000-0005-0000-0000-0000FE480000}"/>
    <cellStyle name="SAPBEXinputData 5 3 3 4" xfId="19426" xr:uid="{00000000-0005-0000-0000-0000FF480000}"/>
    <cellStyle name="SAPBEXinputData 5 3 4" xfId="19427" xr:uid="{00000000-0005-0000-0000-000000490000}"/>
    <cellStyle name="SAPBEXinputData 5 3 4 2" xfId="19428" xr:uid="{00000000-0005-0000-0000-000001490000}"/>
    <cellStyle name="SAPBEXinputData 5 3 4 3" xfId="19429" xr:uid="{00000000-0005-0000-0000-000002490000}"/>
    <cellStyle name="SAPBEXinputData 5 3 5" xfId="19430" xr:uid="{00000000-0005-0000-0000-000003490000}"/>
    <cellStyle name="SAPBEXinputData 5 3 6" xfId="19431" xr:uid="{00000000-0005-0000-0000-000004490000}"/>
    <cellStyle name="SAPBEXinputData 5 3 7" xfId="19432" xr:uid="{00000000-0005-0000-0000-000005490000}"/>
    <cellStyle name="SAPBEXinputData 5 3 8" xfId="19433" xr:uid="{00000000-0005-0000-0000-000006490000}"/>
    <cellStyle name="SAPBEXinputData 5 4" xfId="19434" xr:uid="{00000000-0005-0000-0000-000007490000}"/>
    <cellStyle name="SAPBEXinputData 5 4 2" xfId="19435" xr:uid="{00000000-0005-0000-0000-000008490000}"/>
    <cellStyle name="SAPBEXinputData 5 4 2 2" xfId="19436" xr:uid="{00000000-0005-0000-0000-000009490000}"/>
    <cellStyle name="SAPBEXinputData 5 4 2 3" xfId="19437" xr:uid="{00000000-0005-0000-0000-00000A490000}"/>
    <cellStyle name="SAPBEXinputData 5 4 2 4" xfId="19438" xr:uid="{00000000-0005-0000-0000-00000B490000}"/>
    <cellStyle name="SAPBEXinputData 5 4 3" xfId="19439" xr:uid="{00000000-0005-0000-0000-00000C490000}"/>
    <cellStyle name="SAPBEXinputData 5 4 4" xfId="19440" xr:uid="{00000000-0005-0000-0000-00000D490000}"/>
    <cellStyle name="SAPBEXinputData 5 4 5" xfId="19441" xr:uid="{00000000-0005-0000-0000-00000E490000}"/>
    <cellStyle name="SAPBEXinputData 5 4 6" xfId="19442" xr:uid="{00000000-0005-0000-0000-00000F490000}"/>
    <cellStyle name="SAPBEXinputData 5 5" xfId="19443" xr:uid="{00000000-0005-0000-0000-000010490000}"/>
    <cellStyle name="SAPBEXinputData 5 5 2" xfId="19444" xr:uid="{00000000-0005-0000-0000-000011490000}"/>
    <cellStyle name="SAPBEXinputData 5 5 2 2" xfId="19445" xr:uid="{00000000-0005-0000-0000-000012490000}"/>
    <cellStyle name="SAPBEXinputData 5 5 2 3" xfId="19446" xr:uid="{00000000-0005-0000-0000-000013490000}"/>
    <cellStyle name="SAPBEXinputData 5 5 3" xfId="19447" xr:uid="{00000000-0005-0000-0000-000014490000}"/>
    <cellStyle name="SAPBEXinputData 5 5 4" xfId="19448" xr:uid="{00000000-0005-0000-0000-000015490000}"/>
    <cellStyle name="SAPBEXinputData 5 5 5" xfId="19449" xr:uid="{00000000-0005-0000-0000-000016490000}"/>
    <cellStyle name="SAPBEXinputData 5 5 6" xfId="19450" xr:uid="{00000000-0005-0000-0000-000017490000}"/>
    <cellStyle name="SAPBEXinputData 5 6" xfId="19451" xr:uid="{00000000-0005-0000-0000-000018490000}"/>
    <cellStyle name="SAPBEXinputData 5 6 2" xfId="19452" xr:uid="{00000000-0005-0000-0000-000019490000}"/>
    <cellStyle name="SAPBEXinputData 5 6 3" xfId="19453" xr:uid="{00000000-0005-0000-0000-00001A490000}"/>
    <cellStyle name="SAPBEXinputData 5 7" xfId="19454" xr:uid="{00000000-0005-0000-0000-00001B490000}"/>
    <cellStyle name="SAPBEXinputData 5 8" xfId="19455" xr:uid="{00000000-0005-0000-0000-00001C490000}"/>
    <cellStyle name="SAPBEXinputData 5 9" xfId="19456" xr:uid="{00000000-0005-0000-0000-00001D490000}"/>
    <cellStyle name="SAPBEXinputData 6" xfId="19457" xr:uid="{00000000-0005-0000-0000-00001E490000}"/>
    <cellStyle name="SAPBEXinputData 6 2" xfId="19458" xr:uid="{00000000-0005-0000-0000-00001F490000}"/>
    <cellStyle name="SAPBEXinputData 6 2 2" xfId="19459" xr:uid="{00000000-0005-0000-0000-000020490000}"/>
    <cellStyle name="SAPBEXinputData 6 2 2 2" xfId="19460" xr:uid="{00000000-0005-0000-0000-000021490000}"/>
    <cellStyle name="SAPBEXinputData 6 2 2 2 2" xfId="19461" xr:uid="{00000000-0005-0000-0000-000022490000}"/>
    <cellStyle name="SAPBEXinputData 6 2 2 2 3" xfId="19462" xr:uid="{00000000-0005-0000-0000-000023490000}"/>
    <cellStyle name="SAPBEXinputData 6 2 2 3" xfId="19463" xr:uid="{00000000-0005-0000-0000-000024490000}"/>
    <cellStyle name="SAPBEXinputData 6 2 2 4" xfId="19464" xr:uid="{00000000-0005-0000-0000-000025490000}"/>
    <cellStyle name="SAPBEXinputData 6 2 2 5" xfId="19465" xr:uid="{00000000-0005-0000-0000-000026490000}"/>
    <cellStyle name="SAPBEXinputData 6 2 2 6" xfId="19466" xr:uid="{00000000-0005-0000-0000-000027490000}"/>
    <cellStyle name="SAPBEXinputData 6 2 3" xfId="19467" xr:uid="{00000000-0005-0000-0000-000028490000}"/>
    <cellStyle name="SAPBEXinputData 6 2 3 2" xfId="19468" xr:uid="{00000000-0005-0000-0000-000029490000}"/>
    <cellStyle name="SAPBEXinputData 6 2 3 2 2" xfId="19469" xr:uid="{00000000-0005-0000-0000-00002A490000}"/>
    <cellStyle name="SAPBEXinputData 6 2 3 2 3" xfId="19470" xr:uid="{00000000-0005-0000-0000-00002B490000}"/>
    <cellStyle name="SAPBEXinputData 6 2 3 3" xfId="19471" xr:uid="{00000000-0005-0000-0000-00002C490000}"/>
    <cellStyle name="SAPBEXinputData 6 2 3 3 2" xfId="19472" xr:uid="{00000000-0005-0000-0000-00002D490000}"/>
    <cellStyle name="SAPBEXinputData 6 2 3 4" xfId="19473" xr:uid="{00000000-0005-0000-0000-00002E490000}"/>
    <cellStyle name="SAPBEXinputData 6 2 4" xfId="19474" xr:uid="{00000000-0005-0000-0000-00002F490000}"/>
    <cellStyle name="SAPBEXinputData 6 2 4 2" xfId="19475" xr:uid="{00000000-0005-0000-0000-000030490000}"/>
    <cellStyle name="SAPBEXinputData 6 2 4 3" xfId="19476" xr:uid="{00000000-0005-0000-0000-000031490000}"/>
    <cellStyle name="SAPBEXinputData 6 2 5" xfId="19477" xr:uid="{00000000-0005-0000-0000-000032490000}"/>
    <cellStyle name="SAPBEXinputData 6 2 6" xfId="19478" xr:uid="{00000000-0005-0000-0000-000033490000}"/>
    <cellStyle name="SAPBEXinputData 6 2 7" xfId="19479" xr:uid="{00000000-0005-0000-0000-000034490000}"/>
    <cellStyle name="SAPBEXinputData 6 2 8" xfId="19480" xr:uid="{00000000-0005-0000-0000-000035490000}"/>
    <cellStyle name="SAPBEXinputData 6 3" xfId="19481" xr:uid="{00000000-0005-0000-0000-000036490000}"/>
    <cellStyle name="SAPBEXinputData 6 3 2" xfId="19482" xr:uid="{00000000-0005-0000-0000-000037490000}"/>
    <cellStyle name="SAPBEXinputData 6 3 2 2" xfId="19483" xr:uid="{00000000-0005-0000-0000-000038490000}"/>
    <cellStyle name="SAPBEXinputData 6 3 2 3" xfId="19484" xr:uid="{00000000-0005-0000-0000-000039490000}"/>
    <cellStyle name="SAPBEXinputData 6 3 3" xfId="19485" xr:uid="{00000000-0005-0000-0000-00003A490000}"/>
    <cellStyle name="SAPBEXinputData 6 3 4" xfId="19486" xr:uid="{00000000-0005-0000-0000-00003B490000}"/>
    <cellStyle name="SAPBEXinputData 6 3 5" xfId="19487" xr:uid="{00000000-0005-0000-0000-00003C490000}"/>
    <cellStyle name="SAPBEXinputData 6 3 6" xfId="19488" xr:uid="{00000000-0005-0000-0000-00003D490000}"/>
    <cellStyle name="SAPBEXinputData 6 4" xfId="19489" xr:uid="{00000000-0005-0000-0000-00003E490000}"/>
    <cellStyle name="SAPBEXinputData 6 4 2" xfId="19490" xr:uid="{00000000-0005-0000-0000-00003F490000}"/>
    <cellStyle name="SAPBEXinputData 6 4 2 2" xfId="19491" xr:uid="{00000000-0005-0000-0000-000040490000}"/>
    <cellStyle name="SAPBEXinputData 6 4 2 3" xfId="19492" xr:uid="{00000000-0005-0000-0000-000041490000}"/>
    <cellStyle name="SAPBEXinputData 6 4 3" xfId="19493" xr:uid="{00000000-0005-0000-0000-000042490000}"/>
    <cellStyle name="SAPBEXinputData 6 4 3 2" xfId="19494" xr:uid="{00000000-0005-0000-0000-000043490000}"/>
    <cellStyle name="SAPBEXinputData 6 4 4" xfId="19495" xr:uid="{00000000-0005-0000-0000-000044490000}"/>
    <cellStyle name="SAPBEXinputData 6 5" xfId="19496" xr:uid="{00000000-0005-0000-0000-000045490000}"/>
    <cellStyle name="SAPBEXinputData 6 5 2" xfId="19497" xr:uid="{00000000-0005-0000-0000-000046490000}"/>
    <cellStyle name="SAPBEXinputData 6 5 3" xfId="19498" xr:uid="{00000000-0005-0000-0000-000047490000}"/>
    <cellStyle name="SAPBEXinputData 6 6" xfId="19499" xr:uid="{00000000-0005-0000-0000-000048490000}"/>
    <cellStyle name="SAPBEXinputData 6 7" xfId="19500" xr:uid="{00000000-0005-0000-0000-000049490000}"/>
    <cellStyle name="SAPBEXinputData 6 8" xfId="19501" xr:uid="{00000000-0005-0000-0000-00004A490000}"/>
    <cellStyle name="SAPBEXinputData 6 9" xfId="19502" xr:uid="{00000000-0005-0000-0000-00004B490000}"/>
    <cellStyle name="SAPBEXinputData 7" xfId="19503" xr:uid="{00000000-0005-0000-0000-00004C490000}"/>
    <cellStyle name="SAPBEXinputData 7 2" xfId="19504" xr:uid="{00000000-0005-0000-0000-00004D490000}"/>
    <cellStyle name="SAPBEXinputData 7 2 2" xfId="19505" xr:uid="{00000000-0005-0000-0000-00004E490000}"/>
    <cellStyle name="SAPBEXinputData 7 2 2 2" xfId="19506" xr:uid="{00000000-0005-0000-0000-00004F490000}"/>
    <cellStyle name="SAPBEXinputData 7 2 2 3" xfId="19507" xr:uid="{00000000-0005-0000-0000-000050490000}"/>
    <cellStyle name="SAPBEXinputData 7 2 2 4" xfId="19508" xr:uid="{00000000-0005-0000-0000-000051490000}"/>
    <cellStyle name="SAPBEXinputData 7 2 3" xfId="19509" xr:uid="{00000000-0005-0000-0000-000052490000}"/>
    <cellStyle name="SAPBEXinputData 7 2 4" xfId="19510" xr:uid="{00000000-0005-0000-0000-000053490000}"/>
    <cellStyle name="SAPBEXinputData 7 2 5" xfId="19511" xr:uid="{00000000-0005-0000-0000-000054490000}"/>
    <cellStyle name="SAPBEXinputData 7 2 6" xfId="19512" xr:uid="{00000000-0005-0000-0000-000055490000}"/>
    <cellStyle name="SAPBEXinputData 7 3" xfId="19513" xr:uid="{00000000-0005-0000-0000-000056490000}"/>
    <cellStyle name="SAPBEXinputData 7 3 2" xfId="19514" xr:uid="{00000000-0005-0000-0000-000057490000}"/>
    <cellStyle name="SAPBEXinputData 7 3 2 2" xfId="19515" xr:uid="{00000000-0005-0000-0000-000058490000}"/>
    <cellStyle name="SAPBEXinputData 7 3 2 3" xfId="19516" xr:uid="{00000000-0005-0000-0000-000059490000}"/>
    <cellStyle name="SAPBEXinputData 7 3 3" xfId="19517" xr:uid="{00000000-0005-0000-0000-00005A490000}"/>
    <cellStyle name="SAPBEXinputData 7 3 4" xfId="19518" xr:uid="{00000000-0005-0000-0000-00005B490000}"/>
    <cellStyle name="SAPBEXinputData 7 3 5" xfId="19519" xr:uid="{00000000-0005-0000-0000-00005C490000}"/>
    <cellStyle name="SAPBEXinputData 7 3 6" xfId="19520" xr:uid="{00000000-0005-0000-0000-00005D490000}"/>
    <cellStyle name="SAPBEXinputData 7 4" xfId="19521" xr:uid="{00000000-0005-0000-0000-00005E490000}"/>
    <cellStyle name="SAPBEXinputData 7 4 2" xfId="19522" xr:uid="{00000000-0005-0000-0000-00005F490000}"/>
    <cellStyle name="SAPBEXinputData 7 4 3" xfId="19523" xr:uid="{00000000-0005-0000-0000-000060490000}"/>
    <cellStyle name="SAPBEXinputData 7 5" xfId="19524" xr:uid="{00000000-0005-0000-0000-000061490000}"/>
    <cellStyle name="SAPBEXinputData 7 6" xfId="19525" xr:uid="{00000000-0005-0000-0000-000062490000}"/>
    <cellStyle name="SAPBEXinputData 7 7" xfId="19526" xr:uid="{00000000-0005-0000-0000-000063490000}"/>
    <cellStyle name="SAPBEXinputData 7 8" xfId="19527" xr:uid="{00000000-0005-0000-0000-000064490000}"/>
    <cellStyle name="SAPBEXinputData 8" xfId="19528" xr:uid="{00000000-0005-0000-0000-000065490000}"/>
    <cellStyle name="SAPBEXinputData 8 2" xfId="19529" xr:uid="{00000000-0005-0000-0000-000066490000}"/>
    <cellStyle name="SAPBEXinputData 8 2 2" xfId="19530" xr:uid="{00000000-0005-0000-0000-000067490000}"/>
    <cellStyle name="SAPBEXinputData 8 3" xfId="19531" xr:uid="{00000000-0005-0000-0000-000068490000}"/>
    <cellStyle name="SAPBEXinputData 8 4" xfId="19532" xr:uid="{00000000-0005-0000-0000-000069490000}"/>
    <cellStyle name="SAPBEXinputData 8 4 2" xfId="20427" xr:uid="{00000000-0005-0000-0000-000069490000}"/>
    <cellStyle name="SAPBEXinputData 8 5" xfId="19533" xr:uid="{00000000-0005-0000-0000-00006A490000}"/>
    <cellStyle name="SAPBEXinputData 8 6" xfId="19534" xr:uid="{00000000-0005-0000-0000-00006B490000}"/>
    <cellStyle name="SAPBEXinputData 9" xfId="19535" xr:uid="{00000000-0005-0000-0000-00006C490000}"/>
    <cellStyle name="SAPBEXinputData 9 2" xfId="19536" xr:uid="{00000000-0005-0000-0000-00006D490000}"/>
    <cellStyle name="SAPBEXinputData 9 2 2" xfId="19537" xr:uid="{00000000-0005-0000-0000-00006E490000}"/>
    <cellStyle name="SAPBEXinputData 9 2 3" xfId="19538" xr:uid="{00000000-0005-0000-0000-00006F490000}"/>
    <cellStyle name="SAPBEXinputData 9 3" xfId="19539" xr:uid="{00000000-0005-0000-0000-000070490000}"/>
    <cellStyle name="SAPBEXinputData 9 4" xfId="19540" xr:uid="{00000000-0005-0000-0000-000071490000}"/>
    <cellStyle name="SAPBEXinputData 9 5" xfId="19541" xr:uid="{00000000-0005-0000-0000-000072490000}"/>
    <cellStyle name="SAPBEXinputData 9 6" xfId="19542" xr:uid="{00000000-0005-0000-0000-000073490000}"/>
    <cellStyle name="SAPBEXinputData_2010-2012 Program Workbook_Incent_FS" xfId="2729" xr:uid="{00000000-0005-0000-0000-00008B0A0000}"/>
    <cellStyle name="SAPBEXItemHeader" xfId="19543" xr:uid="{00000000-0005-0000-0000-000075490000}"/>
    <cellStyle name="SAPBEXItemHeader 2" xfId="19544" xr:uid="{00000000-0005-0000-0000-000076490000}"/>
    <cellStyle name="SAPBEXItemHeader 2 2" xfId="19545" xr:uid="{00000000-0005-0000-0000-000077490000}"/>
    <cellStyle name="SAPBEXItemHeader 2 2 2" xfId="20428" xr:uid="{00000000-0005-0000-0000-000077490000}"/>
    <cellStyle name="SAPBEXItemHeader 3" xfId="19546" xr:uid="{00000000-0005-0000-0000-000078490000}"/>
    <cellStyle name="SAPBEXItemHeader 3 2" xfId="20429" xr:uid="{00000000-0005-0000-0000-000078490000}"/>
    <cellStyle name="SAPBEXItemHeader 4" xfId="19547" xr:uid="{00000000-0005-0000-0000-000079490000}"/>
    <cellStyle name="SAPBEXresData" xfId="2730" xr:uid="{00000000-0005-0000-0000-00008C0A0000}"/>
    <cellStyle name="SAPBEXresData 2" xfId="2731" xr:uid="{00000000-0005-0000-0000-00008D0A0000}"/>
    <cellStyle name="SAPBEXresData 2 2" xfId="19550" xr:uid="{00000000-0005-0000-0000-00007C490000}"/>
    <cellStyle name="SAPBEXresData 2 2 2" xfId="19551" xr:uid="{00000000-0005-0000-0000-00007D490000}"/>
    <cellStyle name="SAPBEXresData 2 2 2 2" xfId="20430" xr:uid="{00000000-0005-0000-0000-00007D490000}"/>
    <cellStyle name="SAPBEXresData 2 3" xfId="19552" xr:uid="{00000000-0005-0000-0000-00007E490000}"/>
    <cellStyle name="SAPBEXresData 2 3 2" xfId="20431" xr:uid="{00000000-0005-0000-0000-00007E490000}"/>
    <cellStyle name="SAPBEXresData 2 4" xfId="19553" xr:uid="{00000000-0005-0000-0000-00007F490000}"/>
    <cellStyle name="SAPBEXresData 2 5" xfId="19549" xr:uid="{00000000-0005-0000-0000-00007B490000}"/>
    <cellStyle name="SAPBEXresData 3" xfId="19554" xr:uid="{00000000-0005-0000-0000-000080490000}"/>
    <cellStyle name="SAPBEXresData 3 2" xfId="19555" xr:uid="{00000000-0005-0000-0000-000081490000}"/>
    <cellStyle name="SAPBEXresData 3 3" xfId="19556" xr:uid="{00000000-0005-0000-0000-000082490000}"/>
    <cellStyle name="SAPBEXresData 3 3 2" xfId="20432" xr:uid="{00000000-0005-0000-0000-000082490000}"/>
    <cellStyle name="SAPBEXresData 3 4" xfId="19557" xr:uid="{00000000-0005-0000-0000-000083490000}"/>
    <cellStyle name="SAPBEXresData 3 4 2" xfId="20433" xr:uid="{00000000-0005-0000-0000-000083490000}"/>
    <cellStyle name="SAPBEXresData 3 5" xfId="19558" xr:uid="{00000000-0005-0000-0000-000084490000}"/>
    <cellStyle name="SAPBEXresData 4" xfId="19559" xr:uid="{00000000-0005-0000-0000-000085490000}"/>
    <cellStyle name="SAPBEXresData 4 2" xfId="19560" xr:uid="{00000000-0005-0000-0000-000086490000}"/>
    <cellStyle name="SAPBEXresData 4 2 2" xfId="20434" xr:uid="{00000000-0005-0000-0000-000086490000}"/>
    <cellStyle name="SAPBEXresData 5" xfId="19561" xr:uid="{00000000-0005-0000-0000-000087490000}"/>
    <cellStyle name="SAPBEXresData 5 2" xfId="20435" xr:uid="{00000000-0005-0000-0000-000087490000}"/>
    <cellStyle name="SAPBEXresData 6" xfId="19562" xr:uid="{00000000-0005-0000-0000-000088490000}"/>
    <cellStyle name="SAPBEXresData 7" xfId="19548" xr:uid="{00000000-0005-0000-0000-00007A490000}"/>
    <cellStyle name="SAPBEXresDataEmph" xfId="2732" xr:uid="{00000000-0005-0000-0000-00008E0A0000}"/>
    <cellStyle name="SAPBEXresDataEmph 2" xfId="2733" xr:uid="{00000000-0005-0000-0000-00008F0A0000}"/>
    <cellStyle name="SAPBEXresDataEmph 2 2" xfId="19565" xr:uid="{00000000-0005-0000-0000-00008B490000}"/>
    <cellStyle name="SAPBEXresDataEmph 2 2 2" xfId="19566" xr:uid="{00000000-0005-0000-0000-00008C490000}"/>
    <cellStyle name="SAPBEXresDataEmph 2 2 2 2" xfId="20436" xr:uid="{00000000-0005-0000-0000-00008C490000}"/>
    <cellStyle name="SAPBEXresDataEmph 2 3" xfId="19567" xr:uid="{00000000-0005-0000-0000-00008D490000}"/>
    <cellStyle name="SAPBEXresDataEmph 2 3 2" xfId="20437" xr:uid="{00000000-0005-0000-0000-00008D490000}"/>
    <cellStyle name="SAPBEXresDataEmph 2 4" xfId="19568" xr:uid="{00000000-0005-0000-0000-00008E490000}"/>
    <cellStyle name="SAPBEXresDataEmph 2 5" xfId="19564" xr:uid="{00000000-0005-0000-0000-00008A490000}"/>
    <cellStyle name="SAPBEXresDataEmph 3" xfId="19569" xr:uid="{00000000-0005-0000-0000-00008F490000}"/>
    <cellStyle name="SAPBEXresDataEmph 3 2" xfId="19570" xr:uid="{00000000-0005-0000-0000-000090490000}"/>
    <cellStyle name="SAPBEXresDataEmph 3 3" xfId="19571" xr:uid="{00000000-0005-0000-0000-000091490000}"/>
    <cellStyle name="SAPBEXresDataEmph 3 3 2" xfId="20438" xr:uid="{00000000-0005-0000-0000-000091490000}"/>
    <cellStyle name="SAPBEXresDataEmph 3 4" xfId="19572" xr:uid="{00000000-0005-0000-0000-000092490000}"/>
    <cellStyle name="SAPBEXresDataEmph 3 4 2" xfId="20439" xr:uid="{00000000-0005-0000-0000-000092490000}"/>
    <cellStyle name="SAPBEXresDataEmph 3 5" xfId="19573" xr:uid="{00000000-0005-0000-0000-000093490000}"/>
    <cellStyle name="SAPBEXresDataEmph 4" xfId="19574" xr:uid="{00000000-0005-0000-0000-000094490000}"/>
    <cellStyle name="SAPBEXresDataEmph 4 2" xfId="19575" xr:uid="{00000000-0005-0000-0000-000095490000}"/>
    <cellStyle name="SAPBEXresDataEmph 4 2 2" xfId="20440" xr:uid="{00000000-0005-0000-0000-000095490000}"/>
    <cellStyle name="SAPBEXresDataEmph 5" xfId="19576" xr:uid="{00000000-0005-0000-0000-000096490000}"/>
    <cellStyle name="SAPBEXresDataEmph 5 2" xfId="20441" xr:uid="{00000000-0005-0000-0000-000096490000}"/>
    <cellStyle name="SAPBEXresDataEmph 6" xfId="19577" xr:uid="{00000000-0005-0000-0000-000097490000}"/>
    <cellStyle name="SAPBEXresDataEmph 7" xfId="19563" xr:uid="{00000000-0005-0000-0000-000089490000}"/>
    <cellStyle name="SAPBEXresExc1" xfId="2734" xr:uid="{00000000-0005-0000-0000-0000900A0000}"/>
    <cellStyle name="SAPBEXresExc1 2" xfId="19579" xr:uid="{00000000-0005-0000-0000-000099490000}"/>
    <cellStyle name="SAPBEXresExc1 2 2" xfId="19580" xr:uid="{00000000-0005-0000-0000-00009A490000}"/>
    <cellStyle name="SAPBEXresExc1 3" xfId="19581" xr:uid="{00000000-0005-0000-0000-00009B490000}"/>
    <cellStyle name="SAPBEXresExc1 4" xfId="19578" xr:uid="{00000000-0005-0000-0000-000098490000}"/>
    <cellStyle name="SAPBEXresExc1Emph" xfId="2735" xr:uid="{00000000-0005-0000-0000-0000910A0000}"/>
    <cellStyle name="SAPBEXresExc1Emph 2" xfId="19583" xr:uid="{00000000-0005-0000-0000-00009D490000}"/>
    <cellStyle name="SAPBEXresExc1Emph 2 2" xfId="19584" xr:uid="{00000000-0005-0000-0000-00009E490000}"/>
    <cellStyle name="SAPBEXresExc1Emph 3" xfId="19585" xr:uid="{00000000-0005-0000-0000-00009F490000}"/>
    <cellStyle name="SAPBEXresExc1Emph 4" xfId="19582" xr:uid="{00000000-0005-0000-0000-00009C490000}"/>
    <cellStyle name="SAPBEXresExc2" xfId="2736" xr:uid="{00000000-0005-0000-0000-0000920A0000}"/>
    <cellStyle name="SAPBEXresExc2 2" xfId="19587" xr:uid="{00000000-0005-0000-0000-0000A1490000}"/>
    <cellStyle name="SAPBEXresExc2 2 2" xfId="19588" xr:uid="{00000000-0005-0000-0000-0000A2490000}"/>
    <cellStyle name="SAPBEXresExc2 3" xfId="19589" xr:uid="{00000000-0005-0000-0000-0000A3490000}"/>
    <cellStyle name="SAPBEXresExc2 4" xfId="19586" xr:uid="{00000000-0005-0000-0000-0000A0490000}"/>
    <cellStyle name="SAPBEXresExc2Emph" xfId="2737" xr:uid="{00000000-0005-0000-0000-0000930A0000}"/>
    <cellStyle name="SAPBEXresExc2Emph 2" xfId="19591" xr:uid="{00000000-0005-0000-0000-0000A5490000}"/>
    <cellStyle name="SAPBEXresExc2Emph 2 2" xfId="19592" xr:uid="{00000000-0005-0000-0000-0000A6490000}"/>
    <cellStyle name="SAPBEXresExc2Emph 3" xfId="19593" xr:uid="{00000000-0005-0000-0000-0000A7490000}"/>
    <cellStyle name="SAPBEXresExc2Emph 4" xfId="19590" xr:uid="{00000000-0005-0000-0000-0000A4490000}"/>
    <cellStyle name="SAPBEXresItem" xfId="2738" xr:uid="{00000000-0005-0000-0000-0000940A0000}"/>
    <cellStyle name="SAPBEXresItem 2" xfId="19595" xr:uid="{00000000-0005-0000-0000-0000A9490000}"/>
    <cellStyle name="SAPBEXresItem 2 2" xfId="19596" xr:uid="{00000000-0005-0000-0000-0000AA490000}"/>
    <cellStyle name="SAPBEXresItem 2 2 2" xfId="19597" xr:uid="{00000000-0005-0000-0000-0000AB490000}"/>
    <cellStyle name="SAPBEXresItem 2 2 2 2" xfId="20442" xr:uid="{00000000-0005-0000-0000-0000AB490000}"/>
    <cellStyle name="SAPBEXresItem 2 3" xfId="19598" xr:uid="{00000000-0005-0000-0000-0000AC490000}"/>
    <cellStyle name="SAPBEXresItem 2 3 2" xfId="20443" xr:uid="{00000000-0005-0000-0000-0000AC490000}"/>
    <cellStyle name="SAPBEXresItem 2 4" xfId="19599" xr:uid="{00000000-0005-0000-0000-0000AD490000}"/>
    <cellStyle name="SAPBEXresItem 3" xfId="19600" xr:uid="{00000000-0005-0000-0000-0000AE490000}"/>
    <cellStyle name="SAPBEXresItem 3 2" xfId="19601" xr:uid="{00000000-0005-0000-0000-0000AF490000}"/>
    <cellStyle name="SAPBEXresItem 3 3" xfId="19602" xr:uid="{00000000-0005-0000-0000-0000B0490000}"/>
    <cellStyle name="SAPBEXresItem 3 4" xfId="19603" xr:uid="{00000000-0005-0000-0000-0000B1490000}"/>
    <cellStyle name="SAPBEXresItem 3 4 2" xfId="20444" xr:uid="{00000000-0005-0000-0000-0000B1490000}"/>
    <cellStyle name="SAPBEXresItem 3 5" xfId="19604" xr:uid="{00000000-0005-0000-0000-0000B2490000}"/>
    <cellStyle name="SAPBEXresItem 4" xfId="19605" xr:uid="{00000000-0005-0000-0000-0000B3490000}"/>
    <cellStyle name="SAPBEXresItem 4 2" xfId="19606" xr:uid="{00000000-0005-0000-0000-0000B4490000}"/>
    <cellStyle name="SAPBEXresItem 4 2 2" xfId="20445" xr:uid="{00000000-0005-0000-0000-0000B4490000}"/>
    <cellStyle name="SAPBEXresItem 5" xfId="19607" xr:uid="{00000000-0005-0000-0000-0000B5490000}"/>
    <cellStyle name="SAPBEXresItem 5 2" xfId="20446" xr:uid="{00000000-0005-0000-0000-0000B5490000}"/>
    <cellStyle name="SAPBEXresItem 6" xfId="19608" xr:uid="{00000000-0005-0000-0000-0000B6490000}"/>
    <cellStyle name="SAPBEXresItem 7" xfId="19594" xr:uid="{00000000-0005-0000-0000-0000A8490000}"/>
    <cellStyle name="SAPBEXresItemX" xfId="2739" xr:uid="{00000000-0005-0000-0000-0000950A0000}"/>
    <cellStyle name="SAPBEXresItemX 2" xfId="2740" xr:uid="{00000000-0005-0000-0000-0000960A0000}"/>
    <cellStyle name="SAPBEXresItemX 2 2" xfId="19611" xr:uid="{00000000-0005-0000-0000-0000B9490000}"/>
    <cellStyle name="SAPBEXresItemX 2 2 2" xfId="19612" xr:uid="{00000000-0005-0000-0000-0000BA490000}"/>
    <cellStyle name="SAPBEXresItemX 2 2 2 2" xfId="20447" xr:uid="{00000000-0005-0000-0000-0000BA490000}"/>
    <cellStyle name="SAPBEXresItemX 2 3" xfId="19613" xr:uid="{00000000-0005-0000-0000-0000BB490000}"/>
    <cellStyle name="SAPBEXresItemX 2 3 2" xfId="20448" xr:uid="{00000000-0005-0000-0000-0000BB490000}"/>
    <cellStyle name="SAPBEXresItemX 2 4" xfId="19614" xr:uid="{00000000-0005-0000-0000-0000BC490000}"/>
    <cellStyle name="SAPBEXresItemX 2 5" xfId="19610" xr:uid="{00000000-0005-0000-0000-0000B8490000}"/>
    <cellStyle name="SAPBEXresItemX 3" xfId="19615" xr:uid="{00000000-0005-0000-0000-0000BD490000}"/>
    <cellStyle name="SAPBEXresItemX 3 2" xfId="19616" xr:uid="{00000000-0005-0000-0000-0000BE490000}"/>
    <cellStyle name="SAPBEXresItemX 3 3" xfId="19617" xr:uid="{00000000-0005-0000-0000-0000BF490000}"/>
    <cellStyle name="SAPBEXresItemX 3 3 2" xfId="20449" xr:uid="{00000000-0005-0000-0000-0000BF490000}"/>
    <cellStyle name="SAPBEXresItemX 3 4" xfId="19618" xr:uid="{00000000-0005-0000-0000-0000C0490000}"/>
    <cellStyle name="SAPBEXresItemX 3 4 2" xfId="20450" xr:uid="{00000000-0005-0000-0000-0000C0490000}"/>
    <cellStyle name="SAPBEXresItemX 3 5" xfId="19619" xr:uid="{00000000-0005-0000-0000-0000C1490000}"/>
    <cellStyle name="SAPBEXresItemX 4" xfId="19620" xr:uid="{00000000-0005-0000-0000-0000C2490000}"/>
    <cellStyle name="SAPBEXresItemX 4 2" xfId="19621" xr:uid="{00000000-0005-0000-0000-0000C3490000}"/>
    <cellStyle name="SAPBEXresItemX 4 2 2" xfId="20451" xr:uid="{00000000-0005-0000-0000-0000C3490000}"/>
    <cellStyle name="SAPBEXresItemX 5" xfId="19622" xr:uid="{00000000-0005-0000-0000-0000C4490000}"/>
    <cellStyle name="SAPBEXresItemX 5 2" xfId="20452" xr:uid="{00000000-0005-0000-0000-0000C4490000}"/>
    <cellStyle name="SAPBEXresItemX 6" xfId="19623" xr:uid="{00000000-0005-0000-0000-0000C5490000}"/>
    <cellStyle name="SAPBEXresItemX 7" xfId="19609" xr:uid="{00000000-0005-0000-0000-0000B7490000}"/>
    <cellStyle name="SAPBEXRow_Headings_SA" xfId="2741" xr:uid="{00000000-0005-0000-0000-0000970A0000}"/>
    <cellStyle name="SAPBEXRowResults_SA" xfId="2742" xr:uid="{00000000-0005-0000-0000-0000980A0000}"/>
    <cellStyle name="SAPBEXstdData" xfId="2743" xr:uid="{00000000-0005-0000-0000-0000990A0000}"/>
    <cellStyle name="SAPBEXstdData 2" xfId="2744" xr:uid="{00000000-0005-0000-0000-00009A0A0000}"/>
    <cellStyle name="SAPBEXstdData 2 2" xfId="2909" xr:uid="{00000000-0005-0000-0000-00009B0A0000}"/>
    <cellStyle name="SAPBEXstdData 2 2 2" xfId="19626" xr:uid="{00000000-0005-0000-0000-0000CB490000}"/>
    <cellStyle name="SAPBEXstdData 2 2 2 2" xfId="19627" xr:uid="{00000000-0005-0000-0000-0000CC490000}"/>
    <cellStyle name="SAPBEXstdData 2 2 2 3" xfId="19628" xr:uid="{00000000-0005-0000-0000-0000CD490000}"/>
    <cellStyle name="SAPBEXstdData 2 2 2 3 2" xfId="20453" xr:uid="{00000000-0005-0000-0000-0000CD490000}"/>
    <cellStyle name="SAPBEXstdData 2 2 2 4" xfId="19629" xr:uid="{00000000-0005-0000-0000-0000CE490000}"/>
    <cellStyle name="SAPBEXstdData 2 2 3" xfId="19630" xr:uid="{00000000-0005-0000-0000-0000CF490000}"/>
    <cellStyle name="SAPBEXstdData 2 2 3 2" xfId="19631" xr:uid="{00000000-0005-0000-0000-0000D0490000}"/>
    <cellStyle name="SAPBEXstdData 2 2 3 2 2" xfId="20454" xr:uid="{00000000-0005-0000-0000-0000D0490000}"/>
    <cellStyle name="SAPBEXstdData 2 2 4" xfId="19632" xr:uid="{00000000-0005-0000-0000-0000D1490000}"/>
    <cellStyle name="SAPBEXstdData 2 2 4 2" xfId="20455" xr:uid="{00000000-0005-0000-0000-0000D1490000}"/>
    <cellStyle name="SAPBEXstdData 2 2 5" xfId="19633" xr:uid="{00000000-0005-0000-0000-0000D2490000}"/>
    <cellStyle name="SAPBEXstdData 2 2 6" xfId="19625" xr:uid="{00000000-0005-0000-0000-0000CA490000}"/>
    <cellStyle name="SAPBEXstdData 2 3" xfId="19634" xr:uid="{00000000-0005-0000-0000-0000D3490000}"/>
    <cellStyle name="SAPBEXstdData 2 3 2" xfId="19635" xr:uid="{00000000-0005-0000-0000-0000D4490000}"/>
    <cellStyle name="SAPBEXstdData 2 3 3" xfId="19636" xr:uid="{00000000-0005-0000-0000-0000D5490000}"/>
    <cellStyle name="SAPBEXstdData 2 3 3 2" xfId="20456" xr:uid="{00000000-0005-0000-0000-0000D5490000}"/>
    <cellStyle name="SAPBEXstdData 2 3 4" xfId="19637" xr:uid="{00000000-0005-0000-0000-0000D6490000}"/>
    <cellStyle name="SAPBEXstdData 2 4" xfId="19638" xr:uid="{00000000-0005-0000-0000-0000D7490000}"/>
    <cellStyle name="SAPBEXstdData 2 4 2" xfId="19639" xr:uid="{00000000-0005-0000-0000-0000D8490000}"/>
    <cellStyle name="SAPBEXstdData 2 4 2 2" xfId="19640" xr:uid="{00000000-0005-0000-0000-0000D9490000}"/>
    <cellStyle name="SAPBEXstdData 2 4 2 3" xfId="20457" xr:uid="{00000000-0005-0000-0000-0000D8490000}"/>
    <cellStyle name="SAPBEXstdData 2 4 3" xfId="19641" xr:uid="{00000000-0005-0000-0000-0000DA490000}"/>
    <cellStyle name="SAPBEXstdData 2 5" xfId="19642" xr:uid="{00000000-0005-0000-0000-0000DB490000}"/>
    <cellStyle name="SAPBEXstdData 2 5 2" xfId="19643" xr:uid="{00000000-0005-0000-0000-0000DC490000}"/>
    <cellStyle name="SAPBEXstdData 2 5 2 2" xfId="20458" xr:uid="{00000000-0005-0000-0000-0000DC490000}"/>
    <cellStyle name="SAPBEXstdData 2 6" xfId="19644" xr:uid="{00000000-0005-0000-0000-0000DD490000}"/>
    <cellStyle name="SAPBEXstdData 2 6 2" xfId="20459" xr:uid="{00000000-0005-0000-0000-0000DD490000}"/>
    <cellStyle name="SAPBEXstdData 2 7" xfId="19645" xr:uid="{00000000-0005-0000-0000-0000DE490000}"/>
    <cellStyle name="SAPBEXstdData 2 8" xfId="19624" xr:uid="{00000000-0005-0000-0000-0000C9490000}"/>
    <cellStyle name="SAPBEXstdData 3" xfId="19646" xr:uid="{00000000-0005-0000-0000-0000DF490000}"/>
    <cellStyle name="SAPBEXstdData 3 2" xfId="19647" xr:uid="{00000000-0005-0000-0000-0000E0490000}"/>
    <cellStyle name="SAPBEXstdData 3 2 2" xfId="19648" xr:uid="{00000000-0005-0000-0000-0000E1490000}"/>
    <cellStyle name="SAPBEXstdData 3 2 2 2" xfId="20460" xr:uid="{00000000-0005-0000-0000-0000E1490000}"/>
    <cellStyle name="SAPBEXstdData 3 3" xfId="19649" xr:uid="{00000000-0005-0000-0000-0000E2490000}"/>
    <cellStyle name="SAPBEXstdData 3 3 2" xfId="20461" xr:uid="{00000000-0005-0000-0000-0000E2490000}"/>
    <cellStyle name="SAPBEXstdData 3 4" xfId="19650" xr:uid="{00000000-0005-0000-0000-0000E3490000}"/>
    <cellStyle name="SAPBEXstdData 3 4 2" xfId="20462" xr:uid="{00000000-0005-0000-0000-0000E3490000}"/>
    <cellStyle name="SAPBEXstdData 3 5" xfId="19651" xr:uid="{00000000-0005-0000-0000-0000E4490000}"/>
    <cellStyle name="SAPBEXstdData 4" xfId="19652" xr:uid="{00000000-0005-0000-0000-0000E5490000}"/>
    <cellStyle name="SAPBEXstdData 4 2" xfId="19653" xr:uid="{00000000-0005-0000-0000-0000E6490000}"/>
    <cellStyle name="SAPBEXstdData 4 3" xfId="20463" xr:uid="{00000000-0005-0000-0000-0000E5490000}"/>
    <cellStyle name="SAPBEXstdData 5" xfId="19654" xr:uid="{00000000-0005-0000-0000-0000E7490000}"/>
    <cellStyle name="SAPBEXstdData 6" xfId="19655" xr:uid="{00000000-0005-0000-0000-0000E8490000}"/>
    <cellStyle name="SAPBEXstdData 6 2" xfId="20464" xr:uid="{00000000-0005-0000-0000-0000E8490000}"/>
    <cellStyle name="SAPBEXstdData 7" xfId="19656" xr:uid="{00000000-0005-0000-0000-0000E9490000}"/>
    <cellStyle name="SAPBEXstdData 8" xfId="13618" xr:uid="{00000000-0005-0000-0000-0000C8490000}"/>
    <cellStyle name="SAPBEXstdData_13737 3p Contracts v3" xfId="2745" xr:uid="{00000000-0005-0000-0000-00009C0A0000}"/>
    <cellStyle name="SAPBEXstdDataEmph" xfId="2746" xr:uid="{00000000-0005-0000-0000-00009D0A0000}"/>
    <cellStyle name="SAPBEXstdDataEmph 2" xfId="2747" xr:uid="{00000000-0005-0000-0000-00009E0A0000}"/>
    <cellStyle name="SAPBEXstdDataEmph 2 2" xfId="19659" xr:uid="{00000000-0005-0000-0000-0000ED490000}"/>
    <cellStyle name="SAPBEXstdDataEmph 2 2 2" xfId="19660" xr:uid="{00000000-0005-0000-0000-0000EE490000}"/>
    <cellStyle name="SAPBEXstdDataEmph 2 2 2 2" xfId="20465" xr:uid="{00000000-0005-0000-0000-0000EE490000}"/>
    <cellStyle name="SAPBEXstdDataEmph 2 3" xfId="19661" xr:uid="{00000000-0005-0000-0000-0000EF490000}"/>
    <cellStyle name="SAPBEXstdDataEmph 2 3 2" xfId="20466" xr:uid="{00000000-0005-0000-0000-0000EF490000}"/>
    <cellStyle name="SAPBEXstdDataEmph 2 4" xfId="19662" xr:uid="{00000000-0005-0000-0000-0000F0490000}"/>
    <cellStyle name="SAPBEXstdDataEmph 2 5" xfId="19658" xr:uid="{00000000-0005-0000-0000-0000EC490000}"/>
    <cellStyle name="SAPBEXstdDataEmph 3" xfId="19663" xr:uid="{00000000-0005-0000-0000-0000F1490000}"/>
    <cellStyle name="SAPBEXstdDataEmph 3 2" xfId="19664" xr:uid="{00000000-0005-0000-0000-0000F2490000}"/>
    <cellStyle name="SAPBEXstdDataEmph 3 3" xfId="19665" xr:uid="{00000000-0005-0000-0000-0000F3490000}"/>
    <cellStyle name="SAPBEXstdDataEmph 3 3 2" xfId="20467" xr:uid="{00000000-0005-0000-0000-0000F3490000}"/>
    <cellStyle name="SAPBEXstdDataEmph 3 4" xfId="19666" xr:uid="{00000000-0005-0000-0000-0000F4490000}"/>
    <cellStyle name="SAPBEXstdDataEmph 3 4 2" xfId="20468" xr:uid="{00000000-0005-0000-0000-0000F4490000}"/>
    <cellStyle name="SAPBEXstdDataEmph 3 5" xfId="19667" xr:uid="{00000000-0005-0000-0000-0000F5490000}"/>
    <cellStyle name="SAPBEXstdDataEmph 4" xfId="19668" xr:uid="{00000000-0005-0000-0000-0000F6490000}"/>
    <cellStyle name="SAPBEXstdDataEmph 4 2" xfId="19669" xr:uid="{00000000-0005-0000-0000-0000F7490000}"/>
    <cellStyle name="SAPBEXstdDataEmph 4 2 2" xfId="20469" xr:uid="{00000000-0005-0000-0000-0000F7490000}"/>
    <cellStyle name="SAPBEXstdDataEmph 5" xfId="19670" xr:uid="{00000000-0005-0000-0000-0000F8490000}"/>
    <cellStyle name="SAPBEXstdDataEmph 5 2" xfId="20470" xr:uid="{00000000-0005-0000-0000-0000F8490000}"/>
    <cellStyle name="SAPBEXstdDataEmph 6" xfId="19671" xr:uid="{00000000-0005-0000-0000-0000F9490000}"/>
    <cellStyle name="SAPBEXstdDataEmph 7" xfId="19657" xr:uid="{00000000-0005-0000-0000-0000EB490000}"/>
    <cellStyle name="SAPBEXstdExc1" xfId="2748" xr:uid="{00000000-0005-0000-0000-00009F0A0000}"/>
    <cellStyle name="SAPBEXstdExc1 2" xfId="19673" xr:uid="{00000000-0005-0000-0000-0000FB490000}"/>
    <cellStyle name="SAPBEXstdExc1 2 2" xfId="19674" xr:uid="{00000000-0005-0000-0000-0000FC490000}"/>
    <cellStyle name="SAPBEXstdExc1 3" xfId="19675" xr:uid="{00000000-0005-0000-0000-0000FD490000}"/>
    <cellStyle name="SAPBEXstdExc1 4" xfId="19672" xr:uid="{00000000-0005-0000-0000-0000FA490000}"/>
    <cellStyle name="SAPBEXstdExc1Emph" xfId="2749" xr:uid="{00000000-0005-0000-0000-0000A00A0000}"/>
    <cellStyle name="SAPBEXstdExc1Emph 2" xfId="19677" xr:uid="{00000000-0005-0000-0000-0000FF490000}"/>
    <cellStyle name="SAPBEXstdExc1Emph 2 2" xfId="19678" xr:uid="{00000000-0005-0000-0000-0000004A0000}"/>
    <cellStyle name="SAPBEXstdExc1Emph 3" xfId="19679" xr:uid="{00000000-0005-0000-0000-0000014A0000}"/>
    <cellStyle name="SAPBEXstdExc1Emph 4" xfId="19676" xr:uid="{00000000-0005-0000-0000-0000FE490000}"/>
    <cellStyle name="SAPBEXstdExc2" xfId="2750" xr:uid="{00000000-0005-0000-0000-0000A10A0000}"/>
    <cellStyle name="SAPBEXstdExc2 2" xfId="19681" xr:uid="{00000000-0005-0000-0000-0000034A0000}"/>
    <cellStyle name="SAPBEXstdExc2 2 2" xfId="19682" xr:uid="{00000000-0005-0000-0000-0000044A0000}"/>
    <cellStyle name="SAPBEXstdExc2 3" xfId="19683" xr:uid="{00000000-0005-0000-0000-0000054A0000}"/>
    <cellStyle name="SAPBEXstdExc2 4" xfId="19680" xr:uid="{00000000-0005-0000-0000-0000024A0000}"/>
    <cellStyle name="SAPBEXstdExc2Emph" xfId="2751" xr:uid="{00000000-0005-0000-0000-0000A20A0000}"/>
    <cellStyle name="SAPBEXstdExc2Emph 2" xfId="19685" xr:uid="{00000000-0005-0000-0000-0000074A0000}"/>
    <cellStyle name="SAPBEXstdExc2Emph 2 2" xfId="19686" xr:uid="{00000000-0005-0000-0000-0000084A0000}"/>
    <cellStyle name="SAPBEXstdExc2Emph 3" xfId="19687" xr:uid="{00000000-0005-0000-0000-0000094A0000}"/>
    <cellStyle name="SAPBEXstdExc2Emph 4" xfId="19684" xr:uid="{00000000-0005-0000-0000-0000064A0000}"/>
    <cellStyle name="SAPBEXstdItem" xfId="2752" xr:uid="{00000000-0005-0000-0000-0000A30A0000}"/>
    <cellStyle name="SAPBEXstdItem 2" xfId="2753" xr:uid="{00000000-0005-0000-0000-0000A40A0000}"/>
    <cellStyle name="SAPBEXstdItem 2 2" xfId="2911" xr:uid="{00000000-0005-0000-0000-0000A50A0000}"/>
    <cellStyle name="SAPBEXstdItem 2 2 2" xfId="19691" xr:uid="{00000000-0005-0000-0000-00000D4A0000}"/>
    <cellStyle name="SAPBEXstdItem 2 2 3" xfId="19692" xr:uid="{00000000-0005-0000-0000-00000E4A0000}"/>
    <cellStyle name="SAPBEXstdItem 2 2 3 2" xfId="20471" xr:uid="{00000000-0005-0000-0000-00000E4A0000}"/>
    <cellStyle name="SAPBEXstdItem 2 2 4" xfId="19693" xr:uid="{00000000-0005-0000-0000-00000F4A0000}"/>
    <cellStyle name="SAPBEXstdItem 2 2 5" xfId="19690" xr:uid="{00000000-0005-0000-0000-00000C4A0000}"/>
    <cellStyle name="SAPBEXstdItem 2 3" xfId="19694" xr:uid="{00000000-0005-0000-0000-0000104A0000}"/>
    <cellStyle name="SAPBEXstdItem 2 3 2" xfId="19695" xr:uid="{00000000-0005-0000-0000-0000114A0000}"/>
    <cellStyle name="SAPBEXstdItem 2 3 3" xfId="19696" xr:uid="{00000000-0005-0000-0000-0000124A0000}"/>
    <cellStyle name="SAPBEXstdItem 2 3 3 2" xfId="20472" xr:uid="{00000000-0005-0000-0000-0000124A0000}"/>
    <cellStyle name="SAPBEXstdItem 2 3 4" xfId="19697" xr:uid="{00000000-0005-0000-0000-0000134A0000}"/>
    <cellStyle name="SAPBEXstdItem 2 4" xfId="19698" xr:uid="{00000000-0005-0000-0000-0000144A0000}"/>
    <cellStyle name="SAPBEXstdItem 2 4 2" xfId="19699" xr:uid="{00000000-0005-0000-0000-0000154A0000}"/>
    <cellStyle name="SAPBEXstdItem 2 4 2 2" xfId="19700" xr:uid="{00000000-0005-0000-0000-0000164A0000}"/>
    <cellStyle name="SAPBEXstdItem 2 4 2 3" xfId="20473" xr:uid="{00000000-0005-0000-0000-0000154A0000}"/>
    <cellStyle name="SAPBEXstdItem 2 4 3" xfId="19701" xr:uid="{00000000-0005-0000-0000-0000174A0000}"/>
    <cellStyle name="SAPBEXstdItem 2 5" xfId="19702" xr:uid="{00000000-0005-0000-0000-0000184A0000}"/>
    <cellStyle name="SAPBEXstdItem 2 5 2" xfId="19703" xr:uid="{00000000-0005-0000-0000-0000194A0000}"/>
    <cellStyle name="SAPBEXstdItem 2 5 2 2" xfId="20474" xr:uid="{00000000-0005-0000-0000-0000194A0000}"/>
    <cellStyle name="SAPBEXstdItem 2 6" xfId="19704" xr:uid="{00000000-0005-0000-0000-00001A4A0000}"/>
    <cellStyle name="SAPBEXstdItem 2 6 2" xfId="20475" xr:uid="{00000000-0005-0000-0000-00001A4A0000}"/>
    <cellStyle name="SAPBEXstdItem 2 7" xfId="19705" xr:uid="{00000000-0005-0000-0000-00001B4A0000}"/>
    <cellStyle name="SAPBEXstdItem 2 8" xfId="19689" xr:uid="{00000000-0005-0000-0000-00000B4A0000}"/>
    <cellStyle name="SAPBEXstdItem 3" xfId="2910" xr:uid="{00000000-0005-0000-0000-0000A60A0000}"/>
    <cellStyle name="SAPBEXstdItem 3 2" xfId="19707" xr:uid="{00000000-0005-0000-0000-00001D4A0000}"/>
    <cellStyle name="SAPBEXstdItem 3 2 2" xfId="19708" xr:uid="{00000000-0005-0000-0000-00001E4A0000}"/>
    <cellStyle name="SAPBEXstdItem 3 2 2 2" xfId="20476" xr:uid="{00000000-0005-0000-0000-00001E4A0000}"/>
    <cellStyle name="SAPBEXstdItem 3 3" xfId="19709" xr:uid="{00000000-0005-0000-0000-00001F4A0000}"/>
    <cellStyle name="SAPBEXstdItem 3 3 2" xfId="19710" xr:uid="{00000000-0005-0000-0000-0000204A0000}"/>
    <cellStyle name="SAPBEXstdItem 3 3 2 2" xfId="20478" xr:uid="{00000000-0005-0000-0000-0000204A0000}"/>
    <cellStyle name="SAPBEXstdItem 3 3 3" xfId="20477" xr:uid="{00000000-0005-0000-0000-00001F4A0000}"/>
    <cellStyle name="SAPBEXstdItem 3 4" xfId="19711" xr:uid="{00000000-0005-0000-0000-0000214A0000}"/>
    <cellStyle name="SAPBEXstdItem 3 4 2" xfId="20479" xr:uid="{00000000-0005-0000-0000-0000214A0000}"/>
    <cellStyle name="SAPBEXstdItem 3 5" xfId="19712" xr:uid="{00000000-0005-0000-0000-0000224A0000}"/>
    <cellStyle name="SAPBEXstdItem 3 6" xfId="19706" xr:uid="{00000000-0005-0000-0000-00001C4A0000}"/>
    <cellStyle name="SAPBEXstdItem 4" xfId="19713" xr:uid="{00000000-0005-0000-0000-0000234A0000}"/>
    <cellStyle name="SAPBEXstdItem 4 2" xfId="19714" xr:uid="{00000000-0005-0000-0000-0000244A0000}"/>
    <cellStyle name="SAPBEXstdItem 4 2 2" xfId="20480" xr:uid="{00000000-0005-0000-0000-0000244A0000}"/>
    <cellStyle name="SAPBEXstdItem 5" xfId="19715" xr:uid="{00000000-0005-0000-0000-0000254A0000}"/>
    <cellStyle name="SAPBEXstdItem 5 2" xfId="19716" xr:uid="{00000000-0005-0000-0000-0000264A0000}"/>
    <cellStyle name="SAPBEXstdItem 5 2 2" xfId="20482" xr:uid="{00000000-0005-0000-0000-0000264A0000}"/>
    <cellStyle name="SAPBEXstdItem 5 3" xfId="20481" xr:uid="{00000000-0005-0000-0000-0000254A0000}"/>
    <cellStyle name="SAPBEXstdItem 6" xfId="19717" xr:uid="{00000000-0005-0000-0000-0000274A0000}"/>
    <cellStyle name="SAPBEXstdItem 7" xfId="19688" xr:uid="{00000000-0005-0000-0000-00000A4A0000}"/>
    <cellStyle name="SAPBEXstdItem_13737 3p Contracts v3" xfId="2754" xr:uid="{00000000-0005-0000-0000-0000A70A0000}"/>
    <cellStyle name="SAPBEXstdItemX" xfId="2755" xr:uid="{00000000-0005-0000-0000-0000A80A0000}"/>
    <cellStyle name="SAPBEXstdItemX 2" xfId="2756" xr:uid="{00000000-0005-0000-0000-0000A90A0000}"/>
    <cellStyle name="SAPBEXstdItemX 2 2" xfId="2913" xr:uid="{00000000-0005-0000-0000-0000AA0A0000}"/>
    <cellStyle name="SAPBEXstdItemX 2 2 2" xfId="19721" xr:uid="{00000000-0005-0000-0000-00002C4A0000}"/>
    <cellStyle name="SAPBEXstdItemX 2 2 2 2" xfId="19722" xr:uid="{00000000-0005-0000-0000-00002D4A0000}"/>
    <cellStyle name="SAPBEXstdItemX 2 2 2 3" xfId="20483" xr:uid="{00000000-0005-0000-0000-00002C4A0000}"/>
    <cellStyle name="SAPBEXstdItemX 2 2 3" xfId="19723" xr:uid="{00000000-0005-0000-0000-00002E4A0000}"/>
    <cellStyle name="SAPBEXstdItemX 2 2 4" xfId="19720" xr:uid="{00000000-0005-0000-0000-00002B4A0000}"/>
    <cellStyle name="SAPBEXstdItemX 2 3" xfId="19724" xr:uid="{00000000-0005-0000-0000-00002F4A0000}"/>
    <cellStyle name="SAPBEXstdItemX 2 3 2" xfId="19725" xr:uid="{00000000-0005-0000-0000-0000304A0000}"/>
    <cellStyle name="SAPBEXstdItemX 2 3 2 2" xfId="20484" xr:uid="{00000000-0005-0000-0000-0000304A0000}"/>
    <cellStyle name="SAPBEXstdItemX 2 4" xfId="19726" xr:uid="{00000000-0005-0000-0000-0000314A0000}"/>
    <cellStyle name="SAPBEXstdItemX 2 4 2" xfId="20485" xr:uid="{00000000-0005-0000-0000-0000314A0000}"/>
    <cellStyle name="SAPBEXstdItemX 2 5" xfId="19727" xr:uid="{00000000-0005-0000-0000-0000324A0000}"/>
    <cellStyle name="SAPBEXstdItemX 2 6" xfId="19719" xr:uid="{00000000-0005-0000-0000-00002A4A0000}"/>
    <cellStyle name="SAPBEXstdItemX 3" xfId="2912" xr:uid="{00000000-0005-0000-0000-0000AB0A0000}"/>
    <cellStyle name="SAPBEXstdItemX 3 2" xfId="19729" xr:uid="{00000000-0005-0000-0000-0000344A0000}"/>
    <cellStyle name="SAPBEXstdItemX 3 2 2" xfId="19730" xr:uid="{00000000-0005-0000-0000-0000354A0000}"/>
    <cellStyle name="SAPBEXstdItemX 3 2 2 2" xfId="20486" xr:uid="{00000000-0005-0000-0000-0000354A0000}"/>
    <cellStyle name="SAPBEXstdItemX 3 3" xfId="19731" xr:uid="{00000000-0005-0000-0000-0000364A0000}"/>
    <cellStyle name="SAPBEXstdItemX 3 3 2" xfId="19732" xr:uid="{00000000-0005-0000-0000-0000374A0000}"/>
    <cellStyle name="SAPBEXstdItemX 3 3 2 2" xfId="20488" xr:uid="{00000000-0005-0000-0000-0000374A0000}"/>
    <cellStyle name="SAPBEXstdItemX 3 3 3" xfId="20487" xr:uid="{00000000-0005-0000-0000-0000364A0000}"/>
    <cellStyle name="SAPBEXstdItemX 3 4" xfId="19733" xr:uid="{00000000-0005-0000-0000-0000384A0000}"/>
    <cellStyle name="SAPBEXstdItemX 3 4 2" xfId="20489" xr:uid="{00000000-0005-0000-0000-0000384A0000}"/>
    <cellStyle name="SAPBEXstdItemX 3 5" xfId="19734" xr:uid="{00000000-0005-0000-0000-0000394A0000}"/>
    <cellStyle name="SAPBEXstdItemX 3 6" xfId="19728" xr:uid="{00000000-0005-0000-0000-0000334A0000}"/>
    <cellStyle name="SAPBEXstdItemX 4" xfId="19735" xr:uid="{00000000-0005-0000-0000-00003A4A0000}"/>
    <cellStyle name="SAPBEXstdItemX 4 2" xfId="19736" xr:uid="{00000000-0005-0000-0000-00003B4A0000}"/>
    <cellStyle name="SAPBEXstdItemX 4 2 2" xfId="20490" xr:uid="{00000000-0005-0000-0000-00003B4A0000}"/>
    <cellStyle name="SAPBEXstdItemX 5" xfId="19737" xr:uid="{00000000-0005-0000-0000-00003C4A0000}"/>
    <cellStyle name="SAPBEXstdItemX 5 2" xfId="19738" xr:uid="{00000000-0005-0000-0000-00003D4A0000}"/>
    <cellStyle name="SAPBEXstdItemX 5 2 2" xfId="20492" xr:uid="{00000000-0005-0000-0000-00003D4A0000}"/>
    <cellStyle name="SAPBEXstdItemX 5 3" xfId="20491" xr:uid="{00000000-0005-0000-0000-00003C4A0000}"/>
    <cellStyle name="SAPBEXstdItemX 6" xfId="19739" xr:uid="{00000000-0005-0000-0000-00003E4A0000}"/>
    <cellStyle name="SAPBEXstdItemX 7" xfId="19718" xr:uid="{00000000-0005-0000-0000-0000294A0000}"/>
    <cellStyle name="SAPBEXstdItemX_Budget Consolidation by Balancing Acct v1" xfId="2757" xr:uid="{00000000-0005-0000-0000-0000AC0A0000}"/>
    <cellStyle name="SAPBEXsubData" xfId="2758" xr:uid="{00000000-0005-0000-0000-0000AD0A0000}"/>
    <cellStyle name="SAPBEXsubData 2" xfId="19741" xr:uid="{00000000-0005-0000-0000-0000414A0000}"/>
    <cellStyle name="SAPBEXsubData 2 2" xfId="19742" xr:uid="{00000000-0005-0000-0000-0000424A0000}"/>
    <cellStyle name="SAPBEXsubData 3" xfId="19743" xr:uid="{00000000-0005-0000-0000-0000434A0000}"/>
    <cellStyle name="SAPBEXsubData 4" xfId="19740" xr:uid="{00000000-0005-0000-0000-0000404A0000}"/>
    <cellStyle name="SAPBEXsubDataEmph" xfId="2759" xr:uid="{00000000-0005-0000-0000-0000AE0A0000}"/>
    <cellStyle name="SAPBEXsubDataEmph 2" xfId="19745" xr:uid="{00000000-0005-0000-0000-0000454A0000}"/>
    <cellStyle name="SAPBEXsubDataEmph 2 2" xfId="19746" xr:uid="{00000000-0005-0000-0000-0000464A0000}"/>
    <cellStyle name="SAPBEXsubDataEmph 3" xfId="19747" xr:uid="{00000000-0005-0000-0000-0000474A0000}"/>
    <cellStyle name="SAPBEXsubDataEmph 4" xfId="19744" xr:uid="{00000000-0005-0000-0000-0000444A0000}"/>
    <cellStyle name="SAPBEXsubExc1" xfId="2760" xr:uid="{00000000-0005-0000-0000-0000AF0A0000}"/>
    <cellStyle name="SAPBEXsubExc1 2" xfId="19749" xr:uid="{00000000-0005-0000-0000-0000494A0000}"/>
    <cellStyle name="SAPBEXsubExc1 2 2" xfId="19750" xr:uid="{00000000-0005-0000-0000-00004A4A0000}"/>
    <cellStyle name="SAPBEXsubExc1 3" xfId="19751" xr:uid="{00000000-0005-0000-0000-00004B4A0000}"/>
    <cellStyle name="SAPBEXsubExc1 4" xfId="19748" xr:uid="{00000000-0005-0000-0000-0000484A0000}"/>
    <cellStyle name="SAPBEXsubExc1Emph" xfId="2761" xr:uid="{00000000-0005-0000-0000-0000B00A0000}"/>
    <cellStyle name="SAPBEXsubExc1Emph 2" xfId="19753" xr:uid="{00000000-0005-0000-0000-00004D4A0000}"/>
    <cellStyle name="SAPBEXsubExc1Emph 2 2" xfId="19754" xr:uid="{00000000-0005-0000-0000-00004E4A0000}"/>
    <cellStyle name="SAPBEXsubExc1Emph 3" xfId="19755" xr:uid="{00000000-0005-0000-0000-00004F4A0000}"/>
    <cellStyle name="SAPBEXsubExc1Emph 4" xfId="19752" xr:uid="{00000000-0005-0000-0000-00004C4A0000}"/>
    <cellStyle name="SAPBEXsubExc2" xfId="2762" xr:uid="{00000000-0005-0000-0000-0000B10A0000}"/>
    <cellStyle name="SAPBEXsubExc2 2" xfId="19757" xr:uid="{00000000-0005-0000-0000-0000514A0000}"/>
    <cellStyle name="SAPBEXsubExc2 2 2" xfId="19758" xr:uid="{00000000-0005-0000-0000-0000524A0000}"/>
    <cellStyle name="SAPBEXsubExc2 3" xfId="19759" xr:uid="{00000000-0005-0000-0000-0000534A0000}"/>
    <cellStyle name="SAPBEXsubExc2 4" xfId="19756" xr:uid="{00000000-0005-0000-0000-0000504A0000}"/>
    <cellStyle name="SAPBEXsubExc2Emph" xfId="2763" xr:uid="{00000000-0005-0000-0000-0000B20A0000}"/>
    <cellStyle name="SAPBEXsubExc2Emph 2" xfId="19761" xr:uid="{00000000-0005-0000-0000-0000554A0000}"/>
    <cellStyle name="SAPBEXsubExc2Emph 2 2" xfId="19762" xr:uid="{00000000-0005-0000-0000-0000564A0000}"/>
    <cellStyle name="SAPBEXsubExc2Emph 3" xfId="19763" xr:uid="{00000000-0005-0000-0000-0000574A0000}"/>
    <cellStyle name="SAPBEXsubExc2Emph 4" xfId="19760" xr:uid="{00000000-0005-0000-0000-0000544A0000}"/>
    <cellStyle name="SAPBEXsubItem" xfId="2764" xr:uid="{00000000-0005-0000-0000-0000B30A0000}"/>
    <cellStyle name="SAPBEXsubItem 2" xfId="19765" xr:uid="{00000000-0005-0000-0000-0000594A0000}"/>
    <cellStyle name="SAPBEXsubItem 2 2" xfId="19766" xr:uid="{00000000-0005-0000-0000-00005A4A0000}"/>
    <cellStyle name="SAPBEXsubItem 3" xfId="19767" xr:uid="{00000000-0005-0000-0000-00005B4A0000}"/>
    <cellStyle name="SAPBEXsubItem 4" xfId="19764" xr:uid="{00000000-0005-0000-0000-0000584A0000}"/>
    <cellStyle name="SAPBEXtitle" xfId="2765" xr:uid="{00000000-0005-0000-0000-0000B40A0000}"/>
    <cellStyle name="SAPBEXtitle 2" xfId="19769" xr:uid="{00000000-0005-0000-0000-00005D4A0000}"/>
    <cellStyle name="SAPBEXtitle 2 2" xfId="19770" xr:uid="{00000000-0005-0000-0000-00005E4A0000}"/>
    <cellStyle name="SAPBEXtitle 2 2 2" xfId="19771" xr:uid="{00000000-0005-0000-0000-00005F4A0000}"/>
    <cellStyle name="SAPBEXtitle 2 2 2 2" xfId="20493" xr:uid="{00000000-0005-0000-0000-00005F4A0000}"/>
    <cellStyle name="SAPBEXtitle 2 3" xfId="19772" xr:uid="{00000000-0005-0000-0000-0000604A0000}"/>
    <cellStyle name="SAPBEXtitle 2 3 2" xfId="20494" xr:uid="{00000000-0005-0000-0000-0000604A0000}"/>
    <cellStyle name="SAPBEXtitle 2 4" xfId="19773" xr:uid="{00000000-0005-0000-0000-0000614A0000}"/>
    <cellStyle name="SAPBEXtitle 3" xfId="19774" xr:uid="{00000000-0005-0000-0000-0000624A0000}"/>
    <cellStyle name="SAPBEXtitle 3 2" xfId="19775" xr:uid="{00000000-0005-0000-0000-0000634A0000}"/>
    <cellStyle name="SAPBEXtitle 3 3" xfId="19776" xr:uid="{00000000-0005-0000-0000-0000644A0000}"/>
    <cellStyle name="SAPBEXtitle 3 4" xfId="19777" xr:uid="{00000000-0005-0000-0000-0000654A0000}"/>
    <cellStyle name="SAPBEXtitle 3 5" xfId="19778" xr:uid="{00000000-0005-0000-0000-0000664A0000}"/>
    <cellStyle name="SAPBEXtitle 4" xfId="19779" xr:uid="{00000000-0005-0000-0000-0000674A0000}"/>
    <cellStyle name="SAPBEXtitle 4 2" xfId="19780" xr:uid="{00000000-0005-0000-0000-0000684A0000}"/>
    <cellStyle name="SAPBEXtitle 5" xfId="19781" xr:uid="{00000000-0005-0000-0000-0000694A0000}"/>
    <cellStyle name="SAPBEXtitle 6" xfId="19782" xr:uid="{00000000-0005-0000-0000-00006A4A0000}"/>
    <cellStyle name="SAPBEXtitle 7" xfId="19768" xr:uid="{00000000-0005-0000-0000-00005C4A0000}"/>
    <cellStyle name="SAPBEXunassignedItem" xfId="19783" xr:uid="{00000000-0005-0000-0000-00006B4A0000}"/>
    <cellStyle name="SAPBEXunassignedItem 2" xfId="19784" xr:uid="{00000000-0005-0000-0000-00006C4A0000}"/>
    <cellStyle name="SAPBEXunassignedItem 2 2" xfId="19785" xr:uid="{00000000-0005-0000-0000-00006D4A0000}"/>
    <cellStyle name="SAPBEXunassignedItem 2 2 2" xfId="19786" xr:uid="{00000000-0005-0000-0000-00006E4A0000}"/>
    <cellStyle name="SAPBEXunassignedItem 2 2 2 2" xfId="20495" xr:uid="{00000000-0005-0000-0000-00006E4A0000}"/>
    <cellStyle name="SAPBEXunassignedItem 2 3" xfId="19787" xr:uid="{00000000-0005-0000-0000-00006F4A0000}"/>
    <cellStyle name="SAPBEXunassignedItem 2 3 2" xfId="20496" xr:uid="{00000000-0005-0000-0000-00006F4A0000}"/>
    <cellStyle name="SAPBEXunassignedItem 2 4" xfId="19788" xr:uid="{00000000-0005-0000-0000-0000704A0000}"/>
    <cellStyle name="SAPBEXunassignedItem 3" xfId="19789" xr:uid="{00000000-0005-0000-0000-0000714A0000}"/>
    <cellStyle name="SAPBEXunassignedItem 3 2" xfId="19790" xr:uid="{00000000-0005-0000-0000-0000724A0000}"/>
    <cellStyle name="SAPBEXunassignedItem 3 3" xfId="19791" xr:uid="{00000000-0005-0000-0000-0000734A0000}"/>
    <cellStyle name="SAPBEXunassignedItem 3 3 2" xfId="20497" xr:uid="{00000000-0005-0000-0000-0000734A0000}"/>
    <cellStyle name="SAPBEXunassignedItem 3 4" xfId="19792" xr:uid="{00000000-0005-0000-0000-0000744A0000}"/>
    <cellStyle name="SAPBEXunassignedItem 4" xfId="19793" xr:uid="{00000000-0005-0000-0000-0000754A0000}"/>
    <cellStyle name="SAPBEXunassignedItem 4 2" xfId="19794" xr:uid="{00000000-0005-0000-0000-0000764A0000}"/>
    <cellStyle name="SAPBEXunassignedItem 4 2 2" xfId="20498" xr:uid="{00000000-0005-0000-0000-0000764A0000}"/>
    <cellStyle name="SAPBEXunassignedItem 5" xfId="19795" xr:uid="{00000000-0005-0000-0000-0000774A0000}"/>
    <cellStyle name="SAPBEXunassignedItem 5 2" xfId="20499" xr:uid="{00000000-0005-0000-0000-0000774A0000}"/>
    <cellStyle name="SAPBEXunassignedItem 6" xfId="19796" xr:uid="{00000000-0005-0000-0000-0000784A0000}"/>
    <cellStyle name="SAPBEXundefined" xfId="2766" xr:uid="{00000000-0005-0000-0000-0000B50A0000}"/>
    <cellStyle name="SAPBEXundefined 2" xfId="2767" xr:uid="{00000000-0005-0000-0000-0000B60A0000}"/>
    <cellStyle name="SAPBEXundefined 2 2" xfId="19799" xr:uid="{00000000-0005-0000-0000-00007B4A0000}"/>
    <cellStyle name="SAPBEXundefined 2 2 2" xfId="19800" xr:uid="{00000000-0005-0000-0000-00007C4A0000}"/>
    <cellStyle name="SAPBEXundefined 2 2 2 2" xfId="20500" xr:uid="{00000000-0005-0000-0000-00007C4A0000}"/>
    <cellStyle name="SAPBEXundefined 2 3" xfId="19801" xr:uid="{00000000-0005-0000-0000-00007D4A0000}"/>
    <cellStyle name="SAPBEXundefined 2 3 2" xfId="20501" xr:uid="{00000000-0005-0000-0000-00007D4A0000}"/>
    <cellStyle name="SAPBEXundefined 2 4" xfId="19802" xr:uid="{00000000-0005-0000-0000-00007E4A0000}"/>
    <cellStyle name="SAPBEXundefined 2 5" xfId="19798" xr:uid="{00000000-0005-0000-0000-00007A4A0000}"/>
    <cellStyle name="SAPBEXundefined 3" xfId="19803" xr:uid="{00000000-0005-0000-0000-00007F4A0000}"/>
    <cellStyle name="SAPBEXundefined 3 2" xfId="19804" xr:uid="{00000000-0005-0000-0000-0000804A0000}"/>
    <cellStyle name="SAPBEXundefined 3 3" xfId="19805" xr:uid="{00000000-0005-0000-0000-0000814A0000}"/>
    <cellStyle name="SAPBEXundefined 3 3 2" xfId="20502" xr:uid="{00000000-0005-0000-0000-0000814A0000}"/>
    <cellStyle name="SAPBEXundefined 3 4" xfId="19806" xr:uid="{00000000-0005-0000-0000-0000824A0000}"/>
    <cellStyle name="SAPBEXundefined 3 4 2" xfId="20503" xr:uid="{00000000-0005-0000-0000-0000824A0000}"/>
    <cellStyle name="SAPBEXundefined 3 5" xfId="19807" xr:uid="{00000000-0005-0000-0000-0000834A0000}"/>
    <cellStyle name="SAPBEXundefined 4" xfId="19808" xr:uid="{00000000-0005-0000-0000-0000844A0000}"/>
    <cellStyle name="SAPBEXundefined 4 2" xfId="19809" xr:uid="{00000000-0005-0000-0000-0000854A0000}"/>
    <cellStyle name="SAPBEXundefined 4 2 2" xfId="20504" xr:uid="{00000000-0005-0000-0000-0000854A0000}"/>
    <cellStyle name="SAPBEXundefined 5" xfId="19810" xr:uid="{00000000-0005-0000-0000-0000864A0000}"/>
    <cellStyle name="SAPBEXundefined 5 2" xfId="20505" xr:uid="{00000000-0005-0000-0000-0000864A0000}"/>
    <cellStyle name="SAPBEXundefined 6" xfId="19811" xr:uid="{00000000-0005-0000-0000-0000874A0000}"/>
    <cellStyle name="SAPBEXundefined 7" xfId="19797" xr:uid="{00000000-0005-0000-0000-0000794A0000}"/>
    <cellStyle name="Sched" xfId="2768" xr:uid="{00000000-0005-0000-0000-0000B70A0000}"/>
    <cellStyle name="Sched 2" xfId="19813" xr:uid="{00000000-0005-0000-0000-0000894A0000}"/>
    <cellStyle name="Sched 2 2" xfId="19814" xr:uid="{00000000-0005-0000-0000-00008A4A0000}"/>
    <cellStyle name="Sched 3" xfId="19815" xr:uid="{00000000-0005-0000-0000-00008B4A0000}"/>
    <cellStyle name="Sched 4" xfId="19812" xr:uid="{00000000-0005-0000-0000-0000884A0000}"/>
    <cellStyle name="SEM-BPS-data" xfId="2769" xr:uid="{00000000-0005-0000-0000-0000B80A0000}"/>
    <cellStyle name="SEM-BPS-data 2" xfId="19817" xr:uid="{00000000-0005-0000-0000-00008D4A0000}"/>
    <cellStyle name="SEM-BPS-data 2 2" xfId="19818" xr:uid="{00000000-0005-0000-0000-00008E4A0000}"/>
    <cellStyle name="SEM-BPS-data 3" xfId="19819" xr:uid="{00000000-0005-0000-0000-00008F4A0000}"/>
    <cellStyle name="SEM-BPS-data 4" xfId="19816" xr:uid="{00000000-0005-0000-0000-00008C4A0000}"/>
    <cellStyle name="SEM-BPS-head" xfId="2770" xr:uid="{00000000-0005-0000-0000-0000B90A0000}"/>
    <cellStyle name="SEM-BPS-head 2" xfId="19821" xr:uid="{00000000-0005-0000-0000-0000914A0000}"/>
    <cellStyle name="SEM-BPS-head 2 2" xfId="19822" xr:uid="{00000000-0005-0000-0000-0000924A0000}"/>
    <cellStyle name="SEM-BPS-head 3" xfId="19823" xr:uid="{00000000-0005-0000-0000-0000934A0000}"/>
    <cellStyle name="SEM-BPS-head 4" xfId="19820" xr:uid="{00000000-0005-0000-0000-0000904A0000}"/>
    <cellStyle name="SEM-BPS-headdata" xfId="2771" xr:uid="{00000000-0005-0000-0000-0000BA0A0000}"/>
    <cellStyle name="SEM-BPS-headdata 2" xfId="19825" xr:uid="{00000000-0005-0000-0000-0000954A0000}"/>
    <cellStyle name="SEM-BPS-headdata 2 2" xfId="19826" xr:uid="{00000000-0005-0000-0000-0000964A0000}"/>
    <cellStyle name="SEM-BPS-headdata 3" xfId="19827" xr:uid="{00000000-0005-0000-0000-0000974A0000}"/>
    <cellStyle name="SEM-BPS-headdata 4" xfId="19824" xr:uid="{00000000-0005-0000-0000-0000944A0000}"/>
    <cellStyle name="SEM-BPS-headkey" xfId="2772" xr:uid="{00000000-0005-0000-0000-0000BB0A0000}"/>
    <cellStyle name="SEM-BPS-headkey 2" xfId="19829" xr:uid="{00000000-0005-0000-0000-0000994A0000}"/>
    <cellStyle name="SEM-BPS-headkey 2 2" xfId="19830" xr:uid="{00000000-0005-0000-0000-00009A4A0000}"/>
    <cellStyle name="SEM-BPS-headkey 3" xfId="19831" xr:uid="{00000000-0005-0000-0000-00009B4A0000}"/>
    <cellStyle name="SEM-BPS-headkey 4" xfId="19828" xr:uid="{00000000-0005-0000-0000-0000984A0000}"/>
    <cellStyle name="SEM-BPS-input-on" xfId="2773" xr:uid="{00000000-0005-0000-0000-0000BC0A0000}"/>
    <cellStyle name="SEM-BPS-input-on 2" xfId="19833" xr:uid="{00000000-0005-0000-0000-00009D4A0000}"/>
    <cellStyle name="SEM-BPS-input-on 2 2" xfId="19834" xr:uid="{00000000-0005-0000-0000-00009E4A0000}"/>
    <cellStyle name="SEM-BPS-input-on 3" xfId="19835" xr:uid="{00000000-0005-0000-0000-00009F4A0000}"/>
    <cellStyle name="SEM-BPS-input-on 4" xfId="19832" xr:uid="{00000000-0005-0000-0000-00009C4A0000}"/>
    <cellStyle name="SEM-BPS-key" xfId="2774" xr:uid="{00000000-0005-0000-0000-0000BD0A0000}"/>
    <cellStyle name="SEM-BPS-key 2" xfId="19837" xr:uid="{00000000-0005-0000-0000-0000A14A0000}"/>
    <cellStyle name="SEM-BPS-key 2 2" xfId="19838" xr:uid="{00000000-0005-0000-0000-0000A24A0000}"/>
    <cellStyle name="SEM-BPS-key 3" xfId="19839" xr:uid="{00000000-0005-0000-0000-0000A34A0000}"/>
    <cellStyle name="SEM-BPS-key 4" xfId="19836" xr:uid="{00000000-0005-0000-0000-0000A04A0000}"/>
    <cellStyle name="SEM-BPS-sub1" xfId="2775" xr:uid="{00000000-0005-0000-0000-0000BE0A0000}"/>
    <cellStyle name="SEM-BPS-sub1 2" xfId="19841" xr:uid="{00000000-0005-0000-0000-0000A54A0000}"/>
    <cellStyle name="SEM-BPS-sub1 2 2" xfId="19842" xr:uid="{00000000-0005-0000-0000-0000A64A0000}"/>
    <cellStyle name="SEM-BPS-sub1 3" xfId="19843" xr:uid="{00000000-0005-0000-0000-0000A74A0000}"/>
    <cellStyle name="SEM-BPS-sub1 4" xfId="19840" xr:uid="{00000000-0005-0000-0000-0000A44A0000}"/>
    <cellStyle name="SEM-BPS-sub2" xfId="2776" xr:uid="{00000000-0005-0000-0000-0000BF0A0000}"/>
    <cellStyle name="SEM-BPS-sub2 2" xfId="19845" xr:uid="{00000000-0005-0000-0000-0000A94A0000}"/>
    <cellStyle name="SEM-BPS-sub2 2 2" xfId="19846" xr:uid="{00000000-0005-0000-0000-0000AA4A0000}"/>
    <cellStyle name="SEM-BPS-sub2 3" xfId="19847" xr:uid="{00000000-0005-0000-0000-0000AB4A0000}"/>
    <cellStyle name="SEM-BPS-sub2 4" xfId="19844" xr:uid="{00000000-0005-0000-0000-0000A84A0000}"/>
    <cellStyle name="SEM-BPS-total" xfId="2777" xr:uid="{00000000-0005-0000-0000-0000C00A0000}"/>
    <cellStyle name="SEM-BPS-total 2" xfId="19849" xr:uid="{00000000-0005-0000-0000-0000AD4A0000}"/>
    <cellStyle name="SEM-BPS-total 2 2" xfId="19850" xr:uid="{00000000-0005-0000-0000-0000AE4A0000}"/>
    <cellStyle name="SEM-BPS-total 3" xfId="19851" xr:uid="{00000000-0005-0000-0000-0000AF4A0000}"/>
    <cellStyle name="SEM-BPS-total 4" xfId="19848" xr:uid="{00000000-0005-0000-0000-0000AC4A0000}"/>
    <cellStyle name="Sheet Title" xfId="2778" xr:uid="{00000000-0005-0000-0000-0000C10A0000}"/>
    <cellStyle name="Sheet Title 2" xfId="19853" xr:uid="{00000000-0005-0000-0000-0000B14A0000}"/>
    <cellStyle name="Sheet Title 2 2" xfId="19854" xr:uid="{00000000-0005-0000-0000-0000B24A0000}"/>
    <cellStyle name="Sheet Title 3" xfId="19855" xr:uid="{00000000-0005-0000-0000-0000B34A0000}"/>
    <cellStyle name="Sheet Title 4" xfId="19856" xr:uid="{00000000-0005-0000-0000-0000B44A0000}"/>
    <cellStyle name="Sheet Title 5" xfId="19852" xr:uid="{00000000-0005-0000-0000-0000B04A0000}"/>
    <cellStyle name="small" xfId="2779" xr:uid="{00000000-0005-0000-0000-0000C20A0000}"/>
    <cellStyle name="small 2" xfId="2780" xr:uid="{00000000-0005-0000-0000-0000C30A0000}"/>
    <cellStyle name="small 2 2" xfId="19859" xr:uid="{00000000-0005-0000-0000-0000B74A0000}"/>
    <cellStyle name="small 2 3" xfId="19858" xr:uid="{00000000-0005-0000-0000-0000B64A0000}"/>
    <cellStyle name="small 2 4" xfId="20506" xr:uid="{00000000-0005-0000-0000-0000B64A0000}"/>
    <cellStyle name="small 3" xfId="19860" xr:uid="{00000000-0005-0000-0000-0000B84A0000}"/>
    <cellStyle name="small 4" xfId="19857" xr:uid="{00000000-0005-0000-0000-0000B54A0000}"/>
    <cellStyle name="Sort_Name" xfId="2781" xr:uid="{00000000-0005-0000-0000-0000C40A0000}"/>
    <cellStyle name="State" xfId="2782" xr:uid="{00000000-0005-0000-0000-0000C50A0000}"/>
    <cellStyle name="State 2" xfId="5310" xr:uid="{00000000-0005-0000-0000-0000BB4A0000}"/>
    <cellStyle name="State 2 2" xfId="13615" xr:uid="{00000000-0005-0000-0000-0000BB4A0000}"/>
    <cellStyle name="State 3" xfId="5502" xr:uid="{00000000-0005-0000-0000-0000BA4A0000}"/>
    <cellStyle name="Step" xfId="2783" xr:uid="{00000000-0005-0000-0000-0000C60A0000}"/>
    <cellStyle name="Style 1" xfId="2784" xr:uid="{00000000-0005-0000-0000-0000C70A0000}"/>
    <cellStyle name="Style 1 2" xfId="19862" xr:uid="{00000000-0005-0000-0000-0000BE4A0000}"/>
    <cellStyle name="Style 1 2 2" xfId="19863" xr:uid="{00000000-0005-0000-0000-0000BF4A0000}"/>
    <cellStyle name="Style 1 3" xfId="19864" xr:uid="{00000000-0005-0000-0000-0000C04A0000}"/>
    <cellStyle name="Style 1 4" xfId="19861" xr:uid="{00000000-0005-0000-0000-0000BD4A0000}"/>
    <cellStyle name="Style 2" xfId="2785" xr:uid="{00000000-0005-0000-0000-0000C80A0000}"/>
    <cellStyle name="Style 2 2" xfId="19865" xr:uid="{00000000-0005-0000-0000-0000C24A0000}"/>
    <cellStyle name="Style 2 3" xfId="19866" xr:uid="{00000000-0005-0000-0000-0000C34A0000}"/>
    <cellStyle name="Style 21" xfId="19867" xr:uid="{00000000-0005-0000-0000-0000C44A0000}"/>
    <cellStyle name="Style 22" xfId="19868" xr:uid="{00000000-0005-0000-0000-0000C54A0000}"/>
    <cellStyle name="Style 22 2" xfId="19869" xr:uid="{00000000-0005-0000-0000-0000C64A0000}"/>
    <cellStyle name="Style 23" xfId="19870" xr:uid="{00000000-0005-0000-0000-0000C74A0000}"/>
    <cellStyle name="Style 23 2" xfId="19871" xr:uid="{00000000-0005-0000-0000-0000C84A0000}"/>
    <cellStyle name="Style 24" xfId="19872" xr:uid="{00000000-0005-0000-0000-0000C94A0000}"/>
    <cellStyle name="Style 24 2" xfId="19873" xr:uid="{00000000-0005-0000-0000-0000CA4A0000}"/>
    <cellStyle name="Style 25" xfId="19874" xr:uid="{00000000-0005-0000-0000-0000CB4A0000}"/>
    <cellStyle name="Style 25 2" xfId="19875" xr:uid="{00000000-0005-0000-0000-0000CC4A0000}"/>
    <cellStyle name="Style 26" xfId="2786" xr:uid="{00000000-0005-0000-0000-0000C90A0000}"/>
    <cellStyle name="Style 26 2" xfId="19877" xr:uid="{00000000-0005-0000-0000-0000CE4A0000}"/>
    <cellStyle name="Style 26 3" xfId="19878" xr:uid="{00000000-0005-0000-0000-0000CF4A0000}"/>
    <cellStyle name="Style 26 4" xfId="19879" xr:uid="{00000000-0005-0000-0000-0000D04A0000}"/>
    <cellStyle name="Style 26 5" xfId="19876" xr:uid="{00000000-0005-0000-0000-0000CD4A0000}"/>
    <cellStyle name="Style 27" xfId="19880" xr:uid="{00000000-0005-0000-0000-0000D14A0000}"/>
    <cellStyle name="Style 27 2" xfId="19881" xr:uid="{00000000-0005-0000-0000-0000D24A0000}"/>
    <cellStyle name="Style 28" xfId="2787" xr:uid="{00000000-0005-0000-0000-0000CA0A0000}"/>
    <cellStyle name="Style 28 2" xfId="19883" xr:uid="{00000000-0005-0000-0000-0000D44A0000}"/>
    <cellStyle name="Style 28 2 2" xfId="19884" xr:uid="{00000000-0005-0000-0000-0000D54A0000}"/>
    <cellStyle name="Style 28 3" xfId="19885" xr:uid="{00000000-0005-0000-0000-0000D64A0000}"/>
    <cellStyle name="Style 28 4" xfId="19886" xr:uid="{00000000-0005-0000-0000-0000D74A0000}"/>
    <cellStyle name="Style 28 5" xfId="19887" xr:uid="{00000000-0005-0000-0000-0000D84A0000}"/>
    <cellStyle name="Style 28 6" xfId="19888" xr:uid="{00000000-0005-0000-0000-0000D94A0000}"/>
    <cellStyle name="Style 28 7" xfId="19882" xr:uid="{00000000-0005-0000-0000-0000D34A0000}"/>
    <cellStyle name="Style 29" xfId="19889" xr:uid="{00000000-0005-0000-0000-0000DA4A0000}"/>
    <cellStyle name="Style 29 2" xfId="19890" xr:uid="{00000000-0005-0000-0000-0000DB4A0000}"/>
    <cellStyle name="Style 3" xfId="2788" xr:uid="{00000000-0005-0000-0000-0000CB0A0000}"/>
    <cellStyle name="Style 3 2" xfId="19892" xr:uid="{00000000-0005-0000-0000-0000DD4A0000}"/>
    <cellStyle name="Style 3 2 2" xfId="19893" xr:uid="{00000000-0005-0000-0000-0000DE4A0000}"/>
    <cellStyle name="Style 3 3" xfId="19894" xr:uid="{00000000-0005-0000-0000-0000DF4A0000}"/>
    <cellStyle name="Style 3 4" xfId="19891" xr:uid="{00000000-0005-0000-0000-0000DC4A0000}"/>
    <cellStyle name="Style 30" xfId="19895" xr:uid="{00000000-0005-0000-0000-0000E04A0000}"/>
    <cellStyle name="Style 30 2" xfId="19896" xr:uid="{00000000-0005-0000-0000-0000E14A0000}"/>
    <cellStyle name="Style 31" xfId="19897" xr:uid="{00000000-0005-0000-0000-0000E24A0000}"/>
    <cellStyle name="Style 31 2" xfId="19898" xr:uid="{00000000-0005-0000-0000-0000E34A0000}"/>
    <cellStyle name="Style 32" xfId="19899" xr:uid="{00000000-0005-0000-0000-0000E44A0000}"/>
    <cellStyle name="Style 32 2" xfId="19900" xr:uid="{00000000-0005-0000-0000-0000E54A0000}"/>
    <cellStyle name="Style 32 2 2" xfId="20508" xr:uid="{00000000-0005-0000-0000-0000E54A0000}"/>
    <cellStyle name="Style 32 3" xfId="20507" xr:uid="{00000000-0005-0000-0000-0000E44A0000}"/>
    <cellStyle name="Style 33" xfId="19901" xr:uid="{00000000-0005-0000-0000-0000E64A0000}"/>
    <cellStyle name="Style 33 2" xfId="19902" xr:uid="{00000000-0005-0000-0000-0000E74A0000}"/>
    <cellStyle name="Style 34" xfId="19903" xr:uid="{00000000-0005-0000-0000-0000E84A0000}"/>
    <cellStyle name="Style 34 2" xfId="19904" xr:uid="{00000000-0005-0000-0000-0000E94A0000}"/>
    <cellStyle name="Style 34 2 2" xfId="19905" xr:uid="{00000000-0005-0000-0000-0000EA4A0000}"/>
    <cellStyle name="Style 34 2 2 2" xfId="20511" xr:uid="{00000000-0005-0000-0000-0000EA4A0000}"/>
    <cellStyle name="Style 34 2 3" xfId="20510" xr:uid="{00000000-0005-0000-0000-0000E94A0000}"/>
    <cellStyle name="Style 34 3" xfId="19906" xr:uid="{00000000-0005-0000-0000-0000EB4A0000}"/>
    <cellStyle name="Style 34 3 2" xfId="20512" xr:uid="{00000000-0005-0000-0000-0000EB4A0000}"/>
    <cellStyle name="Style 34 4" xfId="20509" xr:uid="{00000000-0005-0000-0000-0000E84A0000}"/>
    <cellStyle name="Style 35" xfId="2789" xr:uid="{00000000-0005-0000-0000-0000CC0A0000}"/>
    <cellStyle name="Style 35 2" xfId="19908" xr:uid="{00000000-0005-0000-0000-0000ED4A0000}"/>
    <cellStyle name="Style 35 2 2" xfId="19909" xr:uid="{00000000-0005-0000-0000-0000EE4A0000}"/>
    <cellStyle name="Style 35 2 3" xfId="19910" xr:uid="{00000000-0005-0000-0000-0000EF4A0000}"/>
    <cellStyle name="Style 35 3" xfId="19911" xr:uid="{00000000-0005-0000-0000-0000F04A0000}"/>
    <cellStyle name="Style 35 4" xfId="19912" xr:uid="{00000000-0005-0000-0000-0000F14A0000}"/>
    <cellStyle name="Style 35 5" xfId="19913" xr:uid="{00000000-0005-0000-0000-0000F24A0000}"/>
    <cellStyle name="Style 35 6" xfId="19914" xr:uid="{00000000-0005-0000-0000-0000F34A0000}"/>
    <cellStyle name="Style 35 7" xfId="19915" xr:uid="{00000000-0005-0000-0000-0000F44A0000}"/>
    <cellStyle name="Style 35 8" xfId="19907" xr:uid="{00000000-0005-0000-0000-0000EC4A0000}"/>
    <cellStyle name="Style 36" xfId="2790" xr:uid="{00000000-0005-0000-0000-0000CD0A0000}"/>
    <cellStyle name="Style 36 2" xfId="19917" xr:uid="{00000000-0005-0000-0000-0000F64A0000}"/>
    <cellStyle name="Style 36 2 2" xfId="19918" xr:uid="{00000000-0005-0000-0000-0000F74A0000}"/>
    <cellStyle name="Style 36 2 3" xfId="19919" xr:uid="{00000000-0005-0000-0000-0000F84A0000}"/>
    <cellStyle name="Style 36 3" xfId="19920" xr:uid="{00000000-0005-0000-0000-0000F94A0000}"/>
    <cellStyle name="Style 36 4" xfId="19921" xr:uid="{00000000-0005-0000-0000-0000FA4A0000}"/>
    <cellStyle name="Style 36 5" xfId="19922" xr:uid="{00000000-0005-0000-0000-0000FB4A0000}"/>
    <cellStyle name="Style 36 6" xfId="19923" xr:uid="{00000000-0005-0000-0000-0000FC4A0000}"/>
    <cellStyle name="Style 36 7" xfId="19924" xr:uid="{00000000-0005-0000-0000-0000FD4A0000}"/>
    <cellStyle name="Style 36 8" xfId="19916" xr:uid="{00000000-0005-0000-0000-0000F54A0000}"/>
    <cellStyle name="Style 37" xfId="19925" xr:uid="{00000000-0005-0000-0000-0000FE4A0000}"/>
    <cellStyle name="Style 37 2" xfId="19926" xr:uid="{00000000-0005-0000-0000-0000FF4A0000}"/>
    <cellStyle name="Style 37 2 2" xfId="19927" xr:uid="{00000000-0005-0000-0000-0000004B0000}"/>
    <cellStyle name="Style 37 3" xfId="19928" xr:uid="{00000000-0005-0000-0000-0000014B0000}"/>
    <cellStyle name="Style 38" xfId="19929" xr:uid="{00000000-0005-0000-0000-0000024B0000}"/>
    <cellStyle name="Style 38 2" xfId="19930" xr:uid="{00000000-0005-0000-0000-0000034B0000}"/>
    <cellStyle name="Style 38 2 2" xfId="19931" xr:uid="{00000000-0005-0000-0000-0000044B0000}"/>
    <cellStyle name="Style 38 3" xfId="19932" xr:uid="{00000000-0005-0000-0000-0000054B0000}"/>
    <cellStyle name="Style 39" xfId="19933" xr:uid="{00000000-0005-0000-0000-0000064B0000}"/>
    <cellStyle name="Style 39 2" xfId="19934" xr:uid="{00000000-0005-0000-0000-0000074B0000}"/>
    <cellStyle name="Style 39 2 2" xfId="19935" xr:uid="{00000000-0005-0000-0000-0000084B0000}"/>
    <cellStyle name="Style 39 3" xfId="19936" xr:uid="{00000000-0005-0000-0000-0000094B0000}"/>
    <cellStyle name="Style 40" xfId="19937" xr:uid="{00000000-0005-0000-0000-00000A4B0000}"/>
    <cellStyle name="Style 40 2" xfId="19938" xr:uid="{00000000-0005-0000-0000-00000B4B0000}"/>
    <cellStyle name="Style 40 2 2" xfId="19939" xr:uid="{00000000-0005-0000-0000-00000C4B0000}"/>
    <cellStyle name="Style 40 2 2 2" xfId="20515" xr:uid="{00000000-0005-0000-0000-00000C4B0000}"/>
    <cellStyle name="Style 40 2 3" xfId="20514" xr:uid="{00000000-0005-0000-0000-00000B4B0000}"/>
    <cellStyle name="Style 40 3" xfId="19940" xr:uid="{00000000-0005-0000-0000-00000D4B0000}"/>
    <cellStyle name="Style 40 3 2" xfId="20516" xr:uid="{00000000-0005-0000-0000-00000D4B0000}"/>
    <cellStyle name="Style 40 4" xfId="20513" xr:uid="{00000000-0005-0000-0000-00000A4B0000}"/>
    <cellStyle name="Style 41" xfId="19941" xr:uid="{00000000-0005-0000-0000-00000E4B0000}"/>
    <cellStyle name="Style 41 2" xfId="19942" xr:uid="{00000000-0005-0000-0000-00000F4B0000}"/>
    <cellStyle name="Style 41 2 2" xfId="19943" xr:uid="{00000000-0005-0000-0000-0000104B0000}"/>
    <cellStyle name="Style 41 2 2 2" xfId="20519" xr:uid="{00000000-0005-0000-0000-0000104B0000}"/>
    <cellStyle name="Style 41 2 3" xfId="20518" xr:uid="{00000000-0005-0000-0000-00000F4B0000}"/>
    <cellStyle name="Style 41 3" xfId="19944" xr:uid="{00000000-0005-0000-0000-0000114B0000}"/>
    <cellStyle name="Style 41 3 2" xfId="20520" xr:uid="{00000000-0005-0000-0000-0000114B0000}"/>
    <cellStyle name="Style 41 4" xfId="20517" xr:uid="{00000000-0005-0000-0000-00000E4B0000}"/>
    <cellStyle name="Subtotal" xfId="2791" xr:uid="{00000000-0005-0000-0000-0000CE0A0000}"/>
    <cellStyle name="test a style" xfId="2792" xr:uid="{00000000-0005-0000-0000-0000CF0A0000}"/>
    <cellStyle name="Text" xfId="2793" xr:uid="{00000000-0005-0000-0000-0000D00A0000}"/>
    <cellStyle name="Text 2" xfId="19946" xr:uid="{00000000-0005-0000-0000-0000154B0000}"/>
    <cellStyle name="Text 2 2" xfId="19947" xr:uid="{00000000-0005-0000-0000-0000164B0000}"/>
    <cellStyle name="Text 3" xfId="19948" xr:uid="{00000000-0005-0000-0000-0000174B0000}"/>
    <cellStyle name="Text 4" xfId="19945" xr:uid="{00000000-0005-0000-0000-0000144B0000}"/>
    <cellStyle name="Thousand" xfId="2794" xr:uid="{00000000-0005-0000-0000-0000D10A0000}"/>
    <cellStyle name="Thousand 2" xfId="19950" xr:uid="{00000000-0005-0000-0000-0000194B0000}"/>
    <cellStyle name="Thousand 2 2" xfId="19951" xr:uid="{00000000-0005-0000-0000-00001A4B0000}"/>
    <cellStyle name="Thousand 3" xfId="19952" xr:uid="{00000000-0005-0000-0000-00001B4B0000}"/>
    <cellStyle name="Thousand 4" xfId="19949" xr:uid="{00000000-0005-0000-0000-0000184B0000}"/>
    <cellStyle name="Thousands" xfId="2795" xr:uid="{00000000-0005-0000-0000-0000D20A0000}"/>
    <cellStyle name="Thousands 2" xfId="19954" xr:uid="{00000000-0005-0000-0000-00001D4B0000}"/>
    <cellStyle name="Thousands 2 2" xfId="19955" xr:uid="{00000000-0005-0000-0000-00001E4B0000}"/>
    <cellStyle name="Thousands 3" xfId="19956" xr:uid="{00000000-0005-0000-0000-00001F4B0000}"/>
    <cellStyle name="Thousands 4" xfId="19953" xr:uid="{00000000-0005-0000-0000-00001C4B0000}"/>
    <cellStyle name="Title" xfId="65" builtinId="15" customBuiltin="1"/>
    <cellStyle name="Title 10" xfId="19957" xr:uid="{00000000-0005-0000-0000-0000204B0000}"/>
    <cellStyle name="Title 11" xfId="19958" xr:uid="{00000000-0005-0000-0000-0000214B0000}"/>
    <cellStyle name="Title 12" xfId="19959" xr:uid="{00000000-0005-0000-0000-0000224B0000}"/>
    <cellStyle name="Title 2" xfId="2796" xr:uid="{00000000-0005-0000-0000-0000D30A0000}"/>
    <cellStyle name="Title 2 2" xfId="19961" xr:uid="{00000000-0005-0000-0000-0000244B0000}"/>
    <cellStyle name="Title 2 2 2" xfId="19962" xr:uid="{00000000-0005-0000-0000-0000254B0000}"/>
    <cellStyle name="Title 2 3" xfId="19963" xr:uid="{00000000-0005-0000-0000-0000264B0000}"/>
    <cellStyle name="Title 2 4" xfId="19964" xr:uid="{00000000-0005-0000-0000-0000274B0000}"/>
    <cellStyle name="Title 2 5" xfId="19960" xr:uid="{00000000-0005-0000-0000-0000234B0000}"/>
    <cellStyle name="Title 3" xfId="2797" xr:uid="{00000000-0005-0000-0000-0000D40A0000}"/>
    <cellStyle name="Title 3 2" xfId="19966" xr:uid="{00000000-0005-0000-0000-0000294B0000}"/>
    <cellStyle name="Title 3 3" xfId="19967" xr:uid="{00000000-0005-0000-0000-00002A4B0000}"/>
    <cellStyle name="Title 3 4" xfId="19968" xr:uid="{00000000-0005-0000-0000-00002B4B0000}"/>
    <cellStyle name="Title 3 5" xfId="19969" xr:uid="{00000000-0005-0000-0000-00002C4B0000}"/>
    <cellStyle name="Title 3 6" xfId="19965" xr:uid="{00000000-0005-0000-0000-0000284B0000}"/>
    <cellStyle name="Title 4" xfId="2798" xr:uid="{00000000-0005-0000-0000-0000D50A0000}"/>
    <cellStyle name="Title 4 2" xfId="19971" xr:uid="{00000000-0005-0000-0000-00002E4B0000}"/>
    <cellStyle name="Title 4 2 2" xfId="19972" xr:uid="{00000000-0005-0000-0000-00002F4B0000}"/>
    <cellStyle name="Title 4 3" xfId="19973" xr:uid="{00000000-0005-0000-0000-0000304B0000}"/>
    <cellStyle name="Title 4 4" xfId="19970" xr:uid="{00000000-0005-0000-0000-00002D4B0000}"/>
    <cellStyle name="Title 5" xfId="2799" xr:uid="{00000000-0005-0000-0000-0000D60A0000}"/>
    <cellStyle name="Title 5 2" xfId="19975" xr:uid="{00000000-0005-0000-0000-0000324B0000}"/>
    <cellStyle name="Title 5 2 2" xfId="19976" xr:uid="{00000000-0005-0000-0000-0000334B0000}"/>
    <cellStyle name="Title 5 3" xfId="19977" xr:uid="{00000000-0005-0000-0000-0000344B0000}"/>
    <cellStyle name="Title 5 4" xfId="19974" xr:uid="{00000000-0005-0000-0000-0000314B0000}"/>
    <cellStyle name="Title 6" xfId="2800" xr:uid="{00000000-0005-0000-0000-0000D70A0000}"/>
    <cellStyle name="Title 6 2" xfId="19979" xr:uid="{00000000-0005-0000-0000-0000364B0000}"/>
    <cellStyle name="Title 6 2 2" xfId="19980" xr:uid="{00000000-0005-0000-0000-0000374B0000}"/>
    <cellStyle name="Title 6 3" xfId="19981" xr:uid="{00000000-0005-0000-0000-0000384B0000}"/>
    <cellStyle name="Title 6 4" xfId="19978" xr:uid="{00000000-0005-0000-0000-0000354B0000}"/>
    <cellStyle name="Title 7" xfId="2801" xr:uid="{00000000-0005-0000-0000-0000D80A0000}"/>
    <cellStyle name="Title 7 2" xfId="19983" xr:uid="{00000000-0005-0000-0000-00003A4B0000}"/>
    <cellStyle name="Title 7 2 2" xfId="19984" xr:uid="{00000000-0005-0000-0000-00003B4B0000}"/>
    <cellStyle name="Title 7 3" xfId="19985" xr:uid="{00000000-0005-0000-0000-00003C4B0000}"/>
    <cellStyle name="Title 7 4" xfId="19982" xr:uid="{00000000-0005-0000-0000-0000394B0000}"/>
    <cellStyle name="Title 8" xfId="19986" xr:uid="{00000000-0005-0000-0000-00003D4B0000}"/>
    <cellStyle name="Title 8 2" xfId="19987" xr:uid="{00000000-0005-0000-0000-00003E4B0000}"/>
    <cellStyle name="Title 8 3" xfId="19988" xr:uid="{00000000-0005-0000-0000-00003F4B0000}"/>
    <cellStyle name="Title 9" xfId="19989" xr:uid="{00000000-0005-0000-0000-0000404B0000}"/>
    <cellStyle name="Title 9 2" xfId="19990" xr:uid="{00000000-0005-0000-0000-0000414B0000}"/>
    <cellStyle name="Total" xfId="80" builtinId="25" customBuiltin="1"/>
    <cellStyle name="Total 10" xfId="19991" xr:uid="{00000000-0005-0000-0000-0000434B0000}"/>
    <cellStyle name="Total 11" xfId="19992" xr:uid="{00000000-0005-0000-0000-0000444B0000}"/>
    <cellStyle name="Total 12" xfId="19993" xr:uid="{00000000-0005-0000-0000-0000454B0000}"/>
    <cellStyle name="Total 2" xfId="2802" xr:uid="{00000000-0005-0000-0000-0000D90A0000}"/>
    <cellStyle name="Total 2 2" xfId="2803" xr:uid="{00000000-0005-0000-0000-0000DA0A0000}"/>
    <cellStyle name="Total 2 2 2" xfId="19994" xr:uid="{00000000-0005-0000-0000-0000484B0000}"/>
    <cellStyle name="Total 2 2 2 2" xfId="19995" xr:uid="{00000000-0005-0000-0000-0000494B0000}"/>
    <cellStyle name="Total 2 2 2 2 2" xfId="20521" xr:uid="{00000000-0005-0000-0000-0000494B0000}"/>
    <cellStyle name="Total 2 2 2 3" xfId="19996" xr:uid="{00000000-0005-0000-0000-00004A4B0000}"/>
    <cellStyle name="Total 2 2 3" xfId="19997" xr:uid="{00000000-0005-0000-0000-00004B4B0000}"/>
    <cellStyle name="Total 2 2 4" xfId="19998" xr:uid="{00000000-0005-0000-0000-00004C4B0000}"/>
    <cellStyle name="Total 2 2 4 2" xfId="20522" xr:uid="{00000000-0005-0000-0000-00004C4B0000}"/>
    <cellStyle name="Total 2 2 5" xfId="19999" xr:uid="{00000000-0005-0000-0000-00004D4B0000}"/>
    <cellStyle name="Total 2 2 6" xfId="5309" xr:uid="{00000000-0005-0000-0000-0000474B0000}"/>
    <cellStyle name="Total 2 3" xfId="20000" xr:uid="{00000000-0005-0000-0000-00004E4B0000}"/>
    <cellStyle name="Total 2 3 2" xfId="20001" xr:uid="{00000000-0005-0000-0000-00004F4B0000}"/>
    <cellStyle name="Total 2 3 2 2" xfId="20524" xr:uid="{00000000-0005-0000-0000-00004F4B0000}"/>
    <cellStyle name="Total 2 3 3" xfId="20002" xr:uid="{00000000-0005-0000-0000-0000504B0000}"/>
    <cellStyle name="Total 2 3 4" xfId="20523" xr:uid="{00000000-0005-0000-0000-00004E4B0000}"/>
    <cellStyle name="Total 2 4" xfId="20003" xr:uid="{00000000-0005-0000-0000-0000514B0000}"/>
    <cellStyle name="Total 2 5" xfId="20004" xr:uid="{00000000-0005-0000-0000-0000524B0000}"/>
    <cellStyle name="Total 2 6" xfId="20005" xr:uid="{00000000-0005-0000-0000-0000534B0000}"/>
    <cellStyle name="Total 2 6 2" xfId="20525" xr:uid="{00000000-0005-0000-0000-0000534B0000}"/>
    <cellStyle name="Total 2 7" xfId="20006" xr:uid="{00000000-0005-0000-0000-0000544B0000}"/>
    <cellStyle name="Total 2_App b.3 Unspent_" xfId="2804" xr:uid="{00000000-0005-0000-0000-0000DB0A0000}"/>
    <cellStyle name="Total 3" xfId="2805" xr:uid="{00000000-0005-0000-0000-0000DC0A0000}"/>
    <cellStyle name="Total 3 2" xfId="20007" xr:uid="{00000000-0005-0000-0000-0000564B0000}"/>
    <cellStyle name="Total 3 2 2" xfId="20008" xr:uid="{00000000-0005-0000-0000-0000574B0000}"/>
    <cellStyle name="Total 3 3" xfId="20009" xr:uid="{00000000-0005-0000-0000-0000584B0000}"/>
    <cellStyle name="Total 3 4" xfId="20010" xr:uid="{00000000-0005-0000-0000-0000594B0000}"/>
    <cellStyle name="Total 3 5" xfId="20011" xr:uid="{00000000-0005-0000-0000-00005A4B0000}"/>
    <cellStyle name="Total 3 6" xfId="20012" xr:uid="{00000000-0005-0000-0000-00005B4B0000}"/>
    <cellStyle name="Total 3 7" xfId="5308" xr:uid="{00000000-0005-0000-0000-0000554B0000}"/>
    <cellStyle name="Total 4" xfId="2806" xr:uid="{00000000-0005-0000-0000-0000DD0A0000}"/>
    <cellStyle name="Total 4 2" xfId="20014" xr:uid="{00000000-0005-0000-0000-00005D4B0000}"/>
    <cellStyle name="Total 4 2 2" xfId="20015" xr:uid="{00000000-0005-0000-0000-00005E4B0000}"/>
    <cellStyle name="Total 4 3" xfId="20016" xr:uid="{00000000-0005-0000-0000-00005F4B0000}"/>
    <cellStyle name="Total 4 4" xfId="20013" xr:uid="{00000000-0005-0000-0000-00005C4B0000}"/>
    <cellStyle name="Total 5" xfId="2807" xr:uid="{00000000-0005-0000-0000-0000DE0A0000}"/>
    <cellStyle name="Total 5 2" xfId="20018" xr:uid="{00000000-0005-0000-0000-0000614B0000}"/>
    <cellStyle name="Total 5 2 2" xfId="20019" xr:uid="{00000000-0005-0000-0000-0000624B0000}"/>
    <cellStyle name="Total 5 3" xfId="20020" xr:uid="{00000000-0005-0000-0000-0000634B0000}"/>
    <cellStyle name="Total 5 4" xfId="20017" xr:uid="{00000000-0005-0000-0000-0000604B0000}"/>
    <cellStyle name="Total 6" xfId="2808" xr:uid="{00000000-0005-0000-0000-0000DF0A0000}"/>
    <cellStyle name="Total 6 2" xfId="20022" xr:uid="{00000000-0005-0000-0000-0000654B0000}"/>
    <cellStyle name="Total 6 2 2" xfId="20023" xr:uid="{00000000-0005-0000-0000-0000664B0000}"/>
    <cellStyle name="Total 6 3" xfId="20024" xr:uid="{00000000-0005-0000-0000-0000674B0000}"/>
    <cellStyle name="Total 6 4" xfId="20021" xr:uid="{00000000-0005-0000-0000-0000644B0000}"/>
    <cellStyle name="Total 7" xfId="2809" xr:uid="{00000000-0005-0000-0000-0000E00A0000}"/>
    <cellStyle name="Total 7 2" xfId="20026" xr:uid="{00000000-0005-0000-0000-0000694B0000}"/>
    <cellStyle name="Total 7 2 2" xfId="20027" xr:uid="{00000000-0005-0000-0000-00006A4B0000}"/>
    <cellStyle name="Total 7 3" xfId="20028" xr:uid="{00000000-0005-0000-0000-00006B4B0000}"/>
    <cellStyle name="Total 7 4" xfId="20025" xr:uid="{00000000-0005-0000-0000-0000684B0000}"/>
    <cellStyle name="Total 8" xfId="20029" xr:uid="{00000000-0005-0000-0000-00006C4B0000}"/>
    <cellStyle name="Total 8 2" xfId="20030" xr:uid="{00000000-0005-0000-0000-00006D4B0000}"/>
    <cellStyle name="Total 8 3" xfId="20031" xr:uid="{00000000-0005-0000-0000-00006E4B0000}"/>
    <cellStyle name="Total 9" xfId="20032" xr:uid="{00000000-0005-0000-0000-00006F4B0000}"/>
    <cellStyle name="Total 9 2" xfId="20033" xr:uid="{00000000-0005-0000-0000-0000704B0000}"/>
    <cellStyle name="Unprot" xfId="2810" xr:uid="{00000000-0005-0000-0000-0000E10A0000}"/>
    <cellStyle name="Unprot 2" xfId="2811" xr:uid="{00000000-0005-0000-0000-0000E20A0000}"/>
    <cellStyle name="Unprot 2 2" xfId="20035" xr:uid="{00000000-0005-0000-0000-0000734B0000}"/>
    <cellStyle name="Unprot 2 2 2" xfId="20036" xr:uid="{00000000-0005-0000-0000-0000744B0000}"/>
    <cellStyle name="Unprot 2 3" xfId="20037" xr:uid="{00000000-0005-0000-0000-0000754B0000}"/>
    <cellStyle name="Unprot 2 4" xfId="20034" xr:uid="{00000000-0005-0000-0000-0000724B0000}"/>
    <cellStyle name="Unprot 3" xfId="20038" xr:uid="{00000000-0005-0000-0000-0000764B0000}"/>
    <cellStyle name="Unprot 4" xfId="20039" xr:uid="{00000000-0005-0000-0000-0000774B0000}"/>
    <cellStyle name="Unprot 5" xfId="20040" xr:uid="{00000000-0005-0000-0000-0000784B0000}"/>
    <cellStyle name="Unprot$" xfId="2813" xr:uid="{00000000-0005-0000-0000-0000E30A0000}"/>
    <cellStyle name="Unprot$ 2" xfId="5307" xr:uid="{00000000-0005-0000-0000-00007A4B0000}"/>
    <cellStyle name="Unprot$ 2 2" xfId="20041" xr:uid="{00000000-0005-0000-0000-00007B4B0000}"/>
    <cellStyle name="Unprot$ 3" xfId="20042" xr:uid="{00000000-0005-0000-0000-00007C4B0000}"/>
    <cellStyle name="Unprot$ 4" xfId="20043" xr:uid="{00000000-0005-0000-0000-00007D4B0000}"/>
    <cellStyle name="Unprot$ 5" xfId="20044" xr:uid="{00000000-0005-0000-0000-00007E4B0000}"/>
    <cellStyle name="Unprot_01 05 Reports" xfId="2812" xr:uid="{00000000-0005-0000-0000-0000E40A0000}"/>
    <cellStyle name="Unprotect" xfId="2814" xr:uid="{00000000-0005-0000-0000-0000E50A0000}"/>
    <cellStyle name="Unprotect 2" xfId="20045" xr:uid="{00000000-0005-0000-0000-0000814B0000}"/>
    <cellStyle name="Unprotect 3" xfId="20046" xr:uid="{00000000-0005-0000-0000-0000824B0000}"/>
    <cellStyle name="Unprotect 3 2" xfId="20526" xr:uid="{00000000-0005-0000-0000-0000824B0000}"/>
    <cellStyle name="Unprotect 4" xfId="20047" xr:uid="{00000000-0005-0000-0000-0000834B0000}"/>
    <cellStyle name="Unprotect 5" xfId="16353" xr:uid="{00000000-0005-0000-0000-0000804B0000}"/>
    <cellStyle name="USD" xfId="2815" xr:uid="{00000000-0005-0000-0000-0000E60A0000}"/>
    <cellStyle name="USD 2" xfId="20049" xr:uid="{00000000-0005-0000-0000-0000854B0000}"/>
    <cellStyle name="USD 2 2" xfId="20050" xr:uid="{00000000-0005-0000-0000-0000864B0000}"/>
    <cellStyle name="USD 3" xfId="20051" xr:uid="{00000000-0005-0000-0000-0000874B0000}"/>
    <cellStyle name="USD 4" xfId="20048" xr:uid="{00000000-0005-0000-0000-0000844B0000}"/>
    <cellStyle name="USD billion" xfId="2816" xr:uid="{00000000-0005-0000-0000-0000E70A0000}"/>
    <cellStyle name="USD billion 2" xfId="20053" xr:uid="{00000000-0005-0000-0000-0000894B0000}"/>
    <cellStyle name="USD billion 2 2" xfId="20054" xr:uid="{00000000-0005-0000-0000-00008A4B0000}"/>
    <cellStyle name="USD billion 3" xfId="20055" xr:uid="{00000000-0005-0000-0000-00008B4B0000}"/>
    <cellStyle name="USD billion 4" xfId="20052" xr:uid="{00000000-0005-0000-0000-0000884B0000}"/>
    <cellStyle name="USD million" xfId="2817" xr:uid="{00000000-0005-0000-0000-0000E80A0000}"/>
    <cellStyle name="USD million 2" xfId="20057" xr:uid="{00000000-0005-0000-0000-00008D4B0000}"/>
    <cellStyle name="USD million 2 2" xfId="20058" xr:uid="{00000000-0005-0000-0000-00008E4B0000}"/>
    <cellStyle name="USD million 3" xfId="20059" xr:uid="{00000000-0005-0000-0000-00008F4B0000}"/>
    <cellStyle name="USD million 4" xfId="20056" xr:uid="{00000000-0005-0000-0000-00008C4B0000}"/>
    <cellStyle name="USD thousand" xfId="2818" xr:uid="{00000000-0005-0000-0000-0000E90A0000}"/>
    <cellStyle name="USD thousand 2" xfId="20061" xr:uid="{00000000-0005-0000-0000-0000914B0000}"/>
    <cellStyle name="USD thousand 2 2" xfId="20062" xr:uid="{00000000-0005-0000-0000-0000924B0000}"/>
    <cellStyle name="USD thousand 3" xfId="20063" xr:uid="{00000000-0005-0000-0000-0000934B0000}"/>
    <cellStyle name="USD thousand 4" xfId="20060" xr:uid="{00000000-0005-0000-0000-0000904B0000}"/>
    <cellStyle name="Value" xfId="2819" xr:uid="{00000000-0005-0000-0000-0000EA0A0000}"/>
    <cellStyle name="Warning Text" xfId="78" builtinId="11" customBuiltin="1"/>
    <cellStyle name="Warning Text 10" xfId="20064" xr:uid="{00000000-0005-0000-0000-0000954B0000}"/>
    <cellStyle name="Warning Text 11" xfId="20065" xr:uid="{00000000-0005-0000-0000-0000964B0000}"/>
    <cellStyle name="Warning Text 12" xfId="20066" xr:uid="{00000000-0005-0000-0000-0000974B0000}"/>
    <cellStyle name="Warning Text 2" xfId="2820" xr:uid="{00000000-0005-0000-0000-0000EB0A0000}"/>
    <cellStyle name="Warning Text 2 2" xfId="20068" xr:uid="{00000000-0005-0000-0000-0000994B0000}"/>
    <cellStyle name="Warning Text 2 2 2" xfId="20069" xr:uid="{00000000-0005-0000-0000-00009A4B0000}"/>
    <cellStyle name="Warning Text 2 2 2 2" xfId="20070" xr:uid="{00000000-0005-0000-0000-00009B4B0000}"/>
    <cellStyle name="Warning Text 2 2 3" xfId="20071" xr:uid="{00000000-0005-0000-0000-00009C4B0000}"/>
    <cellStyle name="Warning Text 2 2 4" xfId="20072" xr:uid="{00000000-0005-0000-0000-00009D4B0000}"/>
    <cellStyle name="Warning Text 2 3" xfId="20073" xr:uid="{00000000-0005-0000-0000-00009E4B0000}"/>
    <cellStyle name="Warning Text 2 3 2" xfId="20074" xr:uid="{00000000-0005-0000-0000-00009F4B0000}"/>
    <cellStyle name="Warning Text 2 3 3" xfId="20075" xr:uid="{00000000-0005-0000-0000-0000A04B0000}"/>
    <cellStyle name="Warning Text 2 4" xfId="20076" xr:uid="{00000000-0005-0000-0000-0000A14B0000}"/>
    <cellStyle name="Warning Text 2 5" xfId="20077" xr:uid="{00000000-0005-0000-0000-0000A24B0000}"/>
    <cellStyle name="Warning Text 2 6" xfId="20078" xr:uid="{00000000-0005-0000-0000-0000A34B0000}"/>
    <cellStyle name="Warning Text 2 7" xfId="20067" xr:uid="{00000000-0005-0000-0000-0000984B0000}"/>
    <cellStyle name="Warning Text 3" xfId="2821" xr:uid="{00000000-0005-0000-0000-0000EC0A0000}"/>
    <cellStyle name="Warning Text 3 2" xfId="20080" xr:uid="{00000000-0005-0000-0000-0000A54B0000}"/>
    <cellStyle name="Warning Text 3 3" xfId="20081" xr:uid="{00000000-0005-0000-0000-0000A64B0000}"/>
    <cellStyle name="Warning Text 3 4" xfId="20082" xr:uid="{00000000-0005-0000-0000-0000A74B0000}"/>
    <cellStyle name="Warning Text 3 5" xfId="20083" xr:uid="{00000000-0005-0000-0000-0000A84B0000}"/>
    <cellStyle name="Warning Text 3 6" xfId="20079" xr:uid="{00000000-0005-0000-0000-0000A44B0000}"/>
    <cellStyle name="Warning Text 4" xfId="2822" xr:uid="{00000000-0005-0000-0000-0000ED0A0000}"/>
    <cellStyle name="Warning Text 4 2" xfId="20085" xr:uid="{00000000-0005-0000-0000-0000AA4B0000}"/>
    <cellStyle name="Warning Text 4 2 2" xfId="20086" xr:uid="{00000000-0005-0000-0000-0000AB4B0000}"/>
    <cellStyle name="Warning Text 4 3" xfId="20087" xr:uid="{00000000-0005-0000-0000-0000AC4B0000}"/>
    <cellStyle name="Warning Text 4 4" xfId="20084" xr:uid="{00000000-0005-0000-0000-0000A94B0000}"/>
    <cellStyle name="Warning Text 5" xfId="2823" xr:uid="{00000000-0005-0000-0000-0000EE0A0000}"/>
    <cellStyle name="Warning Text 5 2" xfId="20089" xr:uid="{00000000-0005-0000-0000-0000AE4B0000}"/>
    <cellStyle name="Warning Text 5 2 2" xfId="20090" xr:uid="{00000000-0005-0000-0000-0000AF4B0000}"/>
    <cellStyle name="Warning Text 5 3" xfId="20091" xr:uid="{00000000-0005-0000-0000-0000B04B0000}"/>
    <cellStyle name="Warning Text 5 4" xfId="20088" xr:uid="{00000000-0005-0000-0000-0000AD4B0000}"/>
    <cellStyle name="Warning Text 6" xfId="2824" xr:uid="{00000000-0005-0000-0000-0000EF0A0000}"/>
    <cellStyle name="Warning Text 6 2" xfId="20093" xr:uid="{00000000-0005-0000-0000-0000B24B0000}"/>
    <cellStyle name="Warning Text 6 2 2" xfId="20094" xr:uid="{00000000-0005-0000-0000-0000B34B0000}"/>
    <cellStyle name="Warning Text 6 3" xfId="20095" xr:uid="{00000000-0005-0000-0000-0000B44B0000}"/>
    <cellStyle name="Warning Text 6 4" xfId="20092" xr:uid="{00000000-0005-0000-0000-0000B14B0000}"/>
    <cellStyle name="Warning Text 7" xfId="2825" xr:uid="{00000000-0005-0000-0000-0000F00A0000}"/>
    <cellStyle name="Warning Text 7 2" xfId="20097" xr:uid="{00000000-0005-0000-0000-0000B64B0000}"/>
    <cellStyle name="Warning Text 7 2 2" xfId="20098" xr:uid="{00000000-0005-0000-0000-0000B74B0000}"/>
    <cellStyle name="Warning Text 7 3" xfId="20099" xr:uid="{00000000-0005-0000-0000-0000B84B0000}"/>
    <cellStyle name="Warning Text 7 4" xfId="20096" xr:uid="{00000000-0005-0000-0000-0000B54B0000}"/>
    <cellStyle name="Warning Text 8" xfId="20100" xr:uid="{00000000-0005-0000-0000-0000B94B0000}"/>
    <cellStyle name="Warning Text 8 2" xfId="20101" xr:uid="{00000000-0005-0000-0000-0000BA4B0000}"/>
    <cellStyle name="Warning Text 8 3" xfId="20102" xr:uid="{00000000-0005-0000-0000-0000BB4B0000}"/>
    <cellStyle name="Warning Text 9" xfId="20103" xr:uid="{00000000-0005-0000-0000-0000BC4B0000}"/>
    <cellStyle name="Warning Text 9 2" xfId="20104" xr:uid="{00000000-0005-0000-0000-0000BD4B0000}"/>
    <cellStyle name="XBodyBottom" xfId="2826" xr:uid="{00000000-0005-0000-0000-0000F10A0000}"/>
    <cellStyle name="XBodyBottom 2" xfId="5306" xr:uid="{00000000-0005-0000-0000-0000BF4B0000}"/>
    <cellStyle name="XBodyCenter" xfId="2827" xr:uid="{00000000-0005-0000-0000-0000F20A0000}"/>
    <cellStyle name="XBodyCenter 2" xfId="5305" xr:uid="{00000000-0005-0000-0000-0000C14B0000}"/>
    <cellStyle name="XBodyCenter 2 2" xfId="13602" xr:uid="{00000000-0005-0000-0000-0000C14B0000}"/>
    <cellStyle name="XBodyCenter 3" xfId="5501" xr:uid="{00000000-0005-0000-0000-0000C04B0000}"/>
    <cellStyle name="XBodyTop" xfId="2828" xr:uid="{00000000-0005-0000-0000-0000F30A0000}"/>
    <cellStyle name="XBodyTop 2" xfId="2829" xr:uid="{00000000-0005-0000-0000-0000F40A0000}"/>
    <cellStyle name="XBodyTop 2 2" xfId="13599" xr:uid="{00000000-0005-0000-0000-0000C34B0000}"/>
    <cellStyle name="XBodyTop 3" xfId="16344" xr:uid="{00000000-0005-0000-0000-0000C24B0000}"/>
    <cellStyle name="XPivot1" xfId="2830" xr:uid="{00000000-0005-0000-0000-0000F50A0000}"/>
    <cellStyle name="XPivot10" xfId="2831" xr:uid="{00000000-0005-0000-0000-0000F60A0000}"/>
    <cellStyle name="XPivot10 2" xfId="5304" xr:uid="{00000000-0005-0000-0000-0000C64B0000}"/>
    <cellStyle name="XPivot11" xfId="2832" xr:uid="{00000000-0005-0000-0000-0000F70A0000}"/>
    <cellStyle name="XPivot11 2" xfId="5303" xr:uid="{00000000-0005-0000-0000-0000C84B0000}"/>
    <cellStyle name="XPivot12" xfId="2833" xr:uid="{00000000-0005-0000-0000-0000F80A0000}"/>
    <cellStyle name="XPivot13" xfId="2834" xr:uid="{00000000-0005-0000-0000-0000F90A0000}"/>
    <cellStyle name="XPivot13 2" xfId="5302" xr:uid="{00000000-0005-0000-0000-0000CB4B0000}"/>
    <cellStyle name="XPivot14" xfId="2835" xr:uid="{00000000-0005-0000-0000-0000FA0A0000}"/>
    <cellStyle name="XPivot14 2" xfId="5301" xr:uid="{00000000-0005-0000-0000-0000CD4B0000}"/>
    <cellStyle name="XPivot15" xfId="2836" xr:uid="{00000000-0005-0000-0000-0000FB0A0000}"/>
    <cellStyle name="XPivot15 2" xfId="5300" xr:uid="{00000000-0005-0000-0000-0000CF4B0000}"/>
    <cellStyle name="XPivot2" xfId="2837" xr:uid="{00000000-0005-0000-0000-0000FC0A0000}"/>
    <cellStyle name="XPivot3" xfId="2838" xr:uid="{00000000-0005-0000-0000-0000FD0A0000}"/>
    <cellStyle name="XPivot4" xfId="2839" xr:uid="{00000000-0005-0000-0000-0000FE0A0000}"/>
    <cellStyle name="XPivot4 2" xfId="5299" xr:uid="{00000000-0005-0000-0000-0000D34B0000}"/>
    <cellStyle name="XPivot5" xfId="2840" xr:uid="{00000000-0005-0000-0000-0000FF0A0000}"/>
    <cellStyle name="XPivot5 2" xfId="5298" xr:uid="{00000000-0005-0000-0000-0000D54B0000}"/>
    <cellStyle name="XPivot6" xfId="2841" xr:uid="{00000000-0005-0000-0000-0000000B0000}"/>
    <cellStyle name="XPivot6 2" xfId="5297" xr:uid="{00000000-0005-0000-0000-0000D74B0000}"/>
    <cellStyle name="XPivot7" xfId="2842" xr:uid="{00000000-0005-0000-0000-0000010B0000}"/>
    <cellStyle name="XPivot7 2" xfId="5296" xr:uid="{00000000-0005-0000-0000-0000D94B0000}"/>
    <cellStyle name="XPivot9" xfId="2843" xr:uid="{00000000-0005-0000-0000-0000020B0000}"/>
    <cellStyle name="XSubtotalLine0" xfId="2844" xr:uid="{00000000-0005-0000-0000-0000030B0000}"/>
    <cellStyle name="XSubTotalLine1" xfId="2845" xr:uid="{00000000-0005-0000-0000-0000040B0000}"/>
    <cellStyle name="XSubTotalLine2" xfId="2846" xr:uid="{00000000-0005-0000-0000-0000050B0000}"/>
    <cellStyle name="XSubTotalLine3" xfId="2847" xr:uid="{00000000-0005-0000-0000-0000060B0000}"/>
    <cellStyle name="XSubTotalLine4" xfId="2848" xr:uid="{00000000-0005-0000-0000-0000070B0000}"/>
    <cellStyle name="XSubTotalLine5" xfId="2849" xr:uid="{00000000-0005-0000-0000-0000080B0000}"/>
    <cellStyle name="XSubTotalLine6" xfId="2850" xr:uid="{00000000-0005-0000-0000-0000090B0000}"/>
    <cellStyle name="XTitlesHidden" xfId="2851" xr:uid="{00000000-0005-0000-0000-00000A0B0000}"/>
    <cellStyle name="XTitlesHidden 2" xfId="2852" xr:uid="{00000000-0005-0000-0000-00000B0B0000}"/>
    <cellStyle name="XTitlesHidden 2 2" xfId="2921" xr:uid="{00000000-0005-0000-0000-00000C0B0000}"/>
    <cellStyle name="XTitlesHidden 3" xfId="2920" xr:uid="{00000000-0005-0000-0000-00000D0B0000}"/>
    <cellStyle name="XTitlesHidden 4" xfId="15909" xr:uid="{00000000-0005-0000-0000-0000E24B0000}"/>
    <cellStyle name="XTitlesHidden_App b.3 Unspent_" xfId="2853" xr:uid="{00000000-0005-0000-0000-00000E0B0000}"/>
    <cellStyle name="XTitlesUnhidden" xfId="2854" xr:uid="{00000000-0005-0000-0000-00000F0B0000}"/>
    <cellStyle name="XTitlesUnhidden 2" xfId="2855" xr:uid="{00000000-0005-0000-0000-0000100B0000}"/>
    <cellStyle name="XTitlesUnhidden 2 2" xfId="2923" xr:uid="{00000000-0005-0000-0000-0000110B0000}"/>
    <cellStyle name="XTitlesUnhidden 3" xfId="2922" xr:uid="{00000000-0005-0000-0000-0000120B0000}"/>
    <cellStyle name="XTitlesUnhidden 4" xfId="15906" xr:uid="{00000000-0005-0000-0000-0000E34B0000}"/>
    <cellStyle name="XTitlesUnhidden_App b.3 Unspent_" xfId="2856" xr:uid="{00000000-0005-0000-0000-0000130B0000}"/>
    <cellStyle name="XTotals" xfId="2857" xr:uid="{00000000-0005-0000-0000-0000140B0000}"/>
    <cellStyle name="XTotals 2" xfId="2858" xr:uid="{00000000-0005-0000-0000-0000150B0000}"/>
    <cellStyle name="XTotals 2 2" xfId="2925" xr:uid="{00000000-0005-0000-0000-0000160B0000}"/>
    <cellStyle name="XTotals 3" xfId="2924" xr:uid="{00000000-0005-0000-0000-0000170B0000}"/>
    <cellStyle name="XTotals 4" xfId="15903" xr:uid="{00000000-0005-0000-0000-0000E44B0000}"/>
    <cellStyle name="XTotals_App b.3 Unspent_" xfId="2859" xr:uid="{00000000-0005-0000-0000-0000180B0000}"/>
    <cellStyle name="Year" xfId="2860" xr:uid="{00000000-0005-0000-0000-0000190B0000}"/>
    <cellStyle name="Year 2" xfId="20106" xr:uid="{00000000-0005-0000-0000-0000E64B0000}"/>
    <cellStyle name="Year 2 2" xfId="20107" xr:uid="{00000000-0005-0000-0000-0000E74B0000}"/>
    <cellStyle name="Year 3" xfId="20108" xr:uid="{00000000-0005-0000-0000-0000E84B0000}"/>
    <cellStyle name="Year 4" xfId="20105" xr:uid="{00000000-0005-0000-0000-0000E54B0000}"/>
    <cellStyle name="Year_Mth" xfId="5498" xr:uid="{00000000-0005-0000-0000-0000E94B0000}"/>
    <cellStyle name="YrHeader" xfId="2861" xr:uid="{00000000-0005-0000-0000-00001A0B0000}"/>
    <cellStyle name="YrHeader 2" xfId="20110" xr:uid="{00000000-0005-0000-0000-0000EB4B0000}"/>
    <cellStyle name="YrHeader 2 2" xfId="20111" xr:uid="{00000000-0005-0000-0000-0000EC4B0000}"/>
    <cellStyle name="YrHeader 3" xfId="20112" xr:uid="{00000000-0005-0000-0000-0000ED4B0000}"/>
    <cellStyle name="YrHeader 4" xfId="20109" xr:uid="{00000000-0005-0000-0000-0000EA4B0000}"/>
    <cellStyle name="Zip_Code" xfId="2862" xr:uid="{00000000-0005-0000-0000-00001B0B0000}"/>
    <cellStyle name="敨瑥1渀欀" xfId="2863" xr:uid="{00000000-0005-0000-0000-00001C0B0000}"/>
    <cellStyle name="敨瑥1渀欀 2" xfId="20114" xr:uid="{00000000-0005-0000-0000-0000F04B0000}"/>
    <cellStyle name="敨瑥1渀欀 2 2" xfId="20115" xr:uid="{00000000-0005-0000-0000-0000F14B0000}"/>
    <cellStyle name="敨瑥1渀欀 3" xfId="20116" xr:uid="{00000000-0005-0000-0000-0000F24B0000}"/>
    <cellStyle name="敨瑥1渀欀 4" xfId="20113" xr:uid="{00000000-0005-0000-0000-0000EF4B0000}"/>
  </cellStyles>
  <dxfs count="0"/>
  <tableStyles count="0" defaultTableStyle="TableStyleMedium2" defaultPivotStyle="PivotStyleLight16"/>
  <colors>
    <mruColors>
      <color rgb="FF0000FF"/>
      <color rgb="FFFF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42"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sheetMetadata" Target="metadata.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7</xdr:col>
      <xdr:colOff>607787</xdr:colOff>
      <xdr:row>22</xdr:row>
      <xdr:rowOff>195014</xdr:rowOff>
    </xdr:from>
    <xdr:ext cx="3232894" cy="376485"/>
    <xdr:sp macro="" textlink="">
      <xdr:nvSpPr>
        <xdr:cNvPr id="2" name="Rectangle 1">
          <a:extLst>
            <a:ext uri="{FF2B5EF4-FFF2-40B4-BE49-F238E27FC236}">
              <a16:creationId xmlns:a16="http://schemas.microsoft.com/office/drawing/2014/main" id="{F91792CF-9B92-459C-8631-20B4D05FB715}"/>
            </a:ext>
          </a:extLst>
        </xdr:cNvPr>
        <xdr:cNvSpPr/>
      </xdr:nvSpPr>
      <xdr:spPr>
        <a:xfrm flipV="1">
          <a:off x="13289644" y="3370014"/>
          <a:ext cx="3232894" cy="376485"/>
        </a:xfrm>
        <a:prstGeom prst="rect">
          <a:avLst/>
        </a:prstGeom>
        <a:noFill/>
      </xdr:spPr>
      <xdr:txBody>
        <a:bodyPr wrap="square" lIns="91440" tIns="45720" rIns="91440" bIns="45720">
          <a:noAutofit/>
        </a:bodyPr>
        <a:lstStyle/>
        <a:p>
          <a:pPr algn="ctr"/>
          <a:endParaRPr lang="en-US" sz="2800" b="0" cap="none" spc="0" baseline="0">
            <a:ln w="0"/>
            <a:solidFill>
              <a:schemeClr val="tx1"/>
            </a:solidFill>
            <a:effectLst>
              <a:outerShdw blurRad="38100" dist="19050" dir="2700000" algn="tl" rotWithShape="0">
                <a:schemeClr val="dk1">
                  <a:alpha val="40000"/>
                </a:schemeClr>
              </a:out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180975</xdr:colOff>
      <xdr:row>20</xdr:row>
      <xdr:rowOff>2283</xdr:rowOff>
    </xdr:from>
    <xdr:to>
      <xdr:col>3</xdr:col>
      <xdr:colOff>66827</xdr:colOff>
      <xdr:row>26</xdr:row>
      <xdr:rowOff>104717</xdr:rowOff>
    </xdr:to>
    <xdr:pic>
      <xdr:nvPicPr>
        <xdr:cNvPr id="2" name="Picture 1">
          <a:extLst>
            <a:ext uri="{FF2B5EF4-FFF2-40B4-BE49-F238E27FC236}">
              <a16:creationId xmlns:a16="http://schemas.microsoft.com/office/drawing/2014/main" id="{462C51AB-E073-490C-A77F-30D472347257}"/>
            </a:ext>
          </a:extLst>
        </xdr:cNvPr>
        <xdr:cNvPicPr>
          <a:picLocks noChangeAspect="1"/>
        </xdr:cNvPicPr>
      </xdr:nvPicPr>
      <xdr:blipFill>
        <a:blip xmlns:r="http://schemas.openxmlformats.org/officeDocument/2006/relationships" r:embed="rId1"/>
        <a:stretch>
          <a:fillRect/>
        </a:stretch>
      </xdr:blipFill>
      <xdr:spPr>
        <a:xfrm>
          <a:off x="180975" y="4136133"/>
          <a:ext cx="4105427" cy="12454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23</xdr:row>
      <xdr:rowOff>0</xdr:rowOff>
    </xdr:from>
    <xdr:to>
      <xdr:col>10</xdr:col>
      <xdr:colOff>230040</xdr:colOff>
      <xdr:row>61</xdr:row>
      <xdr:rowOff>78490</xdr:rowOff>
    </xdr:to>
    <xdr:pic>
      <xdr:nvPicPr>
        <xdr:cNvPr id="2" name="Picture 1">
          <a:extLst>
            <a:ext uri="{FF2B5EF4-FFF2-40B4-BE49-F238E27FC236}">
              <a16:creationId xmlns:a16="http://schemas.microsoft.com/office/drawing/2014/main" id="{49B8E17C-A0F6-4013-BEFB-59155327E9E4}"/>
            </a:ext>
          </a:extLst>
        </xdr:cNvPr>
        <xdr:cNvPicPr>
          <a:picLocks noChangeAspect="1"/>
        </xdr:cNvPicPr>
      </xdr:nvPicPr>
      <xdr:blipFill>
        <a:blip xmlns:r="http://schemas.openxmlformats.org/officeDocument/2006/relationships" r:embed="rId1"/>
        <a:stretch>
          <a:fillRect/>
        </a:stretch>
      </xdr:blipFill>
      <xdr:spPr>
        <a:xfrm>
          <a:off x="3441700" y="4051300"/>
          <a:ext cx="8800000" cy="70761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551845</xdr:colOff>
      <xdr:row>45</xdr:row>
      <xdr:rowOff>98273</xdr:rowOff>
    </xdr:from>
    <xdr:to>
      <xdr:col>6</xdr:col>
      <xdr:colOff>816238</xdr:colOff>
      <xdr:row>54</xdr:row>
      <xdr:rowOff>48370</xdr:rowOff>
    </xdr:to>
    <xdr:pic>
      <xdr:nvPicPr>
        <xdr:cNvPr id="2" name="Picture 1">
          <a:extLst>
            <a:ext uri="{FF2B5EF4-FFF2-40B4-BE49-F238E27FC236}">
              <a16:creationId xmlns:a16="http://schemas.microsoft.com/office/drawing/2014/main" id="{DFC6D148-8EA7-41F1-8158-0A0EF05DFC41}"/>
            </a:ext>
          </a:extLst>
        </xdr:cNvPr>
        <xdr:cNvPicPr>
          <a:picLocks noChangeAspect="1"/>
        </xdr:cNvPicPr>
      </xdr:nvPicPr>
      <xdr:blipFill>
        <a:blip xmlns:r="http://schemas.openxmlformats.org/officeDocument/2006/relationships" r:embed="rId1"/>
        <a:stretch>
          <a:fillRect/>
        </a:stretch>
      </xdr:blipFill>
      <xdr:spPr>
        <a:xfrm>
          <a:off x="1585988" y="9323916"/>
          <a:ext cx="8535615" cy="1664597"/>
        </a:xfrm>
        <a:prstGeom prst="rect">
          <a:avLst/>
        </a:prstGeom>
      </xdr:spPr>
    </xdr:pic>
    <xdr:clientData/>
  </xdr:twoCellAnchor>
  <xdr:twoCellAnchor editAs="oneCell">
    <xdr:from>
      <xdr:col>0</xdr:col>
      <xdr:colOff>867833</xdr:colOff>
      <xdr:row>56</xdr:row>
      <xdr:rowOff>0</xdr:rowOff>
    </xdr:from>
    <xdr:to>
      <xdr:col>6</xdr:col>
      <xdr:colOff>1136871</xdr:colOff>
      <xdr:row>72</xdr:row>
      <xdr:rowOff>19084</xdr:rowOff>
    </xdr:to>
    <xdr:pic>
      <xdr:nvPicPr>
        <xdr:cNvPr id="3" name="Picture 2">
          <a:extLst>
            <a:ext uri="{FF2B5EF4-FFF2-40B4-BE49-F238E27FC236}">
              <a16:creationId xmlns:a16="http://schemas.microsoft.com/office/drawing/2014/main" id="{8F4B5501-5248-4A1E-AC21-42DAC8EAD952}"/>
            </a:ext>
          </a:extLst>
        </xdr:cNvPr>
        <xdr:cNvPicPr>
          <a:picLocks noChangeAspect="1"/>
        </xdr:cNvPicPr>
      </xdr:nvPicPr>
      <xdr:blipFill>
        <a:blip xmlns:r="http://schemas.openxmlformats.org/officeDocument/2006/relationships" r:embed="rId2"/>
        <a:stretch>
          <a:fillRect/>
        </a:stretch>
      </xdr:blipFill>
      <xdr:spPr>
        <a:xfrm>
          <a:off x="864658" y="10144125"/>
          <a:ext cx="9423049" cy="290198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541866</xdr:colOff>
      <xdr:row>45</xdr:row>
      <xdr:rowOff>179916</xdr:rowOff>
    </xdr:from>
    <xdr:to>
      <xdr:col>6</xdr:col>
      <xdr:colOff>792202</xdr:colOff>
      <xdr:row>54</xdr:row>
      <xdr:rowOff>86197</xdr:rowOff>
    </xdr:to>
    <xdr:pic>
      <xdr:nvPicPr>
        <xdr:cNvPr id="2" name="Picture 1">
          <a:extLst>
            <a:ext uri="{FF2B5EF4-FFF2-40B4-BE49-F238E27FC236}">
              <a16:creationId xmlns:a16="http://schemas.microsoft.com/office/drawing/2014/main" id="{B8BEB83B-7F9F-4DC2-ABAE-14119D7680B9}"/>
            </a:ext>
          </a:extLst>
        </xdr:cNvPr>
        <xdr:cNvPicPr>
          <a:picLocks noChangeAspect="1"/>
        </xdr:cNvPicPr>
      </xdr:nvPicPr>
      <xdr:blipFill>
        <a:blip xmlns:r="http://schemas.openxmlformats.org/officeDocument/2006/relationships" r:embed="rId1"/>
        <a:stretch>
          <a:fillRect/>
        </a:stretch>
      </xdr:blipFill>
      <xdr:spPr>
        <a:xfrm>
          <a:off x="1574799" y="9010649"/>
          <a:ext cx="8543175" cy="1601731"/>
        </a:xfrm>
        <a:prstGeom prst="rect">
          <a:avLst/>
        </a:prstGeom>
      </xdr:spPr>
    </xdr:pic>
    <xdr:clientData/>
  </xdr:twoCellAnchor>
  <xdr:twoCellAnchor editAs="oneCell">
    <xdr:from>
      <xdr:col>0</xdr:col>
      <xdr:colOff>867833</xdr:colOff>
      <xdr:row>55</xdr:row>
      <xdr:rowOff>0</xdr:rowOff>
    </xdr:from>
    <xdr:to>
      <xdr:col>6</xdr:col>
      <xdr:colOff>1051964</xdr:colOff>
      <xdr:row>71</xdr:row>
      <xdr:rowOff>9559</xdr:rowOff>
    </xdr:to>
    <xdr:pic>
      <xdr:nvPicPr>
        <xdr:cNvPr id="3" name="Picture 2">
          <a:extLst>
            <a:ext uri="{FF2B5EF4-FFF2-40B4-BE49-F238E27FC236}">
              <a16:creationId xmlns:a16="http://schemas.microsoft.com/office/drawing/2014/main" id="{53353594-DEED-45DC-A502-83C9CA3369C7}"/>
            </a:ext>
          </a:extLst>
        </xdr:cNvPr>
        <xdr:cNvPicPr>
          <a:picLocks noChangeAspect="1"/>
        </xdr:cNvPicPr>
      </xdr:nvPicPr>
      <xdr:blipFill>
        <a:blip xmlns:r="http://schemas.openxmlformats.org/officeDocument/2006/relationships" r:embed="rId2"/>
        <a:stretch>
          <a:fillRect/>
        </a:stretch>
      </xdr:blipFill>
      <xdr:spPr>
        <a:xfrm>
          <a:off x="864658" y="10144125"/>
          <a:ext cx="9363430" cy="290198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592666</xdr:colOff>
      <xdr:row>43</xdr:row>
      <xdr:rowOff>179916</xdr:rowOff>
    </xdr:from>
    <xdr:to>
      <xdr:col>6</xdr:col>
      <xdr:colOff>803763</xdr:colOff>
      <xdr:row>52</xdr:row>
      <xdr:rowOff>111597</xdr:rowOff>
    </xdr:to>
    <xdr:pic>
      <xdr:nvPicPr>
        <xdr:cNvPr id="2" name="Picture 1">
          <a:extLst>
            <a:ext uri="{FF2B5EF4-FFF2-40B4-BE49-F238E27FC236}">
              <a16:creationId xmlns:a16="http://schemas.microsoft.com/office/drawing/2014/main" id="{49255A30-8B20-42FE-9192-3EC116E61F32}"/>
            </a:ext>
          </a:extLst>
        </xdr:cNvPr>
        <xdr:cNvPicPr>
          <a:picLocks noChangeAspect="1"/>
        </xdr:cNvPicPr>
      </xdr:nvPicPr>
      <xdr:blipFill>
        <a:blip xmlns:r="http://schemas.openxmlformats.org/officeDocument/2006/relationships" r:embed="rId1"/>
        <a:stretch>
          <a:fillRect/>
        </a:stretch>
      </xdr:blipFill>
      <xdr:spPr>
        <a:xfrm>
          <a:off x="1621366" y="8155516"/>
          <a:ext cx="8529416" cy="1557281"/>
        </a:xfrm>
        <a:prstGeom prst="rect">
          <a:avLst/>
        </a:prstGeom>
      </xdr:spPr>
    </xdr:pic>
    <xdr:clientData/>
  </xdr:twoCellAnchor>
  <xdr:twoCellAnchor editAs="oneCell">
    <xdr:from>
      <xdr:col>0</xdr:col>
      <xdr:colOff>867833</xdr:colOff>
      <xdr:row>55</xdr:row>
      <xdr:rowOff>0</xdr:rowOff>
    </xdr:from>
    <xdr:to>
      <xdr:col>6</xdr:col>
      <xdr:colOff>1037490</xdr:colOff>
      <xdr:row>71</xdr:row>
      <xdr:rowOff>22440</xdr:rowOff>
    </xdr:to>
    <xdr:pic>
      <xdr:nvPicPr>
        <xdr:cNvPr id="3" name="Picture 2">
          <a:extLst>
            <a:ext uri="{FF2B5EF4-FFF2-40B4-BE49-F238E27FC236}">
              <a16:creationId xmlns:a16="http://schemas.microsoft.com/office/drawing/2014/main" id="{B08CEA65-6480-4FD7-BC96-6413A1B815F7}"/>
            </a:ext>
          </a:extLst>
        </xdr:cNvPr>
        <xdr:cNvPicPr>
          <a:picLocks noChangeAspect="1"/>
        </xdr:cNvPicPr>
      </xdr:nvPicPr>
      <xdr:blipFill>
        <a:blip xmlns:r="http://schemas.openxmlformats.org/officeDocument/2006/relationships" r:embed="rId2"/>
        <a:stretch>
          <a:fillRect/>
        </a:stretch>
      </xdr:blipFill>
      <xdr:spPr>
        <a:xfrm>
          <a:off x="864658" y="10144125"/>
          <a:ext cx="9362371" cy="290198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592666</xdr:colOff>
      <xdr:row>43</xdr:row>
      <xdr:rowOff>179916</xdr:rowOff>
    </xdr:from>
    <xdr:to>
      <xdr:col>6</xdr:col>
      <xdr:colOff>759767</xdr:colOff>
      <xdr:row>52</xdr:row>
      <xdr:rowOff>111597</xdr:rowOff>
    </xdr:to>
    <xdr:pic>
      <xdr:nvPicPr>
        <xdr:cNvPr id="2" name="Picture 1">
          <a:extLst>
            <a:ext uri="{FF2B5EF4-FFF2-40B4-BE49-F238E27FC236}">
              <a16:creationId xmlns:a16="http://schemas.microsoft.com/office/drawing/2014/main" id="{55C70868-FCD3-4614-930D-B5F0E2941263}"/>
            </a:ext>
          </a:extLst>
        </xdr:cNvPr>
        <xdr:cNvPicPr>
          <a:picLocks noChangeAspect="1"/>
        </xdr:cNvPicPr>
      </xdr:nvPicPr>
      <xdr:blipFill>
        <a:blip xmlns:r="http://schemas.openxmlformats.org/officeDocument/2006/relationships" r:embed="rId1"/>
        <a:stretch>
          <a:fillRect/>
        </a:stretch>
      </xdr:blipFill>
      <xdr:spPr>
        <a:xfrm>
          <a:off x="1621366" y="8155516"/>
          <a:ext cx="8519891" cy="1557281"/>
        </a:xfrm>
        <a:prstGeom prst="rect">
          <a:avLst/>
        </a:prstGeom>
      </xdr:spPr>
    </xdr:pic>
    <xdr:clientData/>
  </xdr:twoCellAnchor>
  <xdr:twoCellAnchor editAs="oneCell">
    <xdr:from>
      <xdr:col>0</xdr:col>
      <xdr:colOff>867833</xdr:colOff>
      <xdr:row>55</xdr:row>
      <xdr:rowOff>0</xdr:rowOff>
    </xdr:from>
    <xdr:to>
      <xdr:col>6</xdr:col>
      <xdr:colOff>1092131</xdr:colOff>
      <xdr:row>71</xdr:row>
      <xdr:rowOff>9559</xdr:rowOff>
    </xdr:to>
    <xdr:pic>
      <xdr:nvPicPr>
        <xdr:cNvPr id="3" name="Picture 2">
          <a:extLst>
            <a:ext uri="{FF2B5EF4-FFF2-40B4-BE49-F238E27FC236}">
              <a16:creationId xmlns:a16="http://schemas.microsoft.com/office/drawing/2014/main" id="{C4CF641B-D1A2-41D1-B26C-49F0D0BE22B5}"/>
            </a:ext>
          </a:extLst>
        </xdr:cNvPr>
        <xdr:cNvPicPr>
          <a:picLocks noChangeAspect="1"/>
        </xdr:cNvPicPr>
      </xdr:nvPicPr>
      <xdr:blipFill>
        <a:blip xmlns:r="http://schemas.openxmlformats.org/officeDocument/2006/relationships" r:embed="rId2"/>
        <a:stretch>
          <a:fillRect/>
        </a:stretch>
      </xdr:blipFill>
      <xdr:spPr>
        <a:xfrm>
          <a:off x="864658" y="10144125"/>
          <a:ext cx="9431163" cy="290198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592666</xdr:colOff>
      <xdr:row>43</xdr:row>
      <xdr:rowOff>179916</xdr:rowOff>
    </xdr:from>
    <xdr:to>
      <xdr:col>6</xdr:col>
      <xdr:colOff>812049</xdr:colOff>
      <xdr:row>52</xdr:row>
      <xdr:rowOff>111597</xdr:rowOff>
    </xdr:to>
    <xdr:pic>
      <xdr:nvPicPr>
        <xdr:cNvPr id="2" name="Picture 1">
          <a:extLst>
            <a:ext uri="{FF2B5EF4-FFF2-40B4-BE49-F238E27FC236}">
              <a16:creationId xmlns:a16="http://schemas.microsoft.com/office/drawing/2014/main" id="{D22F411A-E59A-41CC-B013-6C4B732F4E4C}"/>
            </a:ext>
          </a:extLst>
        </xdr:cNvPr>
        <xdr:cNvPicPr>
          <a:picLocks noChangeAspect="1"/>
        </xdr:cNvPicPr>
      </xdr:nvPicPr>
      <xdr:blipFill>
        <a:blip xmlns:r="http://schemas.openxmlformats.org/officeDocument/2006/relationships" r:embed="rId1"/>
        <a:stretch>
          <a:fillRect/>
        </a:stretch>
      </xdr:blipFill>
      <xdr:spPr>
        <a:xfrm>
          <a:off x="1621366" y="8155516"/>
          <a:ext cx="8531533" cy="1557281"/>
        </a:xfrm>
        <a:prstGeom prst="rect">
          <a:avLst/>
        </a:prstGeom>
      </xdr:spPr>
    </xdr:pic>
    <xdr:clientData/>
  </xdr:twoCellAnchor>
  <xdr:twoCellAnchor editAs="oneCell">
    <xdr:from>
      <xdr:col>0</xdr:col>
      <xdr:colOff>867833</xdr:colOff>
      <xdr:row>55</xdr:row>
      <xdr:rowOff>0</xdr:rowOff>
    </xdr:from>
    <xdr:to>
      <xdr:col>6</xdr:col>
      <xdr:colOff>1120283</xdr:colOff>
      <xdr:row>71</xdr:row>
      <xdr:rowOff>19719</xdr:rowOff>
    </xdr:to>
    <xdr:pic>
      <xdr:nvPicPr>
        <xdr:cNvPr id="3" name="Picture 2">
          <a:extLst>
            <a:ext uri="{FF2B5EF4-FFF2-40B4-BE49-F238E27FC236}">
              <a16:creationId xmlns:a16="http://schemas.microsoft.com/office/drawing/2014/main" id="{017EEDAB-16FF-4911-9F3C-DE7D2E1324EB}"/>
            </a:ext>
          </a:extLst>
        </xdr:cNvPr>
        <xdr:cNvPicPr>
          <a:picLocks noChangeAspect="1"/>
        </xdr:cNvPicPr>
      </xdr:nvPicPr>
      <xdr:blipFill>
        <a:blip xmlns:r="http://schemas.openxmlformats.org/officeDocument/2006/relationships" r:embed="rId2"/>
        <a:stretch>
          <a:fillRect/>
        </a:stretch>
      </xdr:blipFill>
      <xdr:spPr>
        <a:xfrm>
          <a:off x="864658" y="10144125"/>
          <a:ext cx="9433280" cy="290198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1</xdr:col>
      <xdr:colOff>579059</xdr:colOff>
      <xdr:row>45</xdr:row>
      <xdr:rowOff>19805</xdr:rowOff>
    </xdr:from>
    <xdr:ext cx="8537883" cy="1547756"/>
    <xdr:pic>
      <xdr:nvPicPr>
        <xdr:cNvPr id="2" name="Picture 1">
          <a:extLst>
            <a:ext uri="{FF2B5EF4-FFF2-40B4-BE49-F238E27FC236}">
              <a16:creationId xmlns:a16="http://schemas.microsoft.com/office/drawing/2014/main" id="{D489A453-EC28-48C6-AB28-877DEE646D39}"/>
            </a:ext>
          </a:extLst>
        </xdr:cNvPr>
        <xdr:cNvPicPr>
          <a:picLocks noChangeAspect="1"/>
        </xdr:cNvPicPr>
      </xdr:nvPicPr>
      <xdr:blipFill>
        <a:blip xmlns:r="http://schemas.openxmlformats.org/officeDocument/2006/relationships" r:embed="rId1"/>
        <a:stretch>
          <a:fillRect/>
        </a:stretch>
      </xdr:blipFill>
      <xdr:spPr>
        <a:xfrm>
          <a:off x="1610934" y="8354180"/>
          <a:ext cx="8537883" cy="1547756"/>
        </a:xfrm>
        <a:prstGeom prst="rect">
          <a:avLst/>
        </a:prstGeom>
      </xdr:spPr>
    </xdr:pic>
    <xdr:clientData/>
  </xdr:oneCellAnchor>
  <xdr:oneCellAnchor>
    <xdr:from>
      <xdr:col>0</xdr:col>
      <xdr:colOff>867833</xdr:colOff>
      <xdr:row>55</xdr:row>
      <xdr:rowOff>0</xdr:rowOff>
    </xdr:from>
    <xdr:ext cx="9439630" cy="2885049"/>
    <xdr:pic>
      <xdr:nvPicPr>
        <xdr:cNvPr id="3" name="Picture 2">
          <a:extLst>
            <a:ext uri="{FF2B5EF4-FFF2-40B4-BE49-F238E27FC236}">
              <a16:creationId xmlns:a16="http://schemas.microsoft.com/office/drawing/2014/main" id="{67A844EE-9E28-4981-8328-E1B275C5B55C}"/>
            </a:ext>
          </a:extLst>
        </xdr:cNvPr>
        <xdr:cNvPicPr>
          <a:picLocks noChangeAspect="1"/>
        </xdr:cNvPicPr>
      </xdr:nvPicPr>
      <xdr:blipFill>
        <a:blip xmlns:r="http://schemas.openxmlformats.org/officeDocument/2006/relationships" r:embed="rId2"/>
        <a:stretch>
          <a:fillRect/>
        </a:stretch>
      </xdr:blipFill>
      <xdr:spPr>
        <a:xfrm>
          <a:off x="864658" y="10144125"/>
          <a:ext cx="9439630" cy="2885049"/>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sempra.sharepoint.com/sce.eix.com/Users/mary/Dropbox%20(Grounded%20Research)/Grounded%20Research%20Team%20Folder/Projects/PG&amp;E/2018.08%20Supporting%20the%20Annual%20Metrics/2017%20Master%20Documents%20from%20PG&amp;E/BP%20Metrics%20-%202017%20-%20MASTER%20WORKBOOK_GR.xlsx?6275BBD5" TargetMode="External"/><Relationship Id="rId1" Type="http://schemas.openxmlformats.org/officeDocument/2006/relationships/externalLinkPath" Target="file:///\\6275BBD5\BP%20Metrics%20-%202017%20-%20MASTER%20WORKBOOK_G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carolyin2015\Documents\&#8226;&#8226;%20CA%20IOUs\-%20-%20Strategy%20and%20Compliance\Business%20Plans\BP%20Metrics\60%20Day%20Metrics%20Filing\Draft%20Deliverables\ET%20&amp;%20WET%20MetricsTemplateDev.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sempra-my.sharepoint.com/personal/abesa_semprautilities_com/Documents/abesa/2022%20EE%20Planning/Final%20ABAL%20Attachment%20A%202021_Oct_15_TEMPLATE--Corrected%2011-2-20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sempra-my.sharepoint.com/personal/gtmontgo_sdge_com/Documents/Downloads_OneDrive/Draft%20Application%20Attachment%208-13-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 val="Heat Map"/>
      <sheetName val="2017 Master"/>
      <sheetName val="MDA Table"/>
      <sheetName val="EE Report - 2017"/>
      <sheetName val="EE Report - 2016"/>
      <sheetName val="Portfolio"/>
      <sheetName val="Ag"/>
      <sheetName val="Com"/>
      <sheetName val="Industrial"/>
      <sheetName val="Public"/>
      <sheetName val="Res - SF"/>
      <sheetName val="Res - MF"/>
      <sheetName val="WE&amp;T"/>
      <sheetName val="Emerg Tech"/>
      <sheetName val="C&am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Instructions Tab 4.1"/>
      <sheetName val="0 Validations"/>
      <sheetName val="1 Bill Payer Impacts-IOU Only "/>
      <sheetName val="2 Rates Rev- IOU Only"/>
      <sheetName val="3 Funding Source"/>
      <sheetName val="4 Program Budget"/>
      <sheetName val="4.1 Program Changes"/>
      <sheetName val="5 Commitments"/>
      <sheetName val="6 StatewidePgms"/>
      <sheetName val="7 PA PY budget_savings"/>
      <sheetName val="8 Cap &amp; Target"/>
      <sheetName val="Functions Definitions"/>
      <sheetName val="9 Portfolio Summary"/>
      <sheetName val="10 Portfolio FTE"/>
      <sheetName val="11 Residential"/>
      <sheetName val="12 Commercial"/>
      <sheetName val="13 Industrial"/>
      <sheetName val="14 Agricultural"/>
      <sheetName val="15 Public Sector"/>
      <sheetName val="16 Cross Cutting"/>
      <sheetName val="17 BP Metric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0 Validations"/>
      <sheetName val="1 Bill Payer Impacts-IOU Only "/>
      <sheetName val="2 Rates Rev- IOU Only"/>
      <sheetName val="3 Funding Source Summary"/>
      <sheetName val="3 Funding Source"/>
      <sheetName val="4.1 Program Budget - 2024-2027"/>
      <sheetName val="4.2 Program Budget 2028-2031"/>
      <sheetName val="5 Commitments"/>
      <sheetName val="6 StatewidePgms"/>
      <sheetName val="7.1 PA Budget 8 Yr Summary"/>
      <sheetName val="7.2 PA PY budget_savings"/>
      <sheetName val="8 Cap &amp; Target"/>
      <sheetName val="Functions Definitions"/>
      <sheetName val="9 Portfolio Summary"/>
      <sheetName val="10 Portfolio FTE"/>
      <sheetName val="11 Residential"/>
      <sheetName val="12 Commercial"/>
      <sheetName val="13 Industrial"/>
      <sheetName val="14 Agricultural"/>
      <sheetName val="15 Public Sector"/>
      <sheetName val="16 Cross Cutting"/>
      <sheetName val="17 BP Metric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persons/person.xml><?xml version="1.0" encoding="utf-8"?>
<personList xmlns="http://schemas.microsoft.com/office/spreadsheetml/2018/threadedcomments" xmlns:x="http://schemas.openxmlformats.org/spreadsheetml/2006/main">
  <person displayName="Fitzpatrick, Halley (Contractor)" id="{2ACEADFB-1C6A-4D0B-867C-969AFBF89F29}" userId="Fitzpatrick, Halley (Contractor)"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5" dT="2021-12-07T20:54:30.35" personId="{2ACEADFB-1C6A-4D0B-867C-969AFBF89F29}" id="{715AFF75-9B2F-4D36-A295-A19CB4DE8EEA}">
    <text>I added the MS-x.x values (yellow fill with purple text)... otherwise these were blank. I did this confirm these were in the EMWG report, but the report didnt nubmer them at all. we can rename or delete for submission.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7.bin"/><Relationship Id="rId4" Type="http://schemas.microsoft.com/office/2017/10/relationships/threadedComment" Target="../threadedComments/threadedComment1.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7C7DD-AF03-4688-B498-5BEB0A10F87A}">
  <sheetPr codeName="Sheet1"/>
  <dimension ref="A1:N197"/>
  <sheetViews>
    <sheetView topLeftCell="A20" zoomScale="85" zoomScaleNormal="85" workbookViewId="0">
      <selection activeCell="A21" sqref="A21"/>
    </sheetView>
  </sheetViews>
  <sheetFormatPr defaultColWidth="8.875" defaultRowHeight="15.75"/>
  <cols>
    <col min="1" max="1" width="31.625" customWidth="1"/>
    <col min="2" max="2" width="120.625" customWidth="1"/>
    <col min="10" max="10" width="8" style="2"/>
    <col min="11" max="11" width="13.625" style="2" bestFit="1" customWidth="1"/>
    <col min="12" max="12" width="14.125" style="2" customWidth="1"/>
    <col min="13" max="13" width="16.625" style="2" customWidth="1"/>
  </cols>
  <sheetData>
    <row r="1" spans="1:14" ht="16.149999999999999" thickBot="1">
      <c r="A1" s="33" t="s">
        <v>0</v>
      </c>
      <c r="J1"/>
      <c r="K1"/>
      <c r="L1"/>
      <c r="M1"/>
    </row>
    <row r="2" spans="1:14" ht="16.149999999999999" thickBot="1">
      <c r="A2" s="34" t="s">
        <v>1</v>
      </c>
      <c r="B2" s="67" t="s">
        <v>2</v>
      </c>
      <c r="J2"/>
      <c r="K2"/>
      <c r="L2"/>
      <c r="M2"/>
    </row>
    <row r="3" spans="1:14" ht="16.149999999999999" thickBot="1">
      <c r="A3" s="51" t="s">
        <v>3</v>
      </c>
      <c r="B3" s="52" t="s">
        <v>4</v>
      </c>
      <c r="J3" s="3"/>
      <c r="K3" s="3"/>
      <c r="L3" s="3"/>
      <c r="M3" s="3"/>
    </row>
    <row r="4" spans="1:14" ht="16.149999999999999" thickTop="1">
      <c r="B4" t="s">
        <v>5</v>
      </c>
      <c r="I4" s="56"/>
      <c r="J4" s="57"/>
      <c r="K4" s="57"/>
      <c r="L4" s="57"/>
      <c r="M4" s="57"/>
      <c r="N4" s="58"/>
    </row>
    <row r="5" spans="1:14">
      <c r="B5" t="s">
        <v>6</v>
      </c>
      <c r="I5" s="59"/>
      <c r="J5" s="1348" t="s">
        <v>7</v>
      </c>
      <c r="K5" s="1348"/>
      <c r="L5" s="1348"/>
      <c r="M5" s="1348"/>
      <c r="N5" s="60"/>
    </row>
    <row r="6" spans="1:14">
      <c r="B6" t="s">
        <v>8</v>
      </c>
      <c r="I6" s="59"/>
      <c r="J6"/>
      <c r="K6"/>
      <c r="L6"/>
      <c r="M6"/>
      <c r="N6" s="60"/>
    </row>
    <row r="7" spans="1:14" ht="26.65" thickBot="1">
      <c r="B7" t="s">
        <v>9</v>
      </c>
      <c r="I7" s="59"/>
      <c r="J7" s="12" t="s">
        <v>10</v>
      </c>
      <c r="K7" s="12" t="s">
        <v>11</v>
      </c>
      <c r="L7" s="12" t="s">
        <v>12</v>
      </c>
      <c r="M7" s="12" t="s">
        <v>13</v>
      </c>
      <c r="N7" s="60"/>
    </row>
    <row r="8" spans="1:14" ht="16.149999999999999" thickTop="1">
      <c r="B8" s="37" t="s">
        <v>14</v>
      </c>
      <c r="E8" s="36"/>
      <c r="I8" s="59"/>
      <c r="J8" s="3" t="s">
        <v>15</v>
      </c>
      <c r="K8" s="3" t="s">
        <v>16</v>
      </c>
      <c r="L8" s="3" t="s">
        <v>17</v>
      </c>
      <c r="M8" s="3" t="s">
        <v>18</v>
      </c>
      <c r="N8" s="60"/>
    </row>
    <row r="9" spans="1:14">
      <c r="B9" s="37" t="s">
        <v>19</v>
      </c>
      <c r="E9" s="36"/>
      <c r="I9" s="59"/>
      <c r="J9" s="3" t="s">
        <v>20</v>
      </c>
      <c r="K9" s="3" t="s">
        <v>21</v>
      </c>
      <c r="L9" s="3" t="s">
        <v>22</v>
      </c>
      <c r="M9" s="3" t="s">
        <v>23</v>
      </c>
      <c r="N9" s="60"/>
    </row>
    <row r="10" spans="1:14">
      <c r="E10" s="36"/>
      <c r="I10" s="59"/>
      <c r="J10" s="3"/>
      <c r="K10" s="3" t="s">
        <v>24</v>
      </c>
      <c r="L10" s="3" t="s">
        <v>25</v>
      </c>
      <c r="M10" s="3" t="s">
        <v>26</v>
      </c>
      <c r="N10" s="60"/>
    </row>
    <row r="11" spans="1:14">
      <c r="B11" s="35"/>
      <c r="E11" s="36"/>
      <c r="I11" s="59"/>
      <c r="J11" s="3"/>
      <c r="K11" s="3"/>
      <c r="L11" s="3" t="s">
        <v>27</v>
      </c>
      <c r="M11" s="3" t="s">
        <v>28</v>
      </c>
      <c r="N11" s="60"/>
    </row>
    <row r="12" spans="1:14">
      <c r="E12" s="36"/>
      <c r="I12" s="59"/>
      <c r="J12" s="3"/>
      <c r="K12" s="3"/>
      <c r="L12" s="3" t="s">
        <v>29</v>
      </c>
      <c r="M12" s="3"/>
      <c r="N12" s="60"/>
    </row>
    <row r="13" spans="1:14" ht="16.149999999999999" thickBot="1">
      <c r="E13" s="36"/>
      <c r="I13" s="59"/>
      <c r="J13" s="3"/>
      <c r="K13" s="3"/>
      <c r="L13" s="3" t="s">
        <v>30</v>
      </c>
      <c r="M13" s="3"/>
      <c r="N13" s="60"/>
    </row>
    <row r="14" spans="1:14" ht="16.149999999999999" thickBot="1">
      <c r="B14" s="24" t="s">
        <v>31</v>
      </c>
      <c r="I14" s="59"/>
      <c r="J14" s="3"/>
      <c r="K14" s="3"/>
      <c r="L14" s="3" t="s">
        <v>32</v>
      </c>
      <c r="M14" s="3"/>
      <c r="N14" s="60"/>
    </row>
    <row r="15" spans="1:14">
      <c r="B15" s="64" t="s">
        <v>33</v>
      </c>
      <c r="I15" s="59"/>
      <c r="J15" s="3"/>
      <c r="K15" s="3"/>
      <c r="L15" s="3" t="s">
        <v>34</v>
      </c>
      <c r="M15" s="3"/>
      <c r="N15" s="60"/>
    </row>
    <row r="16" spans="1:14">
      <c r="B16" s="65" t="s">
        <v>35</v>
      </c>
      <c r="I16" s="59"/>
      <c r="J16" s="3"/>
      <c r="K16" s="3"/>
      <c r="L16" s="3" t="s">
        <v>36</v>
      </c>
      <c r="M16" s="3"/>
      <c r="N16" s="60"/>
    </row>
    <row r="17" spans="1:14" ht="16.149999999999999" thickBot="1">
      <c r="B17" s="66" t="s">
        <v>37</v>
      </c>
      <c r="I17" s="59"/>
      <c r="J17" s="3"/>
      <c r="K17" s="3"/>
      <c r="L17" s="3" t="s">
        <v>28</v>
      </c>
      <c r="M17" s="3"/>
      <c r="N17" s="60"/>
    </row>
    <row r="18" spans="1:14" ht="16.149999999999999" thickBot="1">
      <c r="I18" s="61"/>
      <c r="J18" s="62"/>
      <c r="K18" s="62"/>
      <c r="L18" s="62"/>
      <c r="M18" s="62"/>
      <c r="N18" s="63"/>
    </row>
    <row r="19" spans="1:14" ht="16.149999999999999" thickTop="1">
      <c r="A19" s="33" t="s">
        <v>38</v>
      </c>
      <c r="J19" s="3"/>
      <c r="K19" s="3"/>
      <c r="L19" s="3"/>
      <c r="M19" s="3"/>
    </row>
    <row r="20" spans="1:14">
      <c r="A20" t="s">
        <v>39</v>
      </c>
      <c r="B20" s="53" t="s">
        <v>40</v>
      </c>
      <c r="J20" s="3"/>
      <c r="K20" s="3"/>
      <c r="L20" s="3"/>
      <c r="M20" s="3"/>
    </row>
    <row r="21" spans="1:14">
      <c r="A21" t="s">
        <v>41</v>
      </c>
      <c r="B21" s="53" t="s">
        <v>42</v>
      </c>
      <c r="J21" s="3"/>
      <c r="K21" s="3"/>
      <c r="L21" s="3"/>
      <c r="M21" s="3"/>
    </row>
    <row r="22" spans="1:14">
      <c r="B22" s="53"/>
      <c r="J22" s="3"/>
      <c r="K22" s="3"/>
      <c r="L22" s="3"/>
      <c r="M22" s="3"/>
    </row>
    <row r="23" spans="1:14">
      <c r="A23" t="s">
        <v>43</v>
      </c>
      <c r="B23" s="54" t="s">
        <v>44</v>
      </c>
      <c r="J23" s="3"/>
      <c r="K23" s="3"/>
      <c r="L23" s="3"/>
      <c r="M23" s="3"/>
    </row>
    <row r="24" spans="1:14">
      <c r="B24" s="54" t="s">
        <v>45</v>
      </c>
      <c r="J24" s="3"/>
      <c r="K24" s="3"/>
      <c r="L24" s="3"/>
      <c r="M24" s="3"/>
    </row>
    <row r="25" spans="1:14">
      <c r="B25" s="54" t="s">
        <v>46</v>
      </c>
      <c r="J25" s="3"/>
      <c r="K25" s="3"/>
      <c r="L25" s="3"/>
      <c r="M25" s="3"/>
    </row>
    <row r="26" spans="1:14">
      <c r="B26" s="1"/>
      <c r="J26" s="3"/>
      <c r="K26" s="3"/>
      <c r="L26" s="3"/>
      <c r="M26" s="3"/>
    </row>
    <row r="27" spans="1:14">
      <c r="A27" t="s">
        <v>47</v>
      </c>
      <c r="B27" s="55" t="s">
        <v>48</v>
      </c>
      <c r="J27" s="3"/>
      <c r="K27" s="3"/>
      <c r="L27" s="3"/>
      <c r="M27" s="3"/>
    </row>
    <row r="28" spans="1:14">
      <c r="B28" s="55" t="s">
        <v>49</v>
      </c>
      <c r="J28" s="3"/>
      <c r="K28" s="3"/>
      <c r="L28" s="3"/>
      <c r="M28" s="3"/>
    </row>
    <row r="29" spans="1:14">
      <c r="B29" s="1"/>
      <c r="J29" s="3"/>
      <c r="K29" s="3"/>
      <c r="L29" s="3"/>
      <c r="M29" s="3"/>
    </row>
    <row r="30" spans="1:14">
      <c r="A30" t="s">
        <v>50</v>
      </c>
      <c r="B30" s="53" t="s">
        <v>51</v>
      </c>
      <c r="J30" s="3"/>
      <c r="K30" s="3"/>
      <c r="L30" s="3"/>
      <c r="M30" s="3"/>
    </row>
    <row r="31" spans="1:14">
      <c r="A31" t="s">
        <v>52</v>
      </c>
      <c r="B31" s="54" t="s">
        <v>53</v>
      </c>
      <c r="J31" s="3"/>
      <c r="K31" s="3"/>
      <c r="L31" s="3"/>
      <c r="M31" s="3"/>
    </row>
    <row r="32" spans="1:14">
      <c r="B32" s="54"/>
      <c r="J32" s="3"/>
      <c r="K32" s="3"/>
      <c r="L32" s="3"/>
      <c r="M32" s="3"/>
    </row>
    <row r="33" spans="1:13">
      <c r="A33" t="s">
        <v>54</v>
      </c>
      <c r="B33" t="s">
        <v>55</v>
      </c>
      <c r="J33" s="3"/>
      <c r="K33" s="3"/>
      <c r="L33" s="3"/>
      <c r="M33" s="3"/>
    </row>
    <row r="34" spans="1:13">
      <c r="B34" s="53" t="s">
        <v>56</v>
      </c>
      <c r="J34" s="3"/>
      <c r="K34" s="3"/>
      <c r="L34" s="3"/>
      <c r="M34" s="3"/>
    </row>
    <row r="35" spans="1:13">
      <c r="B35" t="s">
        <v>57</v>
      </c>
      <c r="J35" s="3"/>
      <c r="K35" s="3"/>
      <c r="L35" s="3"/>
      <c r="M35" s="3"/>
    </row>
    <row r="36" spans="1:13">
      <c r="B36" t="s">
        <v>58</v>
      </c>
      <c r="J36" s="3"/>
      <c r="K36" s="3"/>
      <c r="L36" s="3"/>
      <c r="M36" s="3"/>
    </row>
    <row r="37" spans="1:13">
      <c r="B37" s="245" t="s">
        <v>59</v>
      </c>
      <c r="J37" s="3"/>
      <c r="K37" s="3"/>
      <c r="L37" s="3"/>
      <c r="M37" s="3"/>
    </row>
    <row r="38" spans="1:13">
      <c r="B38" s="245" t="s">
        <v>60</v>
      </c>
      <c r="J38" s="3"/>
      <c r="K38" s="3"/>
      <c r="L38" s="3"/>
      <c r="M38" s="3"/>
    </row>
    <row r="39" spans="1:13">
      <c r="B39" s="245" t="s">
        <v>61</v>
      </c>
      <c r="J39" s="3"/>
      <c r="K39" s="3"/>
      <c r="L39" s="3"/>
      <c r="M39" s="3"/>
    </row>
    <row r="40" spans="1:13">
      <c r="B40" s="245" t="s">
        <v>62</v>
      </c>
      <c r="J40" s="3"/>
      <c r="K40" s="3"/>
      <c r="L40" s="3"/>
      <c r="M40" s="3"/>
    </row>
    <row r="41" spans="1:13">
      <c r="B41" t="s">
        <v>63</v>
      </c>
      <c r="J41" s="3"/>
      <c r="K41" s="3"/>
      <c r="L41" s="3"/>
      <c r="M41" s="3"/>
    </row>
    <row r="42" spans="1:13">
      <c r="B42" t="s">
        <v>64</v>
      </c>
      <c r="J42" s="3"/>
      <c r="K42" s="3"/>
      <c r="L42" s="3"/>
      <c r="M42" s="3"/>
    </row>
    <row r="43" spans="1:13">
      <c r="B43" t="s">
        <v>65</v>
      </c>
      <c r="J43" s="3"/>
      <c r="K43" s="3"/>
      <c r="L43" s="3"/>
      <c r="M43" s="3"/>
    </row>
    <row r="44" spans="1:13">
      <c r="B44" t="s">
        <v>66</v>
      </c>
      <c r="J44" s="3"/>
      <c r="K44" s="3"/>
      <c r="L44" s="3"/>
      <c r="M44" s="3"/>
    </row>
    <row r="45" spans="1:13">
      <c r="J45" s="3"/>
      <c r="K45" s="3"/>
      <c r="L45" s="3"/>
      <c r="M45" s="3"/>
    </row>
    <row r="46" spans="1:13">
      <c r="J46" s="3"/>
      <c r="K46" s="3"/>
      <c r="L46" s="3"/>
      <c r="M46" s="3"/>
    </row>
    <row r="47" spans="1:13">
      <c r="A47" t="s">
        <v>67</v>
      </c>
      <c r="B47" s="245" t="s">
        <v>68</v>
      </c>
      <c r="J47" s="3"/>
      <c r="K47" s="3"/>
      <c r="L47" s="3"/>
      <c r="M47" s="3"/>
    </row>
    <row r="48" spans="1:13">
      <c r="B48" s="245" t="s">
        <v>69</v>
      </c>
      <c r="J48" s="3"/>
      <c r="K48" s="3"/>
      <c r="L48" s="3"/>
      <c r="M48" s="3"/>
    </row>
    <row r="49" spans="1:13">
      <c r="B49" s="245"/>
      <c r="J49" s="3"/>
      <c r="K49" s="3"/>
      <c r="L49" s="3"/>
      <c r="M49" s="3"/>
    </row>
    <row r="50" spans="1:13">
      <c r="A50" t="s">
        <v>70</v>
      </c>
      <c r="B50" s="245" t="s">
        <v>71</v>
      </c>
      <c r="J50" s="3"/>
      <c r="K50" s="3"/>
      <c r="L50" s="3"/>
      <c r="M50" s="3"/>
    </row>
    <row r="51" spans="1:13">
      <c r="B51" s="245" t="s">
        <v>72</v>
      </c>
      <c r="J51" s="3"/>
      <c r="K51" s="3"/>
      <c r="L51" s="3"/>
      <c r="M51" s="3"/>
    </row>
    <row r="52" spans="1:13">
      <c r="B52" s="245"/>
      <c r="J52" s="3"/>
      <c r="K52" s="3"/>
      <c r="L52" s="3"/>
      <c r="M52" s="3"/>
    </row>
    <row r="53" spans="1:13">
      <c r="A53" t="s">
        <v>73</v>
      </c>
      <c r="B53" s="6" t="s">
        <v>74</v>
      </c>
      <c r="J53" s="3"/>
      <c r="K53" s="3"/>
      <c r="L53" s="3"/>
      <c r="M53" s="3"/>
    </row>
    <row r="54" spans="1:13">
      <c r="B54" s="6" t="s">
        <v>75</v>
      </c>
      <c r="J54" s="3"/>
      <c r="K54" s="3"/>
      <c r="L54" s="3"/>
      <c r="M54" s="3"/>
    </row>
    <row r="55" spans="1:13">
      <c r="B55" s="245"/>
      <c r="J55" s="3"/>
      <c r="K55" s="3"/>
      <c r="L55" s="3"/>
      <c r="M55" s="3"/>
    </row>
    <row r="56" spans="1:13">
      <c r="A56" t="s">
        <v>76</v>
      </c>
      <c r="B56" s="245" t="s">
        <v>77</v>
      </c>
      <c r="J56" s="3"/>
      <c r="K56" s="3"/>
      <c r="L56" s="3"/>
      <c r="M56" s="3"/>
    </row>
    <row r="57" spans="1:13">
      <c r="B57" s="245" t="s">
        <v>78</v>
      </c>
      <c r="J57" s="3"/>
      <c r="K57" s="3"/>
      <c r="L57" s="3"/>
      <c r="M57" s="3"/>
    </row>
    <row r="58" spans="1:13">
      <c r="B58" s="245" t="s">
        <v>79</v>
      </c>
      <c r="J58" s="3"/>
      <c r="K58" s="3"/>
      <c r="L58" s="3"/>
      <c r="M58" s="3"/>
    </row>
    <row r="59" spans="1:13">
      <c r="J59" s="3"/>
      <c r="K59" s="3"/>
      <c r="L59" s="3"/>
      <c r="M59" s="3"/>
    </row>
    <row r="60" spans="1:13">
      <c r="A60" t="s">
        <v>80</v>
      </c>
      <c r="B60" s="245" t="s">
        <v>81</v>
      </c>
      <c r="J60" s="3"/>
      <c r="K60" s="3"/>
      <c r="L60" s="3"/>
      <c r="M60" s="3"/>
    </row>
    <row r="61" spans="1:13">
      <c r="J61" s="3"/>
      <c r="K61" s="3"/>
      <c r="L61" s="3"/>
      <c r="M61" s="3"/>
    </row>
    <row r="62" spans="1:13">
      <c r="A62" t="s">
        <v>82</v>
      </c>
      <c r="B62" s="245" t="s">
        <v>83</v>
      </c>
      <c r="J62" s="3"/>
      <c r="K62" s="3"/>
      <c r="L62" s="3"/>
      <c r="M62" s="3"/>
    </row>
    <row r="63" spans="1:13">
      <c r="J63" s="3"/>
      <c r="K63" s="3"/>
      <c r="L63" s="3"/>
      <c r="M63" s="3"/>
    </row>
    <row r="64" spans="1:13">
      <c r="A64" t="s">
        <v>84</v>
      </c>
      <c r="B64" t="s">
        <v>85</v>
      </c>
      <c r="J64" s="3"/>
      <c r="K64" s="3"/>
      <c r="L64" s="3"/>
      <c r="M64" s="3"/>
    </row>
    <row r="65" spans="1:13">
      <c r="B65" t="s">
        <v>86</v>
      </c>
      <c r="J65" s="3"/>
      <c r="K65" s="3"/>
      <c r="L65" s="3"/>
      <c r="M65" s="3"/>
    </row>
    <row r="66" spans="1:13">
      <c r="B66" t="s">
        <v>87</v>
      </c>
      <c r="J66" s="3"/>
      <c r="K66" s="3"/>
      <c r="L66" s="3"/>
      <c r="M66" s="3"/>
    </row>
    <row r="67" spans="1:13">
      <c r="J67" s="3"/>
      <c r="K67" s="3"/>
      <c r="L67" s="3"/>
      <c r="M67" s="3"/>
    </row>
    <row r="68" spans="1:13" ht="30.6" customHeight="1">
      <c r="A68" s="41" t="s">
        <v>88</v>
      </c>
      <c r="B68" s="1347" t="s">
        <v>89</v>
      </c>
      <c r="C68" s="1347"/>
      <c r="D68" s="1347"/>
      <c r="E68" s="1347"/>
      <c r="F68" s="1347"/>
      <c r="G68" s="1347"/>
      <c r="H68" s="1347"/>
      <c r="I68" s="1347"/>
      <c r="J68" s="3"/>
      <c r="K68" s="3"/>
      <c r="L68" s="3"/>
      <c r="M68" s="3"/>
    </row>
    <row r="69" spans="1:13">
      <c r="B69" t="s">
        <v>90</v>
      </c>
      <c r="J69" s="3"/>
      <c r="K69" s="3"/>
      <c r="L69" s="3"/>
      <c r="M69" s="3"/>
    </row>
    <row r="70" spans="1:13">
      <c r="B70" t="s">
        <v>91</v>
      </c>
      <c r="J70" s="3"/>
      <c r="K70" s="3"/>
      <c r="L70" s="3"/>
      <c r="M70" s="3"/>
    </row>
    <row r="71" spans="1:13">
      <c r="J71" s="3"/>
      <c r="K71" s="3"/>
      <c r="L71" s="3"/>
      <c r="M71" s="3"/>
    </row>
    <row r="72" spans="1:13">
      <c r="A72" t="s">
        <v>92</v>
      </c>
      <c r="B72" t="s">
        <v>93</v>
      </c>
      <c r="J72" s="3"/>
      <c r="K72" s="3"/>
      <c r="L72" s="3"/>
      <c r="M72" s="3"/>
    </row>
    <row r="73" spans="1:13">
      <c r="J73" s="3"/>
      <c r="K73" s="3"/>
      <c r="L73" s="3"/>
      <c r="M73" s="3"/>
    </row>
    <row r="74" spans="1:13">
      <c r="A74" t="s">
        <v>94</v>
      </c>
      <c r="B74" t="s">
        <v>95</v>
      </c>
      <c r="J74" s="3"/>
      <c r="K74" s="3"/>
      <c r="L74" s="3"/>
      <c r="M74" s="3"/>
    </row>
    <row r="75" spans="1:13">
      <c r="J75" s="3"/>
      <c r="K75" s="3"/>
      <c r="L75" s="3"/>
      <c r="M75" s="3"/>
    </row>
    <row r="76" spans="1:13">
      <c r="A76" t="s">
        <v>96</v>
      </c>
      <c r="B76" s="37" t="s">
        <v>97</v>
      </c>
      <c r="J76" s="3"/>
      <c r="K76" s="3"/>
      <c r="L76" s="3"/>
      <c r="M76" s="3"/>
    </row>
    <row r="77" spans="1:13">
      <c r="J77" s="3"/>
      <c r="K77" s="3"/>
      <c r="L77" s="3"/>
      <c r="M77" s="3"/>
    </row>
    <row r="78" spans="1:13">
      <c r="J78" s="3"/>
      <c r="K78" s="3"/>
      <c r="L78" s="3"/>
      <c r="M78" s="3"/>
    </row>
    <row r="79" spans="1:13">
      <c r="J79" s="3"/>
      <c r="K79" s="3"/>
      <c r="L79" s="3"/>
      <c r="M79" s="3"/>
    </row>
    <row r="80" spans="1:13">
      <c r="J80" s="3"/>
      <c r="K80" s="3"/>
      <c r="L80" s="3"/>
      <c r="M80" s="3"/>
    </row>
    <row r="81" spans="10:13">
      <c r="J81" s="3"/>
      <c r="K81" s="3"/>
      <c r="L81" s="3"/>
      <c r="M81" s="3"/>
    </row>
    <row r="82" spans="10:13">
      <c r="J82" s="3"/>
      <c r="K82" s="3"/>
      <c r="L82" s="3"/>
      <c r="M82" s="3"/>
    </row>
    <row r="83" spans="10:13">
      <c r="J83" s="3"/>
      <c r="K83" s="3"/>
      <c r="L83" s="3"/>
      <c r="M83" s="3"/>
    </row>
    <row r="84" spans="10:13">
      <c r="J84" s="3"/>
      <c r="K84" s="3"/>
      <c r="L84" s="3"/>
      <c r="M84" s="3"/>
    </row>
    <row r="85" spans="10:13">
      <c r="J85" s="3"/>
      <c r="K85" s="3"/>
      <c r="L85" s="3"/>
      <c r="M85" s="3"/>
    </row>
    <row r="86" spans="10:13">
      <c r="J86" s="3"/>
      <c r="K86" s="3"/>
      <c r="L86" s="3"/>
      <c r="M86" s="3"/>
    </row>
    <row r="87" spans="10:13">
      <c r="J87" s="3"/>
      <c r="K87" s="3"/>
      <c r="L87" s="3"/>
      <c r="M87" s="3"/>
    </row>
    <row r="88" spans="10:13">
      <c r="J88" s="3"/>
      <c r="K88" s="3"/>
      <c r="L88" s="3"/>
      <c r="M88" s="3"/>
    </row>
    <row r="89" spans="10:13">
      <c r="J89" s="3"/>
      <c r="K89" s="3"/>
      <c r="L89" s="3"/>
      <c r="M89" s="3"/>
    </row>
    <row r="90" spans="10:13">
      <c r="J90" s="3"/>
      <c r="K90" s="3"/>
      <c r="L90" s="3"/>
      <c r="M90" s="3"/>
    </row>
    <row r="91" spans="10:13">
      <c r="J91" s="3"/>
      <c r="K91" s="3"/>
      <c r="L91" s="3"/>
      <c r="M91" s="3"/>
    </row>
    <row r="92" spans="10:13">
      <c r="J92" s="3"/>
      <c r="K92" s="3"/>
      <c r="L92" s="3"/>
      <c r="M92" s="3"/>
    </row>
    <row r="93" spans="10:13">
      <c r="J93" s="3"/>
      <c r="K93" s="3"/>
      <c r="L93" s="3"/>
      <c r="M93" s="3"/>
    </row>
    <row r="94" spans="10:13">
      <c r="J94" s="3"/>
      <c r="K94" s="3"/>
      <c r="L94" s="3"/>
      <c r="M94" s="3"/>
    </row>
    <row r="95" spans="10:13">
      <c r="J95" s="3"/>
      <c r="K95" s="3"/>
      <c r="L95" s="3"/>
      <c r="M95" s="3"/>
    </row>
    <row r="96" spans="10:13">
      <c r="J96" s="3"/>
      <c r="K96" s="3"/>
      <c r="L96" s="3"/>
      <c r="M96" s="3"/>
    </row>
    <row r="97" spans="10:13">
      <c r="J97" s="3"/>
      <c r="K97" s="3"/>
      <c r="L97" s="3"/>
      <c r="M97" s="3"/>
    </row>
    <row r="98" spans="10:13">
      <c r="J98" s="3"/>
      <c r="K98" s="3"/>
      <c r="L98" s="3"/>
      <c r="M98" s="3"/>
    </row>
    <row r="99" spans="10:13">
      <c r="J99" s="3"/>
      <c r="K99" s="3"/>
      <c r="L99" s="3"/>
      <c r="M99" s="3"/>
    </row>
    <row r="100" spans="10:13">
      <c r="J100" s="3"/>
      <c r="K100" s="3"/>
      <c r="L100" s="3"/>
      <c r="M100" s="3"/>
    </row>
    <row r="101" spans="10:13">
      <c r="J101" s="3"/>
      <c r="K101" s="3"/>
      <c r="L101" s="3"/>
      <c r="M101" s="3"/>
    </row>
    <row r="102" spans="10:13">
      <c r="J102" s="3"/>
      <c r="K102" s="3"/>
      <c r="L102" s="3"/>
      <c r="M102" s="3"/>
    </row>
    <row r="103" spans="10:13">
      <c r="J103" s="3"/>
      <c r="K103" s="3"/>
      <c r="L103" s="3"/>
      <c r="M103" s="3"/>
    </row>
    <row r="104" spans="10:13">
      <c r="J104" s="3"/>
      <c r="K104" s="3"/>
      <c r="L104" s="3"/>
      <c r="M104" s="3"/>
    </row>
    <row r="105" spans="10:13">
      <c r="J105" s="3"/>
      <c r="K105" s="3"/>
      <c r="L105" s="3"/>
      <c r="M105" s="3"/>
    </row>
    <row r="106" spans="10:13">
      <c r="J106" s="3"/>
      <c r="K106" s="3"/>
      <c r="L106" s="3"/>
      <c r="M106" s="3"/>
    </row>
    <row r="107" spans="10:13">
      <c r="J107" s="3"/>
      <c r="K107" s="3"/>
      <c r="L107" s="3"/>
      <c r="M107" s="3"/>
    </row>
    <row r="108" spans="10:13">
      <c r="J108" s="3"/>
      <c r="K108" s="3"/>
      <c r="L108" s="3"/>
      <c r="M108" s="3"/>
    </row>
    <row r="109" spans="10:13">
      <c r="J109" s="3"/>
      <c r="K109" s="3"/>
      <c r="L109" s="3"/>
      <c r="M109" s="3"/>
    </row>
    <row r="110" spans="10:13">
      <c r="J110" s="3"/>
      <c r="K110" s="3"/>
      <c r="L110" s="3"/>
      <c r="M110" s="3"/>
    </row>
    <row r="111" spans="10:13">
      <c r="J111" s="3"/>
      <c r="K111" s="3"/>
      <c r="L111" s="3"/>
      <c r="M111" s="3"/>
    </row>
    <row r="112" spans="10:13">
      <c r="J112" s="3"/>
      <c r="K112" s="3"/>
      <c r="L112" s="3"/>
      <c r="M112" s="3"/>
    </row>
    <row r="113" spans="10:13">
      <c r="J113" s="3"/>
      <c r="K113" s="3"/>
      <c r="L113" s="3"/>
      <c r="M113" s="3"/>
    </row>
    <row r="114" spans="10:13">
      <c r="J114" s="3"/>
      <c r="K114" s="3"/>
      <c r="L114" s="3"/>
      <c r="M114" s="3"/>
    </row>
    <row r="115" spans="10:13">
      <c r="J115" s="3"/>
      <c r="K115" s="3"/>
      <c r="L115" s="3"/>
      <c r="M115" s="3"/>
    </row>
    <row r="116" spans="10:13">
      <c r="J116" s="3"/>
      <c r="K116" s="3"/>
      <c r="L116" s="3"/>
      <c r="M116" s="3"/>
    </row>
    <row r="117" spans="10:13">
      <c r="J117" s="3"/>
      <c r="K117" s="3"/>
      <c r="L117" s="3"/>
      <c r="M117" s="3"/>
    </row>
    <row r="118" spans="10:13">
      <c r="J118" s="3"/>
      <c r="K118" s="3"/>
      <c r="L118" s="3"/>
      <c r="M118" s="3"/>
    </row>
    <row r="119" spans="10:13">
      <c r="J119" s="3"/>
      <c r="K119" s="3"/>
      <c r="L119" s="3"/>
      <c r="M119" s="3"/>
    </row>
    <row r="120" spans="10:13">
      <c r="J120" s="3"/>
      <c r="K120" s="3"/>
      <c r="L120" s="3"/>
      <c r="M120" s="3"/>
    </row>
    <row r="121" spans="10:13">
      <c r="J121" s="3"/>
      <c r="K121" s="3"/>
      <c r="L121" s="3"/>
      <c r="M121" s="3"/>
    </row>
    <row r="122" spans="10:13">
      <c r="J122" s="3"/>
      <c r="K122" s="3"/>
      <c r="L122" s="3"/>
      <c r="M122" s="3"/>
    </row>
    <row r="123" spans="10:13">
      <c r="J123" s="3"/>
      <c r="K123" s="3"/>
      <c r="L123" s="3"/>
      <c r="M123" s="3"/>
    </row>
    <row r="124" spans="10:13">
      <c r="J124" s="3"/>
      <c r="K124" s="3"/>
      <c r="L124" s="3"/>
      <c r="M124" s="3"/>
    </row>
    <row r="125" spans="10:13">
      <c r="J125" s="3"/>
      <c r="K125" s="3"/>
      <c r="L125" s="3"/>
      <c r="M125" s="3"/>
    </row>
    <row r="126" spans="10:13">
      <c r="J126" s="3"/>
      <c r="K126" s="3"/>
      <c r="L126" s="3"/>
      <c r="M126" s="3"/>
    </row>
    <row r="127" spans="10:13">
      <c r="J127" s="3"/>
      <c r="K127" s="3"/>
      <c r="L127" s="3"/>
      <c r="M127" s="3"/>
    </row>
    <row r="128" spans="10:13">
      <c r="J128" s="3"/>
      <c r="K128" s="3"/>
      <c r="L128" s="3"/>
      <c r="M128" s="3"/>
    </row>
    <row r="129" spans="10:13">
      <c r="J129" s="3"/>
      <c r="K129" s="3"/>
      <c r="L129" s="3"/>
      <c r="M129" s="3"/>
    </row>
    <row r="130" spans="10:13">
      <c r="J130" s="3"/>
      <c r="K130" s="3"/>
      <c r="L130" s="3"/>
      <c r="M130" s="3"/>
    </row>
    <row r="131" spans="10:13">
      <c r="J131" s="3"/>
      <c r="K131" s="3"/>
      <c r="L131" s="3"/>
      <c r="M131" s="3"/>
    </row>
    <row r="132" spans="10:13">
      <c r="J132" s="3"/>
      <c r="K132" s="3"/>
      <c r="L132" s="3"/>
      <c r="M132" s="3"/>
    </row>
    <row r="133" spans="10:13">
      <c r="J133" s="3"/>
      <c r="K133" s="3"/>
      <c r="L133" s="3"/>
      <c r="M133" s="3"/>
    </row>
    <row r="134" spans="10:13">
      <c r="J134" s="3"/>
      <c r="K134" s="3"/>
      <c r="L134" s="3"/>
      <c r="M134" s="3"/>
    </row>
    <row r="135" spans="10:13">
      <c r="J135" s="3"/>
      <c r="K135" s="3"/>
      <c r="L135" s="3"/>
      <c r="M135" s="3"/>
    </row>
    <row r="136" spans="10:13">
      <c r="J136" s="3"/>
      <c r="K136" s="3"/>
      <c r="L136" s="3"/>
      <c r="M136" s="3"/>
    </row>
    <row r="137" spans="10:13">
      <c r="J137" s="3"/>
      <c r="K137" s="3"/>
      <c r="L137" s="3"/>
      <c r="M137" s="3"/>
    </row>
    <row r="138" spans="10:13">
      <c r="J138" s="3"/>
      <c r="K138" s="3"/>
      <c r="L138" s="3"/>
      <c r="M138" s="3"/>
    </row>
    <row r="139" spans="10:13">
      <c r="J139" s="3"/>
      <c r="K139" s="3"/>
      <c r="L139" s="3"/>
      <c r="M139" s="3"/>
    </row>
    <row r="140" spans="10:13">
      <c r="J140" s="3"/>
      <c r="K140" s="3"/>
      <c r="L140" s="3"/>
      <c r="M140" s="3"/>
    </row>
    <row r="141" spans="10:13">
      <c r="J141" s="3"/>
      <c r="K141" s="3"/>
      <c r="L141" s="3"/>
      <c r="M141" s="3"/>
    </row>
    <row r="142" spans="10:13">
      <c r="J142" s="3"/>
      <c r="K142" s="3"/>
      <c r="L142" s="3"/>
      <c r="M142" s="3"/>
    </row>
    <row r="143" spans="10:13">
      <c r="J143" s="3"/>
      <c r="K143" s="3"/>
      <c r="L143" s="3"/>
      <c r="M143" s="3"/>
    </row>
    <row r="144" spans="10:13">
      <c r="J144" s="3"/>
      <c r="K144" s="3"/>
      <c r="L144" s="3"/>
      <c r="M144" s="3"/>
    </row>
    <row r="145" spans="10:13">
      <c r="J145" s="3"/>
      <c r="K145" s="3"/>
      <c r="L145" s="3"/>
      <c r="M145" s="3"/>
    </row>
    <row r="146" spans="10:13">
      <c r="J146" s="3"/>
      <c r="K146" s="3"/>
      <c r="L146" s="3"/>
      <c r="M146" s="3"/>
    </row>
    <row r="147" spans="10:13">
      <c r="J147" s="3"/>
      <c r="K147" s="3"/>
      <c r="L147" s="3"/>
      <c r="M147" s="3"/>
    </row>
    <row r="148" spans="10:13">
      <c r="J148" s="3"/>
      <c r="K148" s="3"/>
      <c r="L148" s="3"/>
      <c r="M148" s="3"/>
    </row>
    <row r="149" spans="10:13">
      <c r="J149" s="3"/>
      <c r="K149" s="3"/>
      <c r="L149" s="3"/>
      <c r="M149" s="3"/>
    </row>
    <row r="150" spans="10:13">
      <c r="J150" s="3"/>
      <c r="K150" s="3"/>
      <c r="L150" s="3"/>
      <c r="M150" s="3"/>
    </row>
    <row r="151" spans="10:13">
      <c r="J151" s="3"/>
      <c r="K151" s="3"/>
      <c r="L151" s="3"/>
      <c r="M151" s="3"/>
    </row>
    <row r="152" spans="10:13">
      <c r="J152" s="3"/>
      <c r="K152" s="3"/>
      <c r="L152" s="3"/>
      <c r="M152" s="3"/>
    </row>
    <row r="160" spans="10:13">
      <c r="J160" s="4"/>
      <c r="K160" s="4"/>
      <c r="L160" s="4"/>
      <c r="M160" s="4"/>
    </row>
    <row r="161" spans="10:13">
      <c r="J161" s="4"/>
      <c r="K161" s="4"/>
      <c r="L161" s="4"/>
      <c r="M161" s="4"/>
    </row>
    <row r="162" spans="10:13">
      <c r="J162" s="4"/>
      <c r="K162" s="4"/>
      <c r="L162" s="4"/>
      <c r="M162" s="4"/>
    </row>
    <row r="163" spans="10:13">
      <c r="J163" s="3"/>
      <c r="K163" s="3"/>
      <c r="L163" s="3"/>
      <c r="M163" s="3"/>
    </row>
    <row r="164" spans="10:13">
      <c r="J164" s="3"/>
      <c r="K164" s="3"/>
      <c r="L164" s="3"/>
      <c r="M164" s="3"/>
    </row>
    <row r="165" spans="10:13">
      <c r="J165" s="4"/>
      <c r="K165" s="4"/>
      <c r="L165" s="4"/>
      <c r="M165" s="4"/>
    </row>
    <row r="166" spans="10:13">
      <c r="J166" s="4"/>
      <c r="K166" s="4"/>
      <c r="L166" s="4"/>
      <c r="M166" s="4"/>
    </row>
    <row r="167" spans="10:13">
      <c r="J167" s="4"/>
      <c r="K167" s="4"/>
      <c r="L167" s="4"/>
      <c r="M167" s="4"/>
    </row>
    <row r="168" spans="10:13">
      <c r="J168" s="4"/>
      <c r="K168" s="4"/>
      <c r="L168" s="4"/>
      <c r="M168" s="4"/>
    </row>
    <row r="170" spans="10:13">
      <c r="J170" s="3"/>
      <c r="K170" s="3"/>
      <c r="L170" s="3"/>
      <c r="M170" s="3"/>
    </row>
    <row r="173" spans="10:13">
      <c r="J173" s="4"/>
      <c r="K173" s="4"/>
      <c r="L173" s="4"/>
      <c r="M173" s="4"/>
    </row>
    <row r="174" spans="10:13">
      <c r="J174" s="3"/>
      <c r="K174" s="3"/>
      <c r="L174" s="3"/>
      <c r="M174" s="3"/>
    </row>
    <row r="175" spans="10:13">
      <c r="J175" s="4"/>
      <c r="K175" s="4"/>
      <c r="L175" s="4"/>
      <c r="M175" s="4"/>
    </row>
    <row r="176" spans="10:13">
      <c r="J176" s="3"/>
      <c r="K176" s="3"/>
      <c r="L176" s="3"/>
      <c r="M176" s="3"/>
    </row>
    <row r="178" spans="10:13">
      <c r="J178" s="3"/>
      <c r="K178" s="3"/>
      <c r="L178" s="3"/>
      <c r="M178" s="3"/>
    </row>
    <row r="179" spans="10:13">
      <c r="J179" s="3"/>
      <c r="K179" s="3"/>
      <c r="L179" s="3"/>
      <c r="M179" s="3"/>
    </row>
    <row r="180" spans="10:13">
      <c r="J180" s="3"/>
      <c r="K180" s="3"/>
      <c r="L180" s="3"/>
      <c r="M180" s="3"/>
    </row>
    <row r="181" spans="10:13">
      <c r="J181" s="3"/>
      <c r="K181" s="3"/>
      <c r="L181" s="3"/>
      <c r="M181" s="3"/>
    </row>
    <row r="182" spans="10:13">
      <c r="J182" s="3"/>
      <c r="K182" s="3"/>
      <c r="L182" s="3"/>
      <c r="M182" s="3"/>
    </row>
    <row r="183" spans="10:13">
      <c r="J183" s="3"/>
      <c r="K183" s="3"/>
      <c r="L183" s="3"/>
      <c r="M183" s="3"/>
    </row>
    <row r="184" spans="10:13">
      <c r="J184" s="3"/>
      <c r="K184" s="3"/>
      <c r="L184" s="3"/>
      <c r="M184" s="3"/>
    </row>
    <row r="185" spans="10:13">
      <c r="J185" s="3"/>
      <c r="K185" s="3"/>
      <c r="L185" s="3"/>
      <c r="M185" s="3"/>
    </row>
    <row r="186" spans="10:13">
      <c r="J186" s="3"/>
      <c r="K186" s="3"/>
      <c r="L186" s="3"/>
      <c r="M186" s="3"/>
    </row>
    <row r="187" spans="10:13">
      <c r="J187" s="3"/>
      <c r="K187" s="3"/>
      <c r="L187" s="3"/>
      <c r="M187" s="3"/>
    </row>
    <row r="188" spans="10:13">
      <c r="J188" s="3"/>
      <c r="K188" s="3"/>
      <c r="L188" s="3"/>
      <c r="M188" s="3"/>
    </row>
    <row r="189" spans="10:13">
      <c r="J189" s="3"/>
      <c r="K189" s="3"/>
      <c r="L189" s="3"/>
      <c r="M189" s="3"/>
    </row>
    <row r="190" spans="10:13">
      <c r="J190" s="3"/>
      <c r="K190" s="3"/>
      <c r="L190" s="3"/>
      <c r="M190" s="3"/>
    </row>
    <row r="191" spans="10:13">
      <c r="J191" s="3"/>
      <c r="K191" s="3"/>
      <c r="L191" s="3"/>
      <c r="M191" s="3"/>
    </row>
    <row r="196" spans="10:13">
      <c r="J196" s="3"/>
      <c r="K196" s="3"/>
      <c r="L196" s="3"/>
      <c r="M196" s="3"/>
    </row>
    <row r="197" spans="10:13">
      <c r="J197" s="3"/>
      <c r="K197" s="3"/>
      <c r="L197" s="3"/>
      <c r="M197" s="3"/>
    </row>
  </sheetData>
  <mergeCells count="2">
    <mergeCell ref="B68:I68"/>
    <mergeCell ref="J5:M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78C97-24C3-4545-9DC8-060081D9C69E}">
  <sheetPr codeName="Sheet9">
    <pageSetUpPr fitToPage="1"/>
  </sheetPr>
  <dimension ref="A1:E30"/>
  <sheetViews>
    <sheetView zoomScaleNormal="100" zoomScaleSheetLayoutView="100" workbookViewId="0"/>
  </sheetViews>
  <sheetFormatPr defaultColWidth="8.625" defaultRowHeight="14.25"/>
  <cols>
    <col min="1" max="1" width="11.375" style="6" customWidth="1"/>
    <col min="2" max="2" width="46.625" style="6" bestFit="1" customWidth="1"/>
    <col min="3" max="3" width="21" style="6" customWidth="1"/>
    <col min="4" max="4" width="21.125" style="6" customWidth="1"/>
    <col min="5" max="5" width="13.125" style="6" customWidth="1"/>
    <col min="6" max="16384" width="8.625" style="6"/>
  </cols>
  <sheetData>
    <row r="1" spans="1:5">
      <c r="A1" s="175" t="s">
        <v>98</v>
      </c>
      <c r="B1" s="176" t="str">
        <f>PA_NAME</f>
        <v>SoCalGas</v>
      </c>
      <c r="C1" s="11"/>
      <c r="D1" s="107"/>
    </row>
    <row r="2" spans="1:5">
      <c r="A2" s="175" t="s">
        <v>99</v>
      </c>
      <c r="B2" s="176" t="str">
        <f>RPT_YEAR</f>
        <v>2024-2031</v>
      </c>
    </row>
    <row r="3" spans="1:5">
      <c r="A3" s="269"/>
    </row>
    <row r="4" spans="1:5">
      <c r="A4" s="1379" t="s">
        <v>809</v>
      </c>
      <c r="B4" s="1379"/>
      <c r="C4" s="1379"/>
      <c r="D4" s="1379"/>
    </row>
    <row r="5" spans="1:5" ht="14.65" thickBot="1"/>
    <row r="6" spans="1:5" ht="16.350000000000001" customHeight="1" thickBot="1">
      <c r="B6" s="1217" t="s">
        <v>810</v>
      </c>
      <c r="C6" s="1380" t="s">
        <v>811</v>
      </c>
      <c r="D6" s="1380" t="s">
        <v>290</v>
      </c>
      <c r="E6" s="1218"/>
    </row>
    <row r="7" spans="1:5">
      <c r="B7" s="1219" t="s">
        <v>812</v>
      </c>
      <c r="C7" s="1381"/>
      <c r="D7" s="1381"/>
      <c r="E7" s="1220" t="s">
        <v>222</v>
      </c>
    </row>
    <row r="8" spans="1:5">
      <c r="B8" s="1221" t="s">
        <v>813</v>
      </c>
      <c r="C8" s="1222"/>
      <c r="D8" s="1222">
        <v>187745</v>
      </c>
      <c r="E8" s="1223">
        <f>C8+D8</f>
        <v>187745</v>
      </c>
    </row>
    <row r="9" spans="1:5">
      <c r="B9" s="1221" t="s">
        <v>814</v>
      </c>
      <c r="C9" s="1222"/>
      <c r="D9" s="1222">
        <v>12523029</v>
      </c>
      <c r="E9" s="1223">
        <f t="shared" ref="E9:E27" si="0">C9+D9</f>
        <v>12523029</v>
      </c>
    </row>
    <row r="10" spans="1:5">
      <c r="B10" s="1221" t="s">
        <v>815</v>
      </c>
      <c r="C10" s="1222"/>
      <c r="D10" s="1222">
        <v>0</v>
      </c>
      <c r="E10" s="1223">
        <f t="shared" si="0"/>
        <v>0</v>
      </c>
    </row>
    <row r="11" spans="1:5">
      <c r="B11" s="1221" t="s">
        <v>816</v>
      </c>
      <c r="C11" s="1222"/>
      <c r="D11" s="1222"/>
      <c r="E11" s="1223">
        <f t="shared" si="0"/>
        <v>0</v>
      </c>
    </row>
    <row r="12" spans="1:5">
      <c r="B12" s="1221" t="s">
        <v>817</v>
      </c>
      <c r="C12" s="1222"/>
      <c r="D12" s="1222"/>
      <c r="E12" s="1223">
        <f t="shared" si="0"/>
        <v>0</v>
      </c>
    </row>
    <row r="13" spans="1:5">
      <c r="B13" s="1221" t="s">
        <v>818</v>
      </c>
      <c r="C13" s="1222"/>
      <c r="D13" s="1222">
        <v>1450093</v>
      </c>
      <c r="E13" s="1223">
        <f t="shared" si="0"/>
        <v>1450093</v>
      </c>
    </row>
    <row r="14" spans="1:5">
      <c r="B14" s="1221" t="s">
        <v>819</v>
      </c>
      <c r="C14" s="1222"/>
      <c r="D14" s="1222">
        <v>0</v>
      </c>
      <c r="E14" s="1223">
        <f t="shared" si="0"/>
        <v>0</v>
      </c>
    </row>
    <row r="15" spans="1:5">
      <c r="B15" s="1221" t="s">
        <v>820</v>
      </c>
      <c r="C15" s="1222"/>
      <c r="D15" s="1222"/>
      <c r="E15" s="1223">
        <f t="shared" si="0"/>
        <v>0</v>
      </c>
    </row>
    <row r="16" spans="1:5">
      <c r="B16" s="1221" t="s">
        <v>821</v>
      </c>
      <c r="C16" s="1222"/>
      <c r="D16" s="1222"/>
      <c r="E16" s="1223">
        <f t="shared" si="0"/>
        <v>0</v>
      </c>
    </row>
    <row r="17" spans="2:5">
      <c r="B17" s="1221" t="s">
        <v>822</v>
      </c>
      <c r="C17" s="1222"/>
      <c r="D17" s="1222">
        <v>436167</v>
      </c>
      <c r="E17" s="1223">
        <f t="shared" si="0"/>
        <v>436167</v>
      </c>
    </row>
    <row r="18" spans="2:5">
      <c r="B18" s="1221" t="s">
        <v>823</v>
      </c>
      <c r="C18" s="1222"/>
      <c r="D18" s="1222">
        <v>0</v>
      </c>
      <c r="E18" s="1223">
        <f t="shared" si="0"/>
        <v>0</v>
      </c>
    </row>
    <row r="19" spans="2:5">
      <c r="B19" s="1221" t="s">
        <v>824</v>
      </c>
      <c r="C19" s="1222"/>
      <c r="D19" s="1222"/>
      <c r="E19" s="1223">
        <f t="shared" si="0"/>
        <v>0</v>
      </c>
    </row>
    <row r="20" spans="2:5">
      <c r="B20" s="1221" t="s">
        <v>825</v>
      </c>
      <c r="C20" s="1222"/>
      <c r="D20" s="1222">
        <v>582813</v>
      </c>
      <c r="E20" s="1223">
        <f t="shared" si="0"/>
        <v>582813</v>
      </c>
    </row>
    <row r="21" spans="2:5">
      <c r="B21" s="1221" t="s">
        <v>826</v>
      </c>
      <c r="C21" s="1222"/>
      <c r="D21" s="1222">
        <v>7811602</v>
      </c>
      <c r="E21" s="1223">
        <f t="shared" si="0"/>
        <v>7811602</v>
      </c>
    </row>
    <row r="22" spans="2:5">
      <c r="B22" s="1221" t="s">
        <v>827</v>
      </c>
      <c r="C22" s="1222"/>
      <c r="D22" s="1222">
        <v>0</v>
      </c>
      <c r="E22" s="1223">
        <f t="shared" si="0"/>
        <v>0</v>
      </c>
    </row>
    <row r="23" spans="2:5">
      <c r="B23" s="1221" t="s">
        <v>828</v>
      </c>
      <c r="C23" s="1222"/>
      <c r="D23" s="1222"/>
      <c r="E23" s="1223">
        <f t="shared" si="0"/>
        <v>0</v>
      </c>
    </row>
    <row r="24" spans="2:5">
      <c r="B24" s="1221" t="s">
        <v>829</v>
      </c>
      <c r="C24" s="1222"/>
      <c r="D24" s="1222">
        <v>4038824</v>
      </c>
      <c r="E24" s="1223">
        <f t="shared" si="0"/>
        <v>4038824</v>
      </c>
    </row>
    <row r="25" spans="2:5">
      <c r="B25" s="1221" t="s">
        <v>830</v>
      </c>
      <c r="C25" s="1222"/>
      <c r="D25" s="1222">
        <v>46373193</v>
      </c>
      <c r="E25" s="1223">
        <f t="shared" si="0"/>
        <v>46373193</v>
      </c>
    </row>
    <row r="26" spans="2:5">
      <c r="B26" s="1221" t="s">
        <v>831</v>
      </c>
      <c r="C26" s="1222"/>
      <c r="D26" s="1222">
        <v>2883874.16</v>
      </c>
      <c r="E26" s="1223">
        <f t="shared" si="0"/>
        <v>2883874.16</v>
      </c>
    </row>
    <row r="27" spans="2:5">
      <c r="B27" s="1221" t="s">
        <v>832</v>
      </c>
      <c r="C27" s="1222"/>
      <c r="D27" s="1222"/>
      <c r="E27" s="1223">
        <f t="shared" si="0"/>
        <v>0</v>
      </c>
    </row>
    <row r="29" spans="2:5">
      <c r="B29" s="6" t="s">
        <v>833</v>
      </c>
    </row>
    <row r="30" spans="2:5">
      <c r="B30" s="6" t="s">
        <v>75</v>
      </c>
    </row>
  </sheetData>
  <mergeCells count="3">
    <mergeCell ref="A4:D4"/>
    <mergeCell ref="C6:C7"/>
    <mergeCell ref="D6:D7"/>
  </mergeCells>
  <pageMargins left="0.7" right="0.7" top="0.75" bottom="0.75" header="0.3" footer="0.3"/>
  <pageSetup paperSize="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D70CF-C439-40EB-BE26-909BD515B347}">
  <dimension ref="A1:CB54"/>
  <sheetViews>
    <sheetView view="pageBreakPreview" zoomScaleNormal="75" zoomScaleSheetLayoutView="100" workbookViewId="0"/>
  </sheetViews>
  <sheetFormatPr defaultColWidth="11.125" defaultRowHeight="14.25"/>
  <cols>
    <col min="1" max="1" width="11.375" style="1161" customWidth="1"/>
    <col min="2" max="2" width="33.875" style="1216" customWidth="1"/>
    <col min="3" max="3" width="16.75" style="1216" customWidth="1"/>
    <col min="4" max="4" width="7.375" style="1161" customWidth="1"/>
    <col min="5" max="9" width="15.625" style="1161" customWidth="1"/>
    <col min="10" max="10" width="16.375" style="1161" customWidth="1"/>
    <col min="11" max="11" width="15.125" style="1161" customWidth="1"/>
    <col min="12" max="12" width="16.125" style="1161" customWidth="1"/>
    <col min="13" max="14" width="15.125" style="1161" customWidth="1"/>
    <col min="15" max="15" width="11.625" style="886" customWidth="1"/>
    <col min="16" max="19" width="10.625" style="886" customWidth="1"/>
    <col min="20" max="27" width="12.75" style="886" customWidth="1"/>
    <col min="28" max="28" width="12.125" style="886" customWidth="1"/>
    <col min="29" max="31" width="10.625" style="886" customWidth="1"/>
    <col min="32" max="32" width="16.625" style="886" customWidth="1"/>
    <col min="33" max="35" width="11" style="886" customWidth="1"/>
    <col min="36" max="36" width="12" style="886" bestFit="1" customWidth="1"/>
    <col min="37" max="37" width="11" style="886" bestFit="1" customWidth="1"/>
    <col min="38" max="38" width="12.25" style="886" customWidth="1"/>
    <col min="39" max="39" width="11.75" style="886" customWidth="1"/>
    <col min="40" max="40" width="12" style="1161" bestFit="1" customWidth="1"/>
    <col min="41" max="43" width="11" style="886" customWidth="1"/>
    <col min="44" max="44" width="13" style="886" customWidth="1"/>
    <col min="45" max="45" width="12.125" style="886" customWidth="1"/>
    <col min="46" max="46" width="11.5" style="886" customWidth="1"/>
    <col min="47" max="47" width="11.375" style="886" customWidth="1"/>
    <col min="48" max="48" width="11.75" style="1161" customWidth="1"/>
    <col min="49" max="52" width="11" style="886" customWidth="1"/>
    <col min="53" max="55" width="10.125" style="886" customWidth="1"/>
    <col min="56" max="56" width="10.125" style="1161" customWidth="1"/>
    <col min="57" max="60" width="11" style="886" customWidth="1"/>
    <col min="61" max="63" width="10.125" style="886" customWidth="1"/>
    <col min="64" max="64" width="10.125" style="1161" customWidth="1"/>
    <col min="65" max="68" width="11" style="886" customWidth="1"/>
    <col min="69" max="71" width="10.125" style="886" customWidth="1"/>
    <col min="72" max="72" width="10.125" style="1161" customWidth="1"/>
    <col min="73" max="16384" width="11.125" style="1161"/>
  </cols>
  <sheetData>
    <row r="1" spans="1:80" s="1158" customFormat="1" ht="32.25" customHeight="1">
      <c r="A1" s="903" t="s">
        <v>98</v>
      </c>
      <c r="B1" s="1157" t="s">
        <v>1</v>
      </c>
      <c r="C1" s="895"/>
      <c r="D1" s="717"/>
      <c r="E1" s="717"/>
      <c r="F1" s="717"/>
      <c r="G1" s="717"/>
      <c r="H1" s="717"/>
      <c r="I1" s="717"/>
      <c r="J1" s="717"/>
      <c r="K1" s="717"/>
      <c r="L1" s="717"/>
      <c r="M1" s="717"/>
      <c r="N1" s="717"/>
      <c r="O1" s="717"/>
      <c r="P1" s="717"/>
      <c r="Q1" s="717"/>
      <c r="R1" s="717"/>
      <c r="S1" s="717"/>
      <c r="T1" s="717"/>
      <c r="U1" s="717"/>
      <c r="V1" s="717"/>
      <c r="W1" s="717"/>
      <c r="X1" s="717"/>
      <c r="Y1" s="717"/>
      <c r="Z1" s="717"/>
      <c r="AA1" s="717"/>
      <c r="AB1" s="717"/>
      <c r="AC1" s="717"/>
      <c r="AD1" s="717"/>
      <c r="AE1" s="717"/>
      <c r="AF1" s="717"/>
      <c r="AG1" s="717"/>
      <c r="AH1" s="717"/>
      <c r="AI1" s="717"/>
      <c r="AJ1" s="717"/>
      <c r="AK1" s="717"/>
      <c r="AL1" s="717"/>
      <c r="AM1" s="717"/>
      <c r="AN1" s="717"/>
      <c r="AO1" s="717"/>
      <c r="AP1" s="717"/>
      <c r="AQ1" s="717"/>
      <c r="AR1" s="717"/>
      <c r="AS1" s="717"/>
      <c r="AT1" s="717"/>
      <c r="AU1" s="717"/>
      <c r="AV1" s="801" t="s">
        <v>657</v>
      </c>
      <c r="AW1" s="717"/>
      <c r="AX1" s="717"/>
      <c r="AY1" s="717"/>
      <c r="AZ1" s="717"/>
      <c r="BA1" s="717"/>
      <c r="BB1" s="717"/>
      <c r="BC1" s="717"/>
      <c r="BD1" s="230"/>
      <c r="BE1" s="717"/>
      <c r="BF1" s="717"/>
      <c r="BG1" s="717"/>
      <c r="BH1" s="717"/>
      <c r="BI1" s="717" t="s">
        <v>834</v>
      </c>
      <c r="BJ1" s="717"/>
      <c r="BK1" s="717"/>
      <c r="BL1" s="230"/>
      <c r="BM1" s="717"/>
      <c r="BN1" s="717"/>
      <c r="BO1" s="717"/>
      <c r="BP1" s="717"/>
      <c r="BQ1" s="717"/>
      <c r="BR1" s="717"/>
      <c r="BS1" s="717"/>
      <c r="BT1" s="230"/>
      <c r="BU1" s="717"/>
      <c r="BV1" s="717"/>
      <c r="BW1" s="717"/>
      <c r="BX1" s="717"/>
      <c r="BY1" s="717"/>
      <c r="BZ1" s="717"/>
      <c r="CA1" s="717"/>
      <c r="CB1" s="230"/>
    </row>
    <row r="2" spans="1:80" s="1160" customFormat="1" ht="16.5" customHeight="1">
      <c r="A2" s="903" t="s">
        <v>99</v>
      </c>
      <c r="B2" s="1159" t="s">
        <v>303</v>
      </c>
      <c r="C2" s="895"/>
      <c r="D2" s="717"/>
      <c r="E2" s="717"/>
      <c r="F2" s="717"/>
      <c r="G2" s="717"/>
      <c r="H2" s="717"/>
      <c r="I2" s="717"/>
      <c r="J2" s="717"/>
      <c r="K2" s="717"/>
      <c r="L2" s="717"/>
      <c r="M2" s="717"/>
      <c r="N2" s="717"/>
      <c r="O2" s="717"/>
      <c r="P2" s="717"/>
      <c r="Q2" s="717"/>
      <c r="R2" s="717"/>
      <c r="S2" s="717"/>
      <c r="T2" s="717"/>
      <c r="U2" s="717"/>
      <c r="V2" s="717"/>
      <c r="W2" s="717"/>
      <c r="X2" s="717"/>
      <c r="Y2" s="717"/>
      <c r="Z2" s="717"/>
      <c r="AA2" s="717"/>
      <c r="AB2" s="717"/>
      <c r="AC2" s="717"/>
      <c r="AD2" s="717"/>
      <c r="AE2" s="717"/>
      <c r="AF2" s="717"/>
      <c r="AG2" s="717"/>
      <c r="AH2" s="717"/>
      <c r="AI2" s="717"/>
      <c r="AJ2" s="717"/>
      <c r="AK2" s="717"/>
      <c r="AL2" s="717"/>
      <c r="AM2" s="717"/>
      <c r="AN2" s="717"/>
      <c r="AO2" s="717"/>
      <c r="AP2" s="717"/>
      <c r="AQ2" s="717"/>
      <c r="AR2" s="717"/>
      <c r="AS2" s="717"/>
      <c r="AT2" s="717"/>
      <c r="AU2" s="717"/>
      <c r="AV2" s="717"/>
      <c r="AW2" s="717"/>
      <c r="AX2" s="717"/>
      <c r="AY2" s="717"/>
      <c r="AZ2" s="717"/>
      <c r="BA2" s="717"/>
      <c r="BB2" s="717"/>
      <c r="BC2" s="717"/>
      <c r="BD2" s="717"/>
      <c r="BE2" s="717"/>
      <c r="BF2" s="717"/>
      <c r="BG2" s="717"/>
      <c r="BH2" s="717"/>
      <c r="BI2" s="230" t="s">
        <v>835</v>
      </c>
      <c r="BJ2" s="717"/>
      <c r="BK2" s="717"/>
      <c r="BL2" s="717"/>
      <c r="BM2" s="717"/>
      <c r="BN2" s="717"/>
      <c r="BO2" s="717"/>
      <c r="BP2" s="717"/>
      <c r="BQ2" s="717"/>
      <c r="BR2" s="717"/>
      <c r="BS2" s="717"/>
      <c r="BT2" s="717"/>
      <c r="BU2" s="717"/>
      <c r="BV2" s="717"/>
      <c r="BW2" s="717"/>
      <c r="BX2" s="717"/>
      <c r="BY2" s="717"/>
      <c r="BZ2" s="717"/>
      <c r="CA2" s="717"/>
      <c r="CB2" s="886"/>
    </row>
    <row r="3" spans="1:80" ht="18.75" customHeight="1">
      <c r="A3" s="903" t="s">
        <v>836</v>
      </c>
      <c r="B3" s="903"/>
      <c r="C3" s="903"/>
      <c r="D3" s="903"/>
      <c r="E3" s="717"/>
      <c r="F3" s="717"/>
      <c r="G3" s="717"/>
      <c r="H3" s="717"/>
      <c r="I3" s="717"/>
      <c r="J3" s="717"/>
      <c r="K3" s="717"/>
      <c r="L3" s="717"/>
      <c r="M3" s="717"/>
      <c r="N3" s="717"/>
      <c r="O3" s="717"/>
      <c r="P3" s="801" t="s">
        <v>657</v>
      </c>
      <c r="Q3" s="801" t="s">
        <v>657</v>
      </c>
      <c r="R3" s="801" t="s">
        <v>657</v>
      </c>
      <c r="S3" s="801" t="s">
        <v>657</v>
      </c>
      <c r="T3" s="1393"/>
      <c r="U3" s="1393"/>
      <c r="V3" s="1393"/>
      <c r="W3" s="1393"/>
      <c r="X3" s="717"/>
      <c r="Y3" s="717"/>
      <c r="Z3" s="717"/>
      <c r="AA3" s="717"/>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t="s">
        <v>837</v>
      </c>
      <c r="BI3" s="230"/>
      <c r="BJ3" s="230"/>
      <c r="BK3" s="230"/>
      <c r="BL3" s="230"/>
      <c r="BM3" s="230"/>
      <c r="BN3" s="230"/>
      <c r="BO3" s="230"/>
      <c r="BP3" s="230"/>
      <c r="BQ3" s="230"/>
      <c r="BR3" s="230"/>
      <c r="BS3" s="230"/>
      <c r="BT3" s="230"/>
      <c r="BU3" s="230"/>
      <c r="BV3" s="230"/>
      <c r="BW3" s="230"/>
      <c r="BX3" s="230"/>
      <c r="BY3" s="230"/>
      <c r="BZ3" s="230"/>
      <c r="CA3" s="230"/>
      <c r="CB3" s="886"/>
    </row>
    <row r="4" spans="1:80" ht="31.15" customHeight="1">
      <c r="A4" s="903"/>
      <c r="B4" s="903"/>
      <c r="C4" s="1162"/>
      <c r="D4" s="903"/>
      <c r="E4" s="230"/>
      <c r="F4" s="717"/>
      <c r="G4" s="717"/>
      <c r="H4" s="717"/>
      <c r="I4" s="717"/>
      <c r="J4" s="717"/>
      <c r="K4" s="717"/>
      <c r="L4" s="717"/>
      <c r="M4" s="717"/>
      <c r="N4" s="717"/>
      <c r="O4" s="717"/>
      <c r="P4" s="1402" t="s">
        <v>838</v>
      </c>
      <c r="Q4" s="1402"/>
      <c r="R4" s="1402"/>
      <c r="S4" s="1402"/>
      <c r="T4" s="717"/>
      <c r="U4" s="717"/>
      <c r="V4" s="717"/>
      <c r="W4" s="717"/>
      <c r="X4" s="717"/>
      <c r="Y4" s="717"/>
      <c r="Z4" s="717"/>
      <c r="AA4" s="717"/>
      <c r="AB4" s="717"/>
      <c r="AC4" s="230"/>
      <c r="AD4" s="230"/>
      <c r="AE4" s="230"/>
      <c r="AF4" s="230"/>
      <c r="AG4" s="230"/>
      <c r="AH4" s="230"/>
      <c r="AI4" s="230"/>
      <c r="AJ4" s="230"/>
      <c r="AK4" s="230"/>
      <c r="AL4" s="230"/>
      <c r="AM4" s="230"/>
      <c r="AN4" s="230"/>
      <c r="AO4" s="230"/>
      <c r="AP4" s="230"/>
      <c r="AQ4" s="230"/>
      <c r="AR4" s="230"/>
      <c r="AS4" s="230"/>
      <c r="AT4" s="230"/>
      <c r="AU4" s="230"/>
      <c r="AV4" s="230"/>
      <c r="AW4" s="230"/>
      <c r="AX4" s="230"/>
      <c r="AY4" s="230"/>
      <c r="AZ4" s="230"/>
      <c r="BA4" s="230"/>
      <c r="BB4" s="230"/>
      <c r="BC4" s="230"/>
      <c r="BD4" s="230"/>
      <c r="BE4" s="230"/>
      <c r="BF4" s="230"/>
      <c r="BG4" s="230"/>
      <c r="BH4" s="230"/>
      <c r="BI4" s="230"/>
      <c r="BJ4" s="230"/>
      <c r="BK4" s="230"/>
      <c r="BL4" s="230"/>
      <c r="BM4" s="230"/>
      <c r="BN4" s="230"/>
      <c r="BO4" s="230"/>
      <c r="BP4" s="230"/>
      <c r="BQ4" s="230"/>
      <c r="BR4" s="230"/>
      <c r="BS4" s="230"/>
      <c r="BT4" s="230"/>
      <c r="BU4" s="230"/>
      <c r="BV4" s="230"/>
      <c r="BW4" s="230"/>
      <c r="BX4" s="230"/>
      <c r="BY4" s="230"/>
      <c r="BZ4" s="230"/>
      <c r="CA4" s="230"/>
      <c r="CB4" s="230"/>
    </row>
    <row r="5" spans="1:80">
      <c r="A5" s="717"/>
      <c r="B5" s="717"/>
      <c r="C5" s="717"/>
      <c r="D5" s="717"/>
      <c r="E5" s="717"/>
      <c r="F5" s="717"/>
      <c r="G5" s="717"/>
      <c r="H5" s="717"/>
      <c r="I5" s="717"/>
      <c r="J5" s="717"/>
      <c r="K5" s="717"/>
      <c r="L5" s="717"/>
      <c r="M5" s="717"/>
      <c r="N5" s="717"/>
      <c r="O5" s="717"/>
      <c r="P5" s="1163" t="s">
        <v>839</v>
      </c>
      <c r="Q5" s="1164" t="s">
        <v>840</v>
      </c>
      <c r="R5" s="1164" t="s">
        <v>841</v>
      </c>
      <c r="S5" s="1165" t="s">
        <v>842</v>
      </c>
      <c r="T5" s="1163" t="s">
        <v>657</v>
      </c>
      <c r="U5" s="230"/>
      <c r="V5" s="230"/>
      <c r="W5" s="230"/>
      <c r="X5" s="230"/>
      <c r="Y5" s="230"/>
      <c r="Z5" s="230"/>
      <c r="AA5" s="230"/>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30"/>
      <c r="BB5" s="230"/>
      <c r="BC5" s="230"/>
      <c r="BD5" s="230"/>
      <c r="BE5" s="230"/>
      <c r="BF5" s="230"/>
      <c r="BG5" s="230"/>
      <c r="BH5" s="230"/>
      <c r="BI5" s="230"/>
      <c r="BJ5" s="230"/>
      <c r="BK5" s="230"/>
      <c r="BL5" s="230"/>
      <c r="BM5" s="230"/>
      <c r="BN5" s="230"/>
      <c r="BO5" s="230"/>
      <c r="BP5" s="230"/>
      <c r="BQ5" s="230"/>
      <c r="BR5" s="230"/>
      <c r="BS5" s="230"/>
      <c r="BT5" s="230"/>
      <c r="BU5" s="230"/>
      <c r="BV5" s="230"/>
      <c r="BW5" s="230"/>
      <c r="BX5" s="230"/>
      <c r="BY5" s="230"/>
      <c r="BZ5" s="230"/>
      <c r="CA5" s="230"/>
      <c r="CB5" s="230"/>
    </row>
    <row r="6" spans="1:80" s="1167" customFormat="1" ht="45" customHeight="1">
      <c r="A6" s="1166" t="s">
        <v>657</v>
      </c>
      <c r="B6" s="1389" t="s">
        <v>843</v>
      </c>
      <c r="C6" s="1389" t="s">
        <v>844</v>
      </c>
      <c r="D6" s="1391" t="s">
        <v>845</v>
      </c>
      <c r="E6" s="1387" t="s">
        <v>846</v>
      </c>
      <c r="F6" s="1387" t="s">
        <v>847</v>
      </c>
      <c r="G6" s="1387" t="s">
        <v>848</v>
      </c>
      <c r="H6" s="1387" t="s">
        <v>849</v>
      </c>
      <c r="I6" s="1387" t="s">
        <v>850</v>
      </c>
      <c r="J6" s="1387" t="s">
        <v>851</v>
      </c>
      <c r="K6" s="1387" t="s">
        <v>852</v>
      </c>
      <c r="L6" s="1387" t="s">
        <v>853</v>
      </c>
      <c r="M6" s="1387" t="s">
        <v>854</v>
      </c>
      <c r="N6" s="1387" t="s">
        <v>855</v>
      </c>
      <c r="O6" s="1399" t="s">
        <v>856</v>
      </c>
      <c r="P6" s="1398" t="s">
        <v>857</v>
      </c>
      <c r="Q6" s="1394"/>
      <c r="R6" s="1394"/>
      <c r="S6" s="1401"/>
      <c r="T6" s="1398" t="s">
        <v>858</v>
      </c>
      <c r="U6" s="1394"/>
      <c r="V6" s="1394"/>
      <c r="W6" s="1395"/>
      <c r="X6" s="1394" t="s">
        <v>859</v>
      </c>
      <c r="Y6" s="1394"/>
      <c r="Z6" s="1394"/>
      <c r="AA6" s="1395"/>
      <c r="AB6" s="1394" t="s">
        <v>860</v>
      </c>
      <c r="AC6" s="1394"/>
      <c r="AD6" s="1394"/>
      <c r="AE6" s="1395"/>
      <c r="AF6" s="1394" t="s">
        <v>861</v>
      </c>
      <c r="AG6" s="1394"/>
      <c r="AH6" s="1394"/>
      <c r="AI6" s="1395"/>
      <c r="AJ6" s="1394" t="s">
        <v>862</v>
      </c>
      <c r="AK6" s="1394"/>
      <c r="AL6" s="1394"/>
      <c r="AM6" s="1395"/>
      <c r="AN6" s="1394" t="s">
        <v>863</v>
      </c>
      <c r="AO6" s="1394"/>
      <c r="AP6" s="1394"/>
      <c r="AQ6" s="1395"/>
      <c r="AR6" s="1394" t="s">
        <v>864</v>
      </c>
      <c r="AS6" s="1394"/>
      <c r="AT6" s="1394"/>
      <c r="AU6" s="1395"/>
      <c r="AV6" s="1396" t="s">
        <v>865</v>
      </c>
      <c r="AW6" s="1396"/>
      <c r="AX6" s="1396"/>
      <c r="AY6" s="1397"/>
      <c r="AZ6" s="717"/>
      <c r="BA6" s="717"/>
      <c r="BB6" s="230"/>
      <c r="BC6" s="230"/>
      <c r="BD6" s="230"/>
      <c r="BE6" s="230"/>
      <c r="BF6" s="230"/>
      <c r="BG6" s="230"/>
      <c r="BH6" s="230"/>
      <c r="BI6" s="230"/>
      <c r="BJ6" s="230"/>
      <c r="BK6" s="230"/>
      <c r="BL6" s="230"/>
      <c r="BM6" s="230"/>
      <c r="BN6" s="230"/>
      <c r="BO6" s="230"/>
      <c r="BP6" s="230"/>
      <c r="BQ6" s="230"/>
      <c r="BR6" s="230"/>
      <c r="BS6" s="230"/>
      <c r="BT6" s="230"/>
      <c r="BU6" s="230"/>
      <c r="BV6" s="230"/>
      <c r="BW6" s="230"/>
      <c r="BX6" s="230"/>
      <c r="BY6" s="230"/>
      <c r="BZ6" s="230"/>
      <c r="CA6" s="230"/>
      <c r="CB6" s="230"/>
    </row>
    <row r="7" spans="1:80" s="1181" customFormat="1" ht="35.85" customHeight="1">
      <c r="A7" s="1166" t="s">
        <v>657</v>
      </c>
      <c r="B7" s="1390"/>
      <c r="C7" s="1390"/>
      <c r="D7" s="1392"/>
      <c r="E7" s="1388"/>
      <c r="F7" s="1388"/>
      <c r="G7" s="1388"/>
      <c r="H7" s="1388"/>
      <c r="I7" s="1388"/>
      <c r="J7" s="1388"/>
      <c r="K7" s="1388"/>
      <c r="L7" s="1388"/>
      <c r="M7" s="1388"/>
      <c r="N7" s="1388"/>
      <c r="O7" s="1400"/>
      <c r="P7" s="1168" t="s">
        <v>225</v>
      </c>
      <c r="Q7" s="1169" t="s">
        <v>226</v>
      </c>
      <c r="R7" s="1169" t="s">
        <v>227</v>
      </c>
      <c r="S7" s="1170" t="s">
        <v>228</v>
      </c>
      <c r="T7" s="1171" t="s">
        <v>225</v>
      </c>
      <c r="U7" s="1169" t="s">
        <v>226</v>
      </c>
      <c r="V7" s="1169" t="s">
        <v>227</v>
      </c>
      <c r="W7" s="1172" t="s">
        <v>228</v>
      </c>
      <c r="X7" s="1171" t="s">
        <v>225</v>
      </c>
      <c r="Y7" s="1169" t="s">
        <v>226</v>
      </c>
      <c r="Z7" s="1169" t="s">
        <v>227</v>
      </c>
      <c r="AA7" s="1172" t="s">
        <v>228</v>
      </c>
      <c r="AB7" s="1171" t="s">
        <v>225</v>
      </c>
      <c r="AC7" s="1169" t="s">
        <v>226</v>
      </c>
      <c r="AD7" s="1169" t="s">
        <v>227</v>
      </c>
      <c r="AE7" s="1172" t="s">
        <v>228</v>
      </c>
      <c r="AF7" s="1173" t="s">
        <v>225</v>
      </c>
      <c r="AG7" s="1174" t="s">
        <v>226</v>
      </c>
      <c r="AH7" s="1174" t="s">
        <v>227</v>
      </c>
      <c r="AI7" s="1175" t="s">
        <v>228</v>
      </c>
      <c r="AJ7" s="1171" t="s">
        <v>225</v>
      </c>
      <c r="AK7" s="1169" t="s">
        <v>226</v>
      </c>
      <c r="AL7" s="1169" t="s">
        <v>227</v>
      </c>
      <c r="AM7" s="1172" t="s">
        <v>228</v>
      </c>
      <c r="AN7" s="1173" t="s">
        <v>225</v>
      </c>
      <c r="AO7" s="1174" t="s">
        <v>226</v>
      </c>
      <c r="AP7" s="1174" t="s">
        <v>227</v>
      </c>
      <c r="AQ7" s="1175" t="s">
        <v>228</v>
      </c>
      <c r="AR7" s="1171" t="s">
        <v>225</v>
      </c>
      <c r="AS7" s="1169" t="s">
        <v>226</v>
      </c>
      <c r="AT7" s="1169" t="s">
        <v>227</v>
      </c>
      <c r="AU7" s="1176" t="s">
        <v>228</v>
      </c>
      <c r="AV7" s="1177" t="s">
        <v>225</v>
      </c>
      <c r="AW7" s="1178" t="s">
        <v>226</v>
      </c>
      <c r="AX7" s="1178" t="s">
        <v>227</v>
      </c>
      <c r="AY7" s="1179" t="s">
        <v>228</v>
      </c>
      <c r="AZ7" s="1180"/>
      <c r="BA7" s="1180"/>
      <c r="BB7" s="1180"/>
      <c r="BC7" s="1180"/>
      <c r="BD7" s="1180"/>
      <c r="BE7" s="1180"/>
      <c r="BF7" s="1180"/>
      <c r="BG7" s="1180"/>
      <c r="BH7" s="1180"/>
      <c r="BI7" s="1180"/>
      <c r="BJ7" s="1180"/>
      <c r="BK7" s="1180"/>
      <c r="BL7" s="1180"/>
      <c r="BM7" s="1180"/>
      <c r="BN7" s="1180"/>
      <c r="BO7" s="1180"/>
      <c r="BP7" s="1180"/>
      <c r="BQ7" s="1180"/>
      <c r="BR7" s="1180"/>
      <c r="BS7" s="1180"/>
      <c r="BT7" s="1180"/>
      <c r="BU7" s="1180"/>
      <c r="BV7" s="1180"/>
      <c r="BW7" s="1180"/>
      <c r="BX7" s="1180"/>
      <c r="BY7" s="1180"/>
      <c r="BZ7" s="1180"/>
      <c r="CA7" s="1180"/>
      <c r="CB7" s="1180"/>
    </row>
    <row r="8" spans="1:80" s="1158" customFormat="1" ht="31.35" customHeight="1">
      <c r="A8" s="1166" t="s">
        <v>657</v>
      </c>
      <c r="B8" s="1182" t="s">
        <v>866</v>
      </c>
      <c r="C8" s="1182" t="s">
        <v>26</v>
      </c>
      <c r="D8" s="1384" t="s">
        <v>225</v>
      </c>
      <c r="E8" s="802">
        <v>389260</v>
      </c>
      <c r="F8" s="802">
        <v>1756054</v>
      </c>
      <c r="G8" s="802">
        <v>1891288</v>
      </c>
      <c r="H8" s="802">
        <v>2000000</v>
      </c>
      <c r="I8" s="802">
        <v>2000000</v>
      </c>
      <c r="J8" s="802">
        <v>2000000</v>
      </c>
      <c r="K8" s="802">
        <v>2000000</v>
      </c>
      <c r="L8" s="803">
        <v>44409</v>
      </c>
      <c r="M8" s="803">
        <v>45992</v>
      </c>
      <c r="N8" s="804" t="s">
        <v>803</v>
      </c>
      <c r="O8" s="805">
        <v>0.8</v>
      </c>
      <c r="P8" s="1183">
        <v>0.45600000000000002</v>
      </c>
      <c r="Q8" s="1183">
        <v>0.1396</v>
      </c>
      <c r="R8" s="1183">
        <v>0.32079999999999997</v>
      </c>
      <c r="S8" s="1183">
        <v>8.3599999999999994E-2</v>
      </c>
      <c r="T8" s="806">
        <v>183243</v>
      </c>
      <c r="U8" s="807">
        <v>56094</v>
      </c>
      <c r="V8" s="807">
        <v>128912</v>
      </c>
      <c r="W8" s="808">
        <v>33600</v>
      </c>
      <c r="X8" s="809">
        <v>6350</v>
      </c>
      <c r="Y8" s="807">
        <v>0</v>
      </c>
      <c r="Z8" s="807">
        <v>0</v>
      </c>
      <c r="AA8" s="808">
        <v>0</v>
      </c>
      <c r="AB8" s="809">
        <v>204159</v>
      </c>
      <c r="AC8" s="809">
        <v>3231</v>
      </c>
      <c r="AD8" s="809">
        <v>10312</v>
      </c>
      <c r="AE8" s="810">
        <v>14500</v>
      </c>
      <c r="AF8" s="811">
        <v>212628</v>
      </c>
      <c r="AG8" s="811">
        <v>3262</v>
      </c>
      <c r="AH8" s="811">
        <v>10312</v>
      </c>
      <c r="AI8" s="812">
        <v>17500</v>
      </c>
      <c r="AJ8" s="809">
        <v>194108</v>
      </c>
      <c r="AK8" s="809">
        <v>27550</v>
      </c>
      <c r="AL8" s="809">
        <v>16801</v>
      </c>
      <c r="AM8" s="810">
        <v>15507</v>
      </c>
      <c r="AN8" s="811">
        <v>196169</v>
      </c>
      <c r="AO8" s="811">
        <v>21255</v>
      </c>
      <c r="AP8" s="811">
        <v>17305</v>
      </c>
      <c r="AQ8" s="812">
        <v>15931</v>
      </c>
      <c r="AR8" s="809">
        <v>202673</v>
      </c>
      <c r="AS8" s="809">
        <v>21954</v>
      </c>
      <c r="AT8" s="809">
        <v>17825</v>
      </c>
      <c r="AU8" s="813">
        <v>16382</v>
      </c>
      <c r="AV8" s="814">
        <v>203752</v>
      </c>
      <c r="AW8" s="809">
        <v>22721</v>
      </c>
      <c r="AX8" s="809">
        <v>18360</v>
      </c>
      <c r="AY8" s="815">
        <v>16874</v>
      </c>
      <c r="AZ8" s="230"/>
      <c r="BA8" s="230"/>
      <c r="BB8" s="230"/>
      <c r="BC8" s="230"/>
      <c r="BD8" s="230"/>
      <c r="BE8" s="230"/>
      <c r="BF8" s="230"/>
      <c r="BG8" s="230"/>
      <c r="BH8" s="230"/>
      <c r="BI8" s="230"/>
      <c r="BJ8" s="230"/>
      <c r="BK8" s="230"/>
      <c r="BL8" s="230"/>
      <c r="BM8" s="230"/>
      <c r="BN8" s="230"/>
      <c r="BO8" s="230"/>
      <c r="BP8" s="230"/>
      <c r="BQ8" s="230"/>
      <c r="BR8" s="230"/>
      <c r="BS8" s="230"/>
      <c r="BT8" s="230"/>
      <c r="BU8" s="230"/>
      <c r="BV8" s="230"/>
      <c r="BW8" s="230"/>
      <c r="BX8" s="230"/>
      <c r="BY8" s="230"/>
      <c r="BZ8" s="230"/>
      <c r="CA8" s="230"/>
      <c r="CB8" s="230"/>
    </row>
    <row r="9" spans="1:80" s="1158" customFormat="1">
      <c r="A9" s="1166" t="s">
        <v>657</v>
      </c>
      <c r="B9" s="1182" t="s">
        <v>867</v>
      </c>
      <c r="C9" s="1182" t="s">
        <v>23</v>
      </c>
      <c r="D9" s="1384"/>
      <c r="E9" s="816">
        <v>657000</v>
      </c>
      <c r="F9" s="816">
        <v>3236740</v>
      </c>
      <c r="G9" s="816">
        <v>6759536</v>
      </c>
      <c r="H9" s="816">
        <v>8647763</v>
      </c>
      <c r="I9" s="816">
        <v>8600920</v>
      </c>
      <c r="J9" s="816">
        <v>8567403</v>
      </c>
      <c r="K9" s="816">
        <v>8422519</v>
      </c>
      <c r="L9" s="817">
        <v>44378</v>
      </c>
      <c r="M9" s="817">
        <v>45992</v>
      </c>
      <c r="N9" s="804" t="s">
        <v>803</v>
      </c>
      <c r="O9" s="805">
        <v>1</v>
      </c>
      <c r="P9" s="1183">
        <v>0.44400000000000001</v>
      </c>
      <c r="Q9" s="1183">
        <v>0.155</v>
      </c>
      <c r="R9" s="1183">
        <v>0.40100000000000002</v>
      </c>
      <c r="S9" s="1183">
        <v>0</v>
      </c>
      <c r="T9" s="806">
        <v>299592</v>
      </c>
      <c r="U9" s="818">
        <v>91711</v>
      </c>
      <c r="V9" s="818">
        <v>210764</v>
      </c>
      <c r="W9" s="818">
        <v>54934</v>
      </c>
      <c r="X9" s="806">
        <v>5702</v>
      </c>
      <c r="Y9" s="818">
        <v>0</v>
      </c>
      <c r="Z9" s="818">
        <v>0</v>
      </c>
      <c r="AA9" s="819">
        <v>0</v>
      </c>
      <c r="AB9" s="809">
        <v>414586</v>
      </c>
      <c r="AC9" s="809">
        <v>3205</v>
      </c>
      <c r="AD9" s="809">
        <v>23758</v>
      </c>
      <c r="AE9" s="810">
        <v>0</v>
      </c>
      <c r="AF9" s="809">
        <v>725585</v>
      </c>
      <c r="AG9" s="809">
        <v>4643</v>
      </c>
      <c r="AH9" s="809">
        <v>23758</v>
      </c>
      <c r="AI9" s="810">
        <v>0</v>
      </c>
      <c r="AJ9" s="809">
        <v>852684</v>
      </c>
      <c r="AK9" s="809">
        <v>4737</v>
      </c>
      <c r="AL9" s="809">
        <v>16801</v>
      </c>
      <c r="AM9" s="810">
        <v>0</v>
      </c>
      <c r="AN9" s="809">
        <v>863664</v>
      </c>
      <c r="AO9" s="809">
        <v>4929</v>
      </c>
      <c r="AP9" s="809">
        <v>17305</v>
      </c>
      <c r="AQ9" s="810">
        <v>0</v>
      </c>
      <c r="AR9" s="809">
        <v>884288</v>
      </c>
      <c r="AS9" s="809">
        <v>4983</v>
      </c>
      <c r="AT9" s="809">
        <v>17825</v>
      </c>
      <c r="AU9" s="813">
        <v>0</v>
      </c>
      <c r="AV9" s="814">
        <v>872245</v>
      </c>
      <c r="AW9" s="809">
        <v>5132</v>
      </c>
      <c r="AX9" s="809">
        <v>18360</v>
      </c>
      <c r="AY9" s="815">
        <v>0</v>
      </c>
      <c r="AZ9" s="230"/>
      <c r="BA9" s="230"/>
      <c r="BB9" s="230"/>
      <c r="BC9" s="230"/>
      <c r="BD9" s="230"/>
      <c r="BE9" s="230"/>
      <c r="BF9" s="230"/>
      <c r="BG9" s="230"/>
      <c r="BH9" s="230"/>
      <c r="BI9" s="230"/>
      <c r="BJ9" s="230"/>
      <c r="BK9" s="230"/>
      <c r="BL9" s="230"/>
      <c r="BM9" s="230"/>
      <c r="BN9" s="230"/>
      <c r="BO9" s="230"/>
      <c r="BP9" s="230"/>
      <c r="BQ9" s="230"/>
      <c r="BR9" s="230"/>
      <c r="BS9" s="230"/>
      <c r="BT9" s="230"/>
      <c r="BU9" s="230"/>
      <c r="BV9" s="230"/>
      <c r="BW9" s="230"/>
      <c r="BX9" s="230"/>
      <c r="BY9" s="230"/>
      <c r="BZ9" s="230"/>
      <c r="CA9" s="230"/>
      <c r="CB9" s="230"/>
    </row>
    <row r="10" spans="1:80" s="1158" customFormat="1">
      <c r="A10" s="1166" t="s">
        <v>657</v>
      </c>
      <c r="B10" s="1182" t="s">
        <v>868</v>
      </c>
      <c r="C10" s="1182" t="s">
        <v>23</v>
      </c>
      <c r="D10" s="1384"/>
      <c r="E10" s="802">
        <v>596500</v>
      </c>
      <c r="F10" s="802">
        <v>1895840</v>
      </c>
      <c r="G10" s="802">
        <v>2545541</v>
      </c>
      <c r="H10" s="802">
        <v>3093053</v>
      </c>
      <c r="I10" s="802">
        <v>3156096</v>
      </c>
      <c r="J10" s="802">
        <v>3103547</v>
      </c>
      <c r="K10" s="802">
        <v>3345983</v>
      </c>
      <c r="L10" s="803">
        <v>44378</v>
      </c>
      <c r="M10" s="803">
        <v>45992</v>
      </c>
      <c r="N10" s="804" t="s">
        <v>803</v>
      </c>
      <c r="O10" s="805">
        <v>0.8</v>
      </c>
      <c r="P10" s="1183">
        <v>0.45600000000000002</v>
      </c>
      <c r="Q10" s="1183">
        <v>0.1396</v>
      </c>
      <c r="R10" s="1183">
        <v>0.32079999999999997</v>
      </c>
      <c r="S10" s="1183">
        <v>8.3599999999999994E-2</v>
      </c>
      <c r="T10" s="806">
        <v>272003.99</v>
      </c>
      <c r="U10" s="809">
        <v>83266</v>
      </c>
      <c r="V10" s="809">
        <v>191355</v>
      </c>
      <c r="W10" s="809">
        <v>49875</v>
      </c>
      <c r="X10" s="806">
        <v>0</v>
      </c>
      <c r="Y10" s="809">
        <v>0</v>
      </c>
      <c r="Z10" s="809">
        <v>0</v>
      </c>
      <c r="AA10" s="810">
        <v>0</v>
      </c>
      <c r="AB10" s="809">
        <v>378930</v>
      </c>
      <c r="AC10" s="809">
        <v>2425</v>
      </c>
      <c r="AD10" s="809">
        <v>11132</v>
      </c>
      <c r="AE10" s="810">
        <v>42500</v>
      </c>
      <c r="AF10" s="809">
        <v>493180</v>
      </c>
      <c r="AG10" s="809">
        <v>2628</v>
      </c>
      <c r="AH10" s="809">
        <v>11132</v>
      </c>
      <c r="AI10" s="810">
        <v>48000</v>
      </c>
      <c r="AJ10" s="809">
        <v>487179</v>
      </c>
      <c r="AK10" s="809">
        <v>2956</v>
      </c>
      <c r="AL10" s="809">
        <v>16801</v>
      </c>
      <c r="AM10" s="810">
        <v>68890</v>
      </c>
      <c r="AN10" s="809">
        <v>521173</v>
      </c>
      <c r="AO10" s="809">
        <v>3102</v>
      </c>
      <c r="AP10" s="809">
        <v>17305</v>
      </c>
      <c r="AQ10" s="810">
        <v>70338</v>
      </c>
      <c r="AR10" s="809">
        <v>524565</v>
      </c>
      <c r="AS10" s="809">
        <v>3159</v>
      </c>
      <c r="AT10" s="809">
        <v>17825</v>
      </c>
      <c r="AU10" s="813">
        <v>71969</v>
      </c>
      <c r="AV10" s="814">
        <v>536129</v>
      </c>
      <c r="AW10" s="809">
        <v>3348</v>
      </c>
      <c r="AX10" s="809">
        <v>18360</v>
      </c>
      <c r="AY10" s="815">
        <v>73804</v>
      </c>
      <c r="AZ10" s="230"/>
      <c r="BA10" s="230"/>
      <c r="BB10" s="230"/>
      <c r="BC10" s="230"/>
      <c r="BD10" s="230"/>
      <c r="BE10" s="230"/>
      <c r="BF10" s="230"/>
      <c r="BG10" s="230"/>
      <c r="BH10" s="230"/>
      <c r="BI10" s="230"/>
      <c r="BJ10" s="230"/>
      <c r="BK10" s="230"/>
      <c r="BL10" s="230"/>
      <c r="BM10" s="230"/>
      <c r="BN10" s="230"/>
      <c r="BO10" s="230"/>
      <c r="BP10" s="230"/>
      <c r="BQ10" s="230"/>
      <c r="BR10" s="230"/>
      <c r="BS10" s="230"/>
      <c r="BT10" s="230"/>
      <c r="BU10" s="230"/>
      <c r="BV10" s="230"/>
      <c r="BW10" s="230"/>
      <c r="BX10" s="230"/>
      <c r="BY10" s="230"/>
      <c r="BZ10" s="230"/>
      <c r="CA10" s="230"/>
      <c r="CB10" s="230"/>
    </row>
    <row r="11" spans="1:80" s="1158" customFormat="1">
      <c r="A11" s="1166" t="s">
        <v>657</v>
      </c>
      <c r="B11" s="1182" t="s">
        <v>869</v>
      </c>
      <c r="C11" s="1182" t="s">
        <v>23</v>
      </c>
      <c r="D11" s="1384"/>
      <c r="E11" s="802">
        <v>0</v>
      </c>
      <c r="F11" s="802">
        <v>348879</v>
      </c>
      <c r="G11" s="802">
        <v>3409051</v>
      </c>
      <c r="H11" s="802">
        <v>10466573</v>
      </c>
      <c r="I11" s="802">
        <v>16405208</v>
      </c>
      <c r="J11" s="802">
        <v>13310024</v>
      </c>
      <c r="K11" s="802">
        <v>16637530</v>
      </c>
      <c r="L11" s="803">
        <v>44166</v>
      </c>
      <c r="M11" s="803">
        <v>46113</v>
      </c>
      <c r="N11" s="804" t="s">
        <v>803</v>
      </c>
      <c r="O11" s="805">
        <v>1</v>
      </c>
      <c r="P11" s="1183">
        <v>0.44400000000000001</v>
      </c>
      <c r="Q11" s="1183">
        <v>0.155</v>
      </c>
      <c r="R11" s="1183">
        <v>0.40100000000000002</v>
      </c>
      <c r="S11" s="1183">
        <v>0</v>
      </c>
      <c r="T11" s="806">
        <v>0</v>
      </c>
      <c r="U11" s="809">
        <v>0</v>
      </c>
      <c r="V11" s="809">
        <v>0</v>
      </c>
      <c r="W11" s="809">
        <v>0</v>
      </c>
      <c r="X11" s="806">
        <v>55502</v>
      </c>
      <c r="Y11" s="809">
        <v>0</v>
      </c>
      <c r="Z11" s="809">
        <v>0</v>
      </c>
      <c r="AA11" s="810">
        <v>0</v>
      </c>
      <c r="AB11" s="809">
        <v>258878</v>
      </c>
      <c r="AC11" s="809">
        <v>3528</v>
      </c>
      <c r="AD11" s="809">
        <v>2560</v>
      </c>
      <c r="AE11" s="810">
        <v>0</v>
      </c>
      <c r="AF11" s="809">
        <v>549023</v>
      </c>
      <c r="AG11" s="809">
        <v>3014</v>
      </c>
      <c r="AH11" s="809">
        <v>2560</v>
      </c>
      <c r="AI11" s="810">
        <v>0</v>
      </c>
      <c r="AJ11" s="809">
        <v>1098951</v>
      </c>
      <c r="AK11" s="809">
        <v>13729</v>
      </c>
      <c r="AL11" s="809">
        <v>84005</v>
      </c>
      <c r="AM11" s="810">
        <v>0</v>
      </c>
      <c r="AN11" s="809">
        <v>1554620</v>
      </c>
      <c r="AO11" s="809">
        <v>16208</v>
      </c>
      <c r="AP11" s="809">
        <v>86525</v>
      </c>
      <c r="AQ11" s="810">
        <v>0</v>
      </c>
      <c r="AR11" s="809">
        <v>1319041</v>
      </c>
      <c r="AS11" s="809">
        <v>15584</v>
      </c>
      <c r="AT11" s="809">
        <v>89125</v>
      </c>
      <c r="AU11" s="813">
        <v>0</v>
      </c>
      <c r="AV11" s="814">
        <v>1576732</v>
      </c>
      <c r="AW11" s="809">
        <v>17259</v>
      </c>
      <c r="AX11" s="809">
        <v>91800</v>
      </c>
      <c r="AY11" s="815">
        <v>0</v>
      </c>
      <c r="AZ11" s="230"/>
      <c r="BA11" s="230"/>
      <c r="BB11" s="230"/>
      <c r="BC11" s="230"/>
      <c r="BD11" s="230"/>
      <c r="BE11" s="230"/>
      <c r="BF11" s="230"/>
      <c r="BG11" s="230"/>
      <c r="BH11" s="230"/>
      <c r="BI11" s="230"/>
      <c r="BJ11" s="230"/>
      <c r="BK11" s="230"/>
      <c r="BL11" s="230"/>
      <c r="BM11" s="230"/>
      <c r="BN11" s="230"/>
      <c r="BO11" s="230"/>
      <c r="BP11" s="230"/>
      <c r="BQ11" s="230"/>
      <c r="BR11" s="230"/>
      <c r="BS11" s="230"/>
      <c r="BT11" s="230"/>
      <c r="BU11" s="230"/>
      <c r="BV11" s="230"/>
      <c r="BW11" s="230"/>
      <c r="BX11" s="230"/>
      <c r="BY11" s="230"/>
      <c r="BZ11" s="230"/>
      <c r="CA11" s="230"/>
      <c r="CB11" s="230"/>
    </row>
    <row r="12" spans="1:80" s="1158" customFormat="1">
      <c r="A12" s="1166" t="s">
        <v>657</v>
      </c>
      <c r="B12" s="1182" t="s">
        <v>870</v>
      </c>
      <c r="C12" s="1182" t="s">
        <v>23</v>
      </c>
      <c r="D12" s="1384"/>
      <c r="E12" s="802">
        <v>0</v>
      </c>
      <c r="F12" s="802">
        <v>983492</v>
      </c>
      <c r="G12" s="802">
        <v>8746903</v>
      </c>
      <c r="H12" s="802">
        <v>16627662</v>
      </c>
      <c r="I12" s="802">
        <v>16423773</v>
      </c>
      <c r="J12" s="802">
        <v>12612048</v>
      </c>
      <c r="K12" s="802">
        <v>9510040</v>
      </c>
      <c r="L12" s="803">
        <v>44166</v>
      </c>
      <c r="M12" s="803">
        <v>46113</v>
      </c>
      <c r="N12" s="804" t="s">
        <v>803</v>
      </c>
      <c r="O12" s="805">
        <v>0.8</v>
      </c>
      <c r="P12" s="1183">
        <v>0.45600000000000002</v>
      </c>
      <c r="Q12" s="1183">
        <v>0.1396</v>
      </c>
      <c r="R12" s="1183">
        <v>0.32079999999999997</v>
      </c>
      <c r="S12" s="1183">
        <v>8.3599999999999994E-2</v>
      </c>
      <c r="T12" s="806">
        <v>0</v>
      </c>
      <c r="U12" s="809">
        <v>0</v>
      </c>
      <c r="V12" s="809">
        <v>0</v>
      </c>
      <c r="W12" s="809">
        <v>0</v>
      </c>
      <c r="X12" s="806">
        <v>54115</v>
      </c>
      <c r="Y12" s="809">
        <v>0</v>
      </c>
      <c r="Z12" s="809">
        <v>0</v>
      </c>
      <c r="AA12" s="810">
        <v>0</v>
      </c>
      <c r="AB12" s="809">
        <v>309521</v>
      </c>
      <c r="AC12" s="809">
        <v>3690</v>
      </c>
      <c r="AD12" s="809">
        <v>4488</v>
      </c>
      <c r="AE12" s="810">
        <v>10000</v>
      </c>
      <c r="AF12" s="809">
        <v>1026673</v>
      </c>
      <c r="AG12" s="809">
        <v>4835</v>
      </c>
      <c r="AH12" s="809">
        <v>5776</v>
      </c>
      <c r="AI12" s="810">
        <v>12500</v>
      </c>
      <c r="AJ12" s="809">
        <v>1825501</v>
      </c>
      <c r="AK12" s="809">
        <v>15099</v>
      </c>
      <c r="AL12" s="809">
        <v>84005</v>
      </c>
      <c r="AM12" s="810">
        <v>48089</v>
      </c>
      <c r="AN12" s="809">
        <v>1809371</v>
      </c>
      <c r="AO12" s="809">
        <v>15696</v>
      </c>
      <c r="AP12" s="809">
        <v>86525</v>
      </c>
      <c r="AQ12" s="810">
        <v>49102</v>
      </c>
      <c r="AR12" s="809">
        <v>1518599</v>
      </c>
      <c r="AS12" s="809">
        <v>14968</v>
      </c>
      <c r="AT12" s="809">
        <v>89125</v>
      </c>
      <c r="AU12" s="813">
        <v>50244</v>
      </c>
      <c r="AV12" s="814">
        <v>1233021</v>
      </c>
      <c r="AW12" s="809">
        <v>14597</v>
      </c>
      <c r="AX12" s="809">
        <v>91800</v>
      </c>
      <c r="AY12" s="815">
        <v>51528</v>
      </c>
      <c r="AZ12" s="230"/>
      <c r="BA12" s="230"/>
      <c r="BB12" s="230"/>
      <c r="BC12" s="230"/>
      <c r="BD12" s="230"/>
      <c r="BE12" s="230"/>
      <c r="BF12" s="230"/>
      <c r="BG12" s="230"/>
      <c r="BH12" s="230"/>
      <c r="BI12" s="230"/>
      <c r="BJ12" s="230"/>
      <c r="BK12" s="230"/>
      <c r="BL12" s="230"/>
      <c r="BM12" s="230"/>
      <c r="BN12" s="230"/>
      <c r="BO12" s="230"/>
      <c r="BP12" s="230"/>
      <c r="BQ12" s="230"/>
      <c r="BR12" s="230"/>
      <c r="BS12" s="230"/>
      <c r="BT12" s="230"/>
      <c r="BU12" s="230"/>
      <c r="BV12" s="230"/>
      <c r="BW12" s="230"/>
      <c r="BX12" s="230"/>
      <c r="BY12" s="230"/>
      <c r="BZ12" s="230"/>
      <c r="CA12" s="230"/>
      <c r="CB12" s="230"/>
    </row>
    <row r="13" spans="1:80" s="1158" customFormat="1">
      <c r="A13" s="1166" t="s">
        <v>657</v>
      </c>
      <c r="B13" s="1182" t="s">
        <v>871</v>
      </c>
      <c r="C13" s="1182" t="s">
        <v>678</v>
      </c>
      <c r="D13" s="1384"/>
      <c r="E13" s="802">
        <v>3847799</v>
      </c>
      <c r="F13" s="802">
        <v>1827419</v>
      </c>
      <c r="G13" s="802">
        <v>1827419</v>
      </c>
      <c r="H13" s="802">
        <v>4248447</v>
      </c>
      <c r="I13" s="802">
        <v>2798447</v>
      </c>
      <c r="J13" s="802">
        <v>2348447</v>
      </c>
      <c r="K13" s="802">
        <v>3998447</v>
      </c>
      <c r="L13" s="803">
        <v>43831</v>
      </c>
      <c r="M13" s="803">
        <v>45992</v>
      </c>
      <c r="N13" s="804" t="s">
        <v>803</v>
      </c>
      <c r="O13" s="805">
        <v>0.8</v>
      </c>
      <c r="P13" s="1183">
        <v>0.45600000000000002</v>
      </c>
      <c r="Q13" s="1183">
        <v>0.1396</v>
      </c>
      <c r="R13" s="1183">
        <v>0.32079999999999997</v>
      </c>
      <c r="S13" s="1183">
        <v>8.3599999999999994E-2</v>
      </c>
      <c r="T13" s="806">
        <v>2264376</v>
      </c>
      <c r="U13" s="806">
        <v>673726</v>
      </c>
      <c r="V13" s="806">
        <v>1590977</v>
      </c>
      <c r="W13" s="806">
        <v>538516</v>
      </c>
      <c r="X13" s="806">
        <v>3398696</v>
      </c>
      <c r="Y13" s="809">
        <v>55435</v>
      </c>
      <c r="Z13" s="809">
        <v>0</v>
      </c>
      <c r="AA13" s="810">
        <v>0</v>
      </c>
      <c r="AB13" s="809">
        <v>541053</v>
      </c>
      <c r="AC13" s="809">
        <v>39562</v>
      </c>
      <c r="AD13" s="809">
        <v>54324</v>
      </c>
      <c r="AE13" s="810">
        <v>2000</v>
      </c>
      <c r="AF13" s="809">
        <v>544228</v>
      </c>
      <c r="AG13" s="809">
        <v>57181</v>
      </c>
      <c r="AH13" s="809">
        <v>54324</v>
      </c>
      <c r="AI13" s="810">
        <v>2300</v>
      </c>
      <c r="AJ13" s="809">
        <v>773420</v>
      </c>
      <c r="AK13" s="809">
        <v>78070</v>
      </c>
      <c r="AL13" s="809">
        <v>49340</v>
      </c>
      <c r="AM13" s="810">
        <v>0</v>
      </c>
      <c r="AN13" s="809">
        <v>704430</v>
      </c>
      <c r="AO13" s="809">
        <v>81027</v>
      </c>
      <c r="AP13" s="809">
        <v>50819</v>
      </c>
      <c r="AQ13" s="810">
        <v>0</v>
      </c>
      <c r="AR13" s="809">
        <v>690688</v>
      </c>
      <c r="AS13" s="809">
        <v>83615</v>
      </c>
      <c r="AT13" s="809">
        <v>52345</v>
      </c>
      <c r="AU13" s="813">
        <v>0</v>
      </c>
      <c r="AV13" s="814">
        <v>773468</v>
      </c>
      <c r="AW13" s="809">
        <v>87013</v>
      </c>
      <c r="AX13" s="809">
        <v>53916</v>
      </c>
      <c r="AY13" s="815">
        <v>0</v>
      </c>
      <c r="AZ13" s="230"/>
      <c r="BA13" s="230"/>
      <c r="BB13" s="230"/>
      <c r="BC13" s="230"/>
      <c r="BD13" s="230"/>
      <c r="BE13" s="230"/>
      <c r="BF13" s="230"/>
      <c r="BG13" s="230"/>
      <c r="BH13" s="230"/>
      <c r="BI13" s="230"/>
      <c r="BJ13" s="230"/>
      <c r="BK13" s="230"/>
      <c r="BL13" s="230"/>
      <c r="BM13" s="230"/>
      <c r="BN13" s="230"/>
      <c r="BO13" s="230"/>
      <c r="BP13" s="230"/>
      <c r="BQ13" s="230"/>
      <c r="BR13" s="230"/>
      <c r="BS13" s="230"/>
      <c r="BT13" s="230"/>
      <c r="BU13" s="230"/>
      <c r="BV13" s="230"/>
      <c r="BW13" s="230"/>
      <c r="BX13" s="230"/>
      <c r="BY13" s="230"/>
      <c r="BZ13" s="230"/>
      <c r="CA13" s="230"/>
      <c r="CB13" s="230"/>
    </row>
    <row r="14" spans="1:80" s="1158" customFormat="1">
      <c r="A14" s="1166" t="s">
        <v>657</v>
      </c>
      <c r="B14" s="1182" t="s">
        <v>872</v>
      </c>
      <c r="C14" s="1182" t="s">
        <v>678</v>
      </c>
      <c r="D14" s="1384"/>
      <c r="E14" s="802">
        <v>5795123</v>
      </c>
      <c r="F14" s="802">
        <v>5998421</v>
      </c>
      <c r="G14" s="802">
        <v>5998421</v>
      </c>
      <c r="H14" s="802">
        <v>8149584</v>
      </c>
      <c r="I14" s="802">
        <v>9599584</v>
      </c>
      <c r="J14" s="802">
        <v>10049584</v>
      </c>
      <c r="K14" s="802">
        <v>8399584</v>
      </c>
      <c r="L14" s="803">
        <v>43831</v>
      </c>
      <c r="M14" s="803">
        <v>45992</v>
      </c>
      <c r="N14" s="804" t="s">
        <v>803</v>
      </c>
      <c r="O14" s="805">
        <v>0.8</v>
      </c>
      <c r="P14" s="1183">
        <v>0.45600000000000002</v>
      </c>
      <c r="Q14" s="1183">
        <v>0.1396</v>
      </c>
      <c r="R14" s="1183">
        <v>0.32079999999999997</v>
      </c>
      <c r="S14" s="1183">
        <v>8.3599999999999994E-2</v>
      </c>
      <c r="T14" s="806">
        <v>5775125</v>
      </c>
      <c r="U14" s="806">
        <v>1701692</v>
      </c>
      <c r="V14" s="806">
        <v>4098251</v>
      </c>
      <c r="W14" s="806">
        <v>913254</v>
      </c>
      <c r="X14" s="806">
        <v>2720365</v>
      </c>
      <c r="Y14" s="809">
        <v>77262</v>
      </c>
      <c r="Z14" s="809">
        <v>0</v>
      </c>
      <c r="AA14" s="810">
        <v>0</v>
      </c>
      <c r="AB14" s="809">
        <v>1656823</v>
      </c>
      <c r="AC14" s="809">
        <v>48939</v>
      </c>
      <c r="AD14" s="809">
        <v>106043</v>
      </c>
      <c r="AE14" s="810">
        <v>2000</v>
      </c>
      <c r="AF14" s="809">
        <v>2504911</v>
      </c>
      <c r="AG14" s="809">
        <v>66712</v>
      </c>
      <c r="AH14" s="809">
        <v>106043</v>
      </c>
      <c r="AI14" s="810">
        <v>2300</v>
      </c>
      <c r="AJ14" s="809">
        <v>1948560</v>
      </c>
      <c r="AK14" s="809">
        <v>111497</v>
      </c>
      <c r="AL14" s="809">
        <v>69246</v>
      </c>
      <c r="AM14" s="810">
        <v>0</v>
      </c>
      <c r="AN14" s="809">
        <v>2023830</v>
      </c>
      <c r="AO14" s="809">
        <v>116718</v>
      </c>
      <c r="AP14" s="809">
        <v>71322</v>
      </c>
      <c r="AQ14" s="810">
        <v>0</v>
      </c>
      <c r="AR14" s="809">
        <v>2071165</v>
      </c>
      <c r="AS14" s="809">
        <v>120699</v>
      </c>
      <c r="AT14" s="809">
        <v>73462</v>
      </c>
      <c r="AU14" s="813">
        <v>0</v>
      </c>
      <c r="AV14" s="814">
        <v>1988109</v>
      </c>
      <c r="AW14" s="809">
        <v>124422</v>
      </c>
      <c r="AX14" s="809">
        <v>75666</v>
      </c>
      <c r="AY14" s="815">
        <v>0</v>
      </c>
      <c r="AZ14" s="230"/>
      <c r="BA14" s="230"/>
      <c r="BB14" s="230"/>
      <c r="BC14" s="230"/>
      <c r="BD14" s="230"/>
      <c r="BE14" s="230"/>
      <c r="BF14" s="230"/>
      <c r="BG14" s="230"/>
      <c r="BH14" s="230"/>
      <c r="BI14" s="230"/>
      <c r="BJ14" s="230"/>
      <c r="BK14" s="230"/>
      <c r="BL14" s="230"/>
      <c r="BM14" s="230"/>
      <c r="BN14" s="230"/>
      <c r="BO14" s="230"/>
      <c r="BP14" s="230"/>
      <c r="BQ14" s="230"/>
      <c r="BR14" s="230"/>
      <c r="BS14" s="230"/>
      <c r="BT14" s="230"/>
      <c r="BU14" s="230"/>
      <c r="BV14" s="230"/>
      <c r="BW14" s="230"/>
      <c r="BX14" s="230"/>
      <c r="BY14" s="230"/>
      <c r="BZ14" s="230"/>
      <c r="CA14" s="230"/>
      <c r="CB14" s="230"/>
    </row>
    <row r="15" spans="1:80" s="1158" customFormat="1">
      <c r="A15" s="1166" t="s">
        <v>657</v>
      </c>
      <c r="B15" s="1182" t="s">
        <v>873</v>
      </c>
      <c r="C15" s="1182" t="s">
        <v>678</v>
      </c>
      <c r="D15" s="1384"/>
      <c r="E15" s="802">
        <v>3512080</v>
      </c>
      <c r="F15" s="802">
        <v>5329160</v>
      </c>
      <c r="G15" s="802">
        <v>5329160</v>
      </c>
      <c r="H15" s="802">
        <v>5088827</v>
      </c>
      <c r="I15" s="802">
        <v>5088827</v>
      </c>
      <c r="J15" s="802">
        <v>5088827</v>
      </c>
      <c r="K15" s="802">
        <v>5088827</v>
      </c>
      <c r="L15" s="803">
        <v>43831</v>
      </c>
      <c r="M15" s="803">
        <v>45992</v>
      </c>
      <c r="N15" s="804" t="s">
        <v>803</v>
      </c>
      <c r="O15" s="805">
        <v>0.8</v>
      </c>
      <c r="P15" s="1183">
        <v>0.45600000000000002</v>
      </c>
      <c r="Q15" s="1183">
        <v>0.1396</v>
      </c>
      <c r="R15" s="1183">
        <v>0.32079999999999997</v>
      </c>
      <c r="S15" s="1183">
        <v>8.3599999999999994E-2</v>
      </c>
      <c r="T15" s="806">
        <v>4219608</v>
      </c>
      <c r="U15" s="806">
        <v>1248668</v>
      </c>
      <c r="V15" s="806">
        <v>2965058</v>
      </c>
      <c r="W15" s="806">
        <v>718769</v>
      </c>
      <c r="X15" s="806">
        <v>348861</v>
      </c>
      <c r="Y15" s="809">
        <v>51862</v>
      </c>
      <c r="Z15" s="809">
        <v>0</v>
      </c>
      <c r="AA15" s="810">
        <v>0</v>
      </c>
      <c r="AB15" s="809">
        <v>597327</v>
      </c>
      <c r="AC15" s="809">
        <v>39378</v>
      </c>
      <c r="AD15" s="809">
        <v>65371</v>
      </c>
      <c r="AE15" s="810">
        <v>2000</v>
      </c>
      <c r="AF15" s="809">
        <v>596203</v>
      </c>
      <c r="AG15" s="809">
        <v>57018</v>
      </c>
      <c r="AH15" s="809">
        <v>65371</v>
      </c>
      <c r="AI15" s="810">
        <v>2300</v>
      </c>
      <c r="AJ15" s="809">
        <v>930937</v>
      </c>
      <c r="AK15" s="809">
        <v>76099</v>
      </c>
      <c r="AL15" s="809">
        <v>48126</v>
      </c>
      <c r="AM15" s="810">
        <v>0</v>
      </c>
      <c r="AN15" s="809">
        <v>936223</v>
      </c>
      <c r="AO15" s="809">
        <v>79385</v>
      </c>
      <c r="AP15" s="809">
        <v>49569</v>
      </c>
      <c r="AQ15" s="810">
        <v>0</v>
      </c>
      <c r="AR15" s="809">
        <v>952815</v>
      </c>
      <c r="AS15" s="809">
        <v>82021</v>
      </c>
      <c r="AT15" s="809">
        <v>51057</v>
      </c>
      <c r="AU15" s="813">
        <v>0</v>
      </c>
      <c r="AV15" s="814">
        <v>955604</v>
      </c>
      <c r="AW15" s="809">
        <v>84880</v>
      </c>
      <c r="AX15" s="809">
        <v>52589</v>
      </c>
      <c r="AY15" s="815">
        <v>0</v>
      </c>
      <c r="AZ15" s="230"/>
      <c r="BA15" s="230"/>
      <c r="BB15" s="230"/>
      <c r="BC15" s="230"/>
      <c r="BD15" s="230"/>
      <c r="BE15" s="230"/>
      <c r="BF15" s="230"/>
      <c r="BG15" s="230"/>
      <c r="BH15" s="230"/>
      <c r="BI15" s="230"/>
      <c r="BJ15" s="230"/>
      <c r="BK15" s="230"/>
      <c r="BL15" s="230"/>
      <c r="BM15" s="230"/>
      <c r="BN15" s="230"/>
      <c r="BO15" s="230"/>
      <c r="BP15" s="230"/>
      <c r="BQ15" s="230"/>
      <c r="BR15" s="230"/>
      <c r="BS15" s="230"/>
      <c r="BT15" s="230"/>
      <c r="BU15" s="230"/>
      <c r="BV15" s="230"/>
      <c r="BW15" s="230"/>
      <c r="BX15" s="230"/>
      <c r="BY15" s="230"/>
      <c r="BZ15" s="230"/>
      <c r="CA15" s="230"/>
      <c r="CB15" s="230"/>
    </row>
    <row r="16" spans="1:80" s="1158" customFormat="1">
      <c r="A16" s="1166" t="s">
        <v>657</v>
      </c>
      <c r="B16" s="1182" t="s">
        <v>874</v>
      </c>
      <c r="C16" s="1182" t="s">
        <v>18</v>
      </c>
      <c r="D16" s="1384"/>
      <c r="E16" s="802">
        <v>120000</v>
      </c>
      <c r="F16" s="802">
        <v>1490351</v>
      </c>
      <c r="G16" s="802">
        <v>4230309</v>
      </c>
      <c r="H16" s="802">
        <v>6850516</v>
      </c>
      <c r="I16" s="802">
        <v>6897878</v>
      </c>
      <c r="J16" s="802">
        <v>6871777</v>
      </c>
      <c r="K16" s="802">
        <v>6919397</v>
      </c>
      <c r="L16" s="803">
        <v>44317</v>
      </c>
      <c r="M16" s="803">
        <v>45992</v>
      </c>
      <c r="N16" s="804" t="s">
        <v>803</v>
      </c>
      <c r="O16" s="805">
        <v>0.8</v>
      </c>
      <c r="P16" s="1183">
        <v>0.45600000000000002</v>
      </c>
      <c r="Q16" s="1183">
        <v>0.1396</v>
      </c>
      <c r="R16" s="1183">
        <v>0.32079999999999997</v>
      </c>
      <c r="S16" s="1183">
        <v>8.3599999999999994E-2</v>
      </c>
      <c r="T16" s="806">
        <v>107868</v>
      </c>
      <c r="U16" s="809">
        <v>25467</v>
      </c>
      <c r="V16" s="809">
        <v>58527</v>
      </c>
      <c r="W16" s="809">
        <v>15255</v>
      </c>
      <c r="X16" s="806">
        <v>38126</v>
      </c>
      <c r="Y16" s="809">
        <v>0</v>
      </c>
      <c r="Z16" s="809">
        <v>0</v>
      </c>
      <c r="AA16" s="810">
        <v>0</v>
      </c>
      <c r="AB16" s="809">
        <v>405358</v>
      </c>
      <c r="AC16" s="809">
        <v>3088</v>
      </c>
      <c r="AD16" s="809">
        <v>8751</v>
      </c>
      <c r="AE16" s="810">
        <v>14500</v>
      </c>
      <c r="AF16" s="809">
        <v>748491</v>
      </c>
      <c r="AG16" s="809">
        <v>3178</v>
      </c>
      <c r="AH16" s="809">
        <v>8751</v>
      </c>
      <c r="AI16" s="810">
        <v>17500</v>
      </c>
      <c r="AJ16" s="809">
        <v>896554</v>
      </c>
      <c r="AK16" s="809">
        <v>7352</v>
      </c>
      <c r="AL16" s="809">
        <v>16801</v>
      </c>
      <c r="AM16" s="810">
        <v>13793</v>
      </c>
      <c r="AN16" s="809">
        <v>910924</v>
      </c>
      <c r="AO16" s="809">
        <v>7685</v>
      </c>
      <c r="AP16" s="809">
        <v>17305</v>
      </c>
      <c r="AQ16" s="810">
        <v>14144</v>
      </c>
      <c r="AR16" s="809">
        <v>994640</v>
      </c>
      <c r="AS16" s="809">
        <v>7864</v>
      </c>
      <c r="AT16" s="809">
        <v>17825</v>
      </c>
      <c r="AU16" s="813">
        <v>14522</v>
      </c>
      <c r="AV16" s="814">
        <v>978809</v>
      </c>
      <c r="AW16" s="809">
        <v>8168</v>
      </c>
      <c r="AX16" s="809">
        <v>18360</v>
      </c>
      <c r="AY16" s="815">
        <v>14939</v>
      </c>
      <c r="AZ16" s="230"/>
      <c r="BA16" s="230"/>
      <c r="BB16" s="230"/>
      <c r="BC16" s="230"/>
      <c r="BD16" s="230"/>
      <c r="BE16" s="230"/>
      <c r="BF16" s="230"/>
      <c r="BG16" s="230"/>
      <c r="BH16" s="230"/>
      <c r="BI16" s="230"/>
      <c r="BJ16" s="230"/>
      <c r="BK16" s="230"/>
      <c r="BL16" s="230"/>
      <c r="BM16" s="230"/>
      <c r="BN16" s="230"/>
      <c r="BO16" s="230"/>
      <c r="BP16" s="230"/>
      <c r="BQ16" s="230"/>
      <c r="BR16" s="230"/>
      <c r="BS16" s="230"/>
      <c r="BT16" s="230"/>
      <c r="BU16" s="230"/>
      <c r="BV16" s="230"/>
      <c r="BW16" s="230"/>
      <c r="BX16" s="230"/>
      <c r="BY16" s="230"/>
      <c r="BZ16" s="230"/>
      <c r="CA16" s="230"/>
      <c r="CB16" s="230"/>
    </row>
    <row r="17" spans="1:80" s="1158" customFormat="1">
      <c r="A17" s="1166" t="s">
        <v>657</v>
      </c>
      <c r="B17" s="1184" t="s">
        <v>875</v>
      </c>
      <c r="C17" s="1184" t="s">
        <v>23</v>
      </c>
      <c r="D17" s="1385"/>
      <c r="E17" s="802">
        <v>85000</v>
      </c>
      <c r="F17" s="820">
        <v>1000000</v>
      </c>
      <c r="G17" s="821">
        <v>1000000</v>
      </c>
      <c r="H17" s="813">
        <v>1000000</v>
      </c>
      <c r="I17" s="820">
        <v>1000000</v>
      </c>
      <c r="J17" s="821">
        <v>1000000</v>
      </c>
      <c r="K17" s="813">
        <v>1000000</v>
      </c>
      <c r="L17" s="822">
        <v>44409</v>
      </c>
      <c r="M17" s="822">
        <v>45658</v>
      </c>
      <c r="N17" s="823" t="s">
        <v>803</v>
      </c>
      <c r="O17" s="824">
        <v>0.8</v>
      </c>
      <c r="P17" s="1185">
        <v>0.45600000000000002</v>
      </c>
      <c r="Q17" s="1186">
        <v>0.1396</v>
      </c>
      <c r="R17" s="1186">
        <v>0.32079999999999997</v>
      </c>
      <c r="S17" s="1187">
        <v>8.3599999999999994E-2</v>
      </c>
      <c r="T17" s="825">
        <v>38760</v>
      </c>
      <c r="U17" s="825">
        <v>11865</v>
      </c>
      <c r="V17" s="825">
        <v>27268</v>
      </c>
      <c r="W17" s="825">
        <v>7107</v>
      </c>
      <c r="X17" s="826">
        <v>14395</v>
      </c>
      <c r="Y17" s="825">
        <v>0</v>
      </c>
      <c r="Z17" s="825">
        <v>0</v>
      </c>
      <c r="AA17" s="827">
        <v>597</v>
      </c>
      <c r="AB17" s="825">
        <v>167642</v>
      </c>
      <c r="AC17" s="825">
        <v>2883</v>
      </c>
      <c r="AD17" s="825">
        <v>5872</v>
      </c>
      <c r="AE17" s="827">
        <v>14500</v>
      </c>
      <c r="AF17" s="825">
        <v>170745</v>
      </c>
      <c r="AG17" s="825">
        <v>2900</v>
      </c>
      <c r="AH17" s="825">
        <v>5872</v>
      </c>
      <c r="AI17" s="827">
        <v>17500</v>
      </c>
      <c r="AJ17" s="825">
        <v>151701</v>
      </c>
      <c r="AK17" s="825">
        <v>20102</v>
      </c>
      <c r="AL17" s="825">
        <v>16801</v>
      </c>
      <c r="AM17" s="827">
        <v>15507</v>
      </c>
      <c r="AN17" s="825">
        <v>154655</v>
      </c>
      <c r="AO17" s="825">
        <v>20970</v>
      </c>
      <c r="AP17" s="825">
        <v>17305</v>
      </c>
      <c r="AQ17" s="827">
        <v>15931</v>
      </c>
      <c r="AR17" s="825">
        <v>159898</v>
      </c>
      <c r="AS17" s="825">
        <v>21670</v>
      </c>
      <c r="AT17" s="825">
        <v>17825</v>
      </c>
      <c r="AU17" s="828">
        <v>16382</v>
      </c>
      <c r="AV17" s="829">
        <v>162498</v>
      </c>
      <c r="AW17" s="825">
        <v>22424</v>
      </c>
      <c r="AX17" s="825">
        <v>18360</v>
      </c>
      <c r="AY17" s="830">
        <v>16874</v>
      </c>
      <c r="AZ17" s="230"/>
      <c r="BA17" s="230"/>
      <c r="BB17" s="230"/>
      <c r="BC17" s="230"/>
      <c r="BD17" s="230"/>
      <c r="BE17" s="230"/>
      <c r="BF17" s="230"/>
      <c r="BG17" s="230"/>
      <c r="BH17" s="230"/>
      <c r="BI17" s="230"/>
      <c r="BJ17" s="230"/>
      <c r="BK17" s="230"/>
      <c r="BL17" s="230"/>
      <c r="BM17" s="230"/>
      <c r="BN17" s="230"/>
      <c r="BO17" s="230"/>
      <c r="BP17" s="230"/>
      <c r="BQ17" s="230"/>
      <c r="BR17" s="230"/>
      <c r="BS17" s="230"/>
      <c r="BT17" s="230"/>
      <c r="BU17" s="230"/>
      <c r="BV17" s="230"/>
      <c r="BW17" s="230"/>
      <c r="BX17" s="230"/>
      <c r="BY17" s="230"/>
      <c r="BZ17" s="230"/>
      <c r="CA17" s="230"/>
      <c r="CB17" s="230"/>
    </row>
    <row r="18" spans="1:80" s="1158" customFormat="1">
      <c r="A18" s="1166" t="s">
        <v>657</v>
      </c>
      <c r="B18" s="1182" t="s">
        <v>876</v>
      </c>
      <c r="C18" s="1182" t="s">
        <v>18</v>
      </c>
      <c r="D18" s="1384" t="s">
        <v>227</v>
      </c>
      <c r="E18" s="831">
        <v>0</v>
      </c>
      <c r="F18" s="832">
        <v>1988742</v>
      </c>
      <c r="G18" s="802">
        <v>6135311</v>
      </c>
      <c r="H18" s="831">
        <v>5300000</v>
      </c>
      <c r="I18" s="832">
        <v>5300000</v>
      </c>
      <c r="J18" s="802">
        <v>5300000</v>
      </c>
      <c r="K18" s="831">
        <v>5300000</v>
      </c>
      <c r="L18" s="803">
        <v>44652</v>
      </c>
      <c r="M18" s="803">
        <v>45992</v>
      </c>
      <c r="N18" s="804" t="s">
        <v>803</v>
      </c>
      <c r="O18" s="1188">
        <v>0.8</v>
      </c>
      <c r="P18" s="1183">
        <v>0.45600000000000002</v>
      </c>
      <c r="Q18" s="1183">
        <v>0.1396</v>
      </c>
      <c r="R18" s="1183">
        <v>0.32079999999999997</v>
      </c>
      <c r="S18" s="1183">
        <v>8.3599999999999994E-2</v>
      </c>
      <c r="T18" s="833">
        <v>0</v>
      </c>
      <c r="U18" s="832">
        <v>0</v>
      </c>
      <c r="V18" s="809">
        <v>0</v>
      </c>
      <c r="W18" s="810">
        <v>0</v>
      </c>
      <c r="X18" s="833">
        <v>0</v>
      </c>
      <c r="Y18" s="832">
        <v>0</v>
      </c>
      <c r="Z18" s="809">
        <v>0</v>
      </c>
      <c r="AA18" s="810">
        <v>0</v>
      </c>
      <c r="AB18" s="833">
        <v>325526</v>
      </c>
      <c r="AC18" s="809">
        <v>3951</v>
      </c>
      <c r="AD18" s="809">
        <v>36113</v>
      </c>
      <c r="AE18" s="810">
        <v>15000</v>
      </c>
      <c r="AF18" s="818">
        <v>402588</v>
      </c>
      <c r="AG18" s="809">
        <v>5454</v>
      </c>
      <c r="AH18" s="809">
        <v>36113</v>
      </c>
      <c r="AI18" s="810">
        <v>18000</v>
      </c>
      <c r="AJ18" s="806">
        <v>445821</v>
      </c>
      <c r="AK18" s="832">
        <v>6928</v>
      </c>
      <c r="AL18" s="809">
        <v>82141</v>
      </c>
      <c r="AM18" s="810">
        <v>13793</v>
      </c>
      <c r="AN18" s="818">
        <v>481263</v>
      </c>
      <c r="AO18" s="809">
        <v>7228</v>
      </c>
      <c r="AP18" s="809">
        <v>84605</v>
      </c>
      <c r="AQ18" s="810">
        <v>14144</v>
      </c>
      <c r="AR18" s="818">
        <v>509631</v>
      </c>
      <c r="AS18" s="809">
        <v>7417</v>
      </c>
      <c r="AT18" s="809">
        <v>87143</v>
      </c>
      <c r="AU18" s="813">
        <v>14522</v>
      </c>
      <c r="AV18" s="834">
        <v>527216</v>
      </c>
      <c r="AW18" s="809">
        <v>7687</v>
      </c>
      <c r="AX18" s="809">
        <v>89758</v>
      </c>
      <c r="AY18" s="815">
        <v>14939</v>
      </c>
      <c r="AZ18" s="230"/>
      <c r="BA18" s="230"/>
      <c r="BB18" s="230"/>
      <c r="BC18" s="230"/>
      <c r="BD18" s="230"/>
      <c r="BE18" s="230"/>
      <c r="BF18" s="230"/>
      <c r="BG18" s="230"/>
      <c r="BH18" s="230"/>
      <c r="BI18" s="230"/>
      <c r="BJ18" s="230"/>
      <c r="BK18" s="230"/>
      <c r="BL18" s="230"/>
      <c r="BM18" s="230"/>
      <c r="BN18" s="230"/>
      <c r="BO18" s="230"/>
      <c r="BP18" s="230"/>
      <c r="BQ18" s="230"/>
      <c r="BR18" s="230"/>
      <c r="BS18" s="230"/>
      <c r="BT18" s="230"/>
      <c r="BU18" s="230"/>
      <c r="BV18" s="230"/>
      <c r="BW18" s="230"/>
      <c r="BX18" s="230"/>
      <c r="BY18" s="230"/>
      <c r="BZ18" s="230"/>
      <c r="CA18" s="230"/>
      <c r="CB18" s="230"/>
    </row>
    <row r="19" spans="1:80" s="1158" customFormat="1">
      <c r="A19" s="1166" t="s">
        <v>657</v>
      </c>
      <c r="B19" s="1182" t="s">
        <v>877</v>
      </c>
      <c r="C19" s="1182" t="s">
        <v>18</v>
      </c>
      <c r="D19" s="1384"/>
      <c r="E19" s="816">
        <v>7488000</v>
      </c>
      <c r="F19" s="802">
        <v>13737600</v>
      </c>
      <c r="G19" s="816">
        <v>14042880</v>
      </c>
      <c r="H19" s="816">
        <v>4305792</v>
      </c>
      <c r="I19" s="802">
        <v>0</v>
      </c>
      <c r="J19" s="816">
        <v>0</v>
      </c>
      <c r="K19" s="816">
        <v>0</v>
      </c>
      <c r="L19" s="817">
        <v>44075</v>
      </c>
      <c r="M19" s="817">
        <v>45444</v>
      </c>
      <c r="N19" s="804" t="s">
        <v>803</v>
      </c>
      <c r="O19" s="805">
        <v>1</v>
      </c>
      <c r="P19" s="1183">
        <v>0.44400000000000001</v>
      </c>
      <c r="Q19" s="1183">
        <v>0.155</v>
      </c>
      <c r="R19" s="1183">
        <v>0.40100000000000002</v>
      </c>
      <c r="S19" s="1183">
        <v>0</v>
      </c>
      <c r="T19" s="806">
        <v>386527</v>
      </c>
      <c r="U19" s="818">
        <v>134936</v>
      </c>
      <c r="V19" s="818">
        <v>349093</v>
      </c>
      <c r="W19" s="819">
        <v>0</v>
      </c>
      <c r="X19" s="809">
        <v>23405</v>
      </c>
      <c r="Y19" s="818">
        <v>391</v>
      </c>
      <c r="Z19" s="818">
        <v>0</v>
      </c>
      <c r="AA19" s="819">
        <v>0</v>
      </c>
      <c r="AB19" s="809">
        <v>381996</v>
      </c>
      <c r="AC19" s="809">
        <v>16695</v>
      </c>
      <c r="AD19" s="809">
        <v>291508</v>
      </c>
      <c r="AE19" s="810">
        <v>0</v>
      </c>
      <c r="AF19" s="809">
        <v>411089</v>
      </c>
      <c r="AG19" s="809">
        <v>14848</v>
      </c>
      <c r="AH19" s="809">
        <v>291508</v>
      </c>
      <c r="AI19" s="810">
        <v>0</v>
      </c>
      <c r="AJ19" s="818">
        <v>327647</v>
      </c>
      <c r="AK19" s="809">
        <v>6786</v>
      </c>
      <c r="AL19" s="809">
        <v>218742</v>
      </c>
      <c r="AM19" s="810">
        <v>0</v>
      </c>
      <c r="AN19" s="835" t="s">
        <v>878</v>
      </c>
      <c r="AO19" s="835" t="s">
        <v>657</v>
      </c>
      <c r="AP19" s="835">
        <v>0</v>
      </c>
      <c r="AQ19" s="836">
        <v>0</v>
      </c>
      <c r="AR19" s="835" t="s">
        <v>879</v>
      </c>
      <c r="AS19" s="835" t="s">
        <v>657</v>
      </c>
      <c r="AT19" s="835">
        <v>0</v>
      </c>
      <c r="AU19" s="837">
        <v>0</v>
      </c>
      <c r="AV19" s="838" t="s">
        <v>879</v>
      </c>
      <c r="AW19" s="835" t="s">
        <v>657</v>
      </c>
      <c r="AX19" s="835">
        <v>0</v>
      </c>
      <c r="AY19" s="839">
        <v>0</v>
      </c>
      <c r="AZ19" s="230"/>
      <c r="BA19" s="230"/>
      <c r="BB19" s="230"/>
      <c r="BC19" s="230"/>
      <c r="BD19" s="230"/>
      <c r="BE19" s="230"/>
      <c r="BF19" s="230"/>
      <c r="BG19" s="230"/>
      <c r="BH19" s="230"/>
      <c r="BI19" s="230"/>
      <c r="BJ19" s="230"/>
      <c r="BK19" s="230"/>
      <c r="BL19" s="230"/>
      <c r="BM19" s="230"/>
      <c r="BN19" s="230"/>
      <c r="BO19" s="230"/>
      <c r="BP19" s="230"/>
      <c r="BQ19" s="230"/>
      <c r="BR19" s="230"/>
      <c r="BS19" s="230"/>
      <c r="BT19" s="230"/>
      <c r="BU19" s="230"/>
      <c r="BV19" s="230"/>
      <c r="BW19" s="230"/>
      <c r="BX19" s="230"/>
      <c r="BY19" s="230"/>
      <c r="BZ19" s="230"/>
      <c r="CA19" s="230"/>
      <c r="CB19" s="230"/>
    </row>
    <row r="20" spans="1:80" s="1158" customFormat="1">
      <c r="A20" s="1166" t="s">
        <v>657</v>
      </c>
      <c r="B20" s="1182" t="s">
        <v>880</v>
      </c>
      <c r="C20" s="1182" t="s">
        <v>23</v>
      </c>
      <c r="D20" s="1384"/>
      <c r="E20" s="802">
        <v>0</v>
      </c>
      <c r="F20" s="802">
        <v>14857972</v>
      </c>
      <c r="G20" s="802">
        <v>18889144</v>
      </c>
      <c r="H20" s="802">
        <v>17819947</v>
      </c>
      <c r="I20" s="802">
        <v>17896999</v>
      </c>
      <c r="J20" s="802">
        <v>17897000</v>
      </c>
      <c r="K20" s="802">
        <v>17897000</v>
      </c>
      <c r="L20" s="840">
        <v>44440</v>
      </c>
      <c r="M20" s="840">
        <v>46722</v>
      </c>
      <c r="N20" s="804" t="s">
        <v>803</v>
      </c>
      <c r="O20" s="805">
        <v>1</v>
      </c>
      <c r="P20" s="1183">
        <v>0.44400000000000001</v>
      </c>
      <c r="Q20" s="1183">
        <v>0.155</v>
      </c>
      <c r="R20" s="1183">
        <v>0.40100000000000002</v>
      </c>
      <c r="S20" s="1183">
        <v>0</v>
      </c>
      <c r="T20" s="806">
        <v>0</v>
      </c>
      <c r="U20" s="809">
        <v>0</v>
      </c>
      <c r="V20" s="809">
        <v>0</v>
      </c>
      <c r="W20" s="810">
        <v>0</v>
      </c>
      <c r="X20" s="809">
        <v>0</v>
      </c>
      <c r="Y20" s="809">
        <v>0</v>
      </c>
      <c r="Z20" s="809">
        <v>0</v>
      </c>
      <c r="AA20" s="810">
        <v>0</v>
      </c>
      <c r="AB20" s="809">
        <v>346396</v>
      </c>
      <c r="AC20" s="809">
        <v>167639</v>
      </c>
      <c r="AD20" s="809">
        <v>337248</v>
      </c>
      <c r="AE20" s="810">
        <v>0</v>
      </c>
      <c r="AF20" s="809">
        <v>391569</v>
      </c>
      <c r="AG20" s="809">
        <v>220561</v>
      </c>
      <c r="AH20" s="809">
        <v>337248</v>
      </c>
      <c r="AI20" s="810">
        <v>0</v>
      </c>
      <c r="AJ20" s="806">
        <v>371614</v>
      </c>
      <c r="AK20" s="832">
        <v>523268</v>
      </c>
      <c r="AL20" s="809">
        <v>2218169</v>
      </c>
      <c r="AM20" s="810">
        <v>0</v>
      </c>
      <c r="AN20" s="811">
        <v>380224</v>
      </c>
      <c r="AO20" s="809">
        <v>537745</v>
      </c>
      <c r="AP20" s="809">
        <v>2244216</v>
      </c>
      <c r="AQ20" s="810">
        <v>0</v>
      </c>
      <c r="AR20" s="811">
        <v>393667</v>
      </c>
      <c r="AS20" s="809">
        <v>547351</v>
      </c>
      <c r="AT20" s="809">
        <v>2709719</v>
      </c>
      <c r="AU20" s="813">
        <v>0</v>
      </c>
      <c r="AV20" s="841">
        <v>389029</v>
      </c>
      <c r="AW20" s="809">
        <v>557872</v>
      </c>
      <c r="AX20" s="809">
        <v>2749013</v>
      </c>
      <c r="AY20" s="815">
        <v>0</v>
      </c>
      <c r="AZ20" s="230"/>
      <c r="BA20" s="230"/>
      <c r="BB20" s="230"/>
      <c r="BC20" s="230"/>
      <c r="BD20" s="230"/>
      <c r="BE20" s="230"/>
      <c r="BF20" s="230"/>
      <c r="BG20" s="230"/>
      <c r="BH20" s="230"/>
      <c r="BI20" s="230"/>
      <c r="BJ20" s="230"/>
      <c r="BK20" s="230"/>
      <c r="BL20" s="230"/>
      <c r="BM20" s="230"/>
      <c r="BN20" s="230"/>
      <c r="BO20" s="230"/>
      <c r="BP20" s="230"/>
      <c r="BQ20" s="230"/>
      <c r="BR20" s="230"/>
      <c r="BS20" s="230"/>
      <c r="BT20" s="230"/>
      <c r="BU20" s="230"/>
      <c r="BV20" s="230"/>
      <c r="BW20" s="230"/>
      <c r="BX20" s="230"/>
      <c r="BY20" s="230"/>
      <c r="BZ20" s="230"/>
      <c r="CA20" s="230"/>
      <c r="CB20" s="230"/>
    </row>
    <row r="21" spans="1:80" s="1158" customFormat="1">
      <c r="A21" s="1166" t="s">
        <v>657</v>
      </c>
      <c r="B21" s="1184" t="s">
        <v>881</v>
      </c>
      <c r="C21" s="1184" t="s">
        <v>18</v>
      </c>
      <c r="D21" s="1385"/>
      <c r="E21" s="820">
        <v>0</v>
      </c>
      <c r="F21" s="820">
        <v>1988742</v>
      </c>
      <c r="G21" s="820">
        <v>6135311</v>
      </c>
      <c r="H21" s="820">
        <v>4000000</v>
      </c>
      <c r="I21" s="820">
        <v>4000000</v>
      </c>
      <c r="J21" s="820">
        <v>4000000</v>
      </c>
      <c r="K21" s="820">
        <v>4000000</v>
      </c>
      <c r="L21" s="842">
        <v>44593</v>
      </c>
      <c r="M21" s="842">
        <v>45992</v>
      </c>
      <c r="N21" s="843" t="s">
        <v>803</v>
      </c>
      <c r="O21" s="824">
        <v>0.8</v>
      </c>
      <c r="P21" s="1185">
        <v>0.45600000000000002</v>
      </c>
      <c r="Q21" s="1186">
        <v>0.1396</v>
      </c>
      <c r="R21" s="1186">
        <v>0.32079999999999997</v>
      </c>
      <c r="S21" s="1187">
        <v>8.3599999999999994E-2</v>
      </c>
      <c r="T21" s="825">
        <v>0</v>
      </c>
      <c r="U21" s="825">
        <v>0</v>
      </c>
      <c r="V21" s="825">
        <v>0</v>
      </c>
      <c r="W21" s="827">
        <v>0</v>
      </c>
      <c r="X21" s="825">
        <v>0</v>
      </c>
      <c r="Y21" s="825">
        <v>0</v>
      </c>
      <c r="Z21" s="825">
        <v>0</v>
      </c>
      <c r="AA21" s="827">
        <v>0</v>
      </c>
      <c r="AB21" s="825">
        <v>336778</v>
      </c>
      <c r="AC21" s="825">
        <v>3952</v>
      </c>
      <c r="AD21" s="825">
        <v>36114</v>
      </c>
      <c r="AE21" s="827">
        <v>15000</v>
      </c>
      <c r="AF21" s="825">
        <v>414237</v>
      </c>
      <c r="AG21" s="825">
        <v>5454</v>
      </c>
      <c r="AH21" s="825">
        <v>36114</v>
      </c>
      <c r="AI21" s="827">
        <v>18000</v>
      </c>
      <c r="AJ21" s="844">
        <v>455695</v>
      </c>
      <c r="AK21" s="825">
        <v>6572</v>
      </c>
      <c r="AL21" s="825">
        <v>61960</v>
      </c>
      <c r="AM21" s="827">
        <v>13793</v>
      </c>
      <c r="AN21" s="825">
        <v>470079</v>
      </c>
      <c r="AO21" s="825">
        <v>6857</v>
      </c>
      <c r="AP21" s="825">
        <v>63820</v>
      </c>
      <c r="AQ21" s="827">
        <v>14144</v>
      </c>
      <c r="AR21" s="825">
        <v>480079</v>
      </c>
      <c r="AS21" s="825">
        <v>7047</v>
      </c>
      <c r="AT21" s="825">
        <v>65734</v>
      </c>
      <c r="AU21" s="828">
        <v>14522</v>
      </c>
      <c r="AV21" s="829">
        <v>477102</v>
      </c>
      <c r="AW21" s="825">
        <v>7301</v>
      </c>
      <c r="AX21" s="825">
        <v>67706</v>
      </c>
      <c r="AY21" s="830">
        <v>14939</v>
      </c>
      <c r="AZ21" s="230"/>
      <c r="BA21" s="230"/>
      <c r="BB21" s="230"/>
      <c r="BC21" s="230"/>
      <c r="BD21" s="230"/>
      <c r="BE21" s="230"/>
      <c r="BF21" s="230"/>
      <c r="BG21" s="230"/>
      <c r="BH21" s="230"/>
      <c r="BI21" s="230"/>
      <c r="BJ21" s="230"/>
      <c r="BK21" s="230"/>
      <c r="BL21" s="230"/>
      <c r="BM21" s="230"/>
      <c r="BN21" s="230"/>
      <c r="BO21" s="230"/>
      <c r="BP21" s="230"/>
      <c r="BQ21" s="230"/>
      <c r="BR21" s="230"/>
      <c r="BS21" s="230"/>
      <c r="BT21" s="230"/>
      <c r="BU21" s="230"/>
      <c r="BV21" s="230"/>
      <c r="BW21" s="230"/>
      <c r="BX21" s="230"/>
      <c r="BY21" s="230"/>
      <c r="BZ21" s="230"/>
      <c r="CA21" s="230"/>
      <c r="CB21" s="230"/>
    </row>
    <row r="22" spans="1:80" s="1158" customFormat="1">
      <c r="A22" s="1166" t="s">
        <v>657</v>
      </c>
      <c r="B22" s="1182" t="s">
        <v>882</v>
      </c>
      <c r="C22" s="1182" t="s">
        <v>23</v>
      </c>
      <c r="D22" s="1384" t="s">
        <v>228</v>
      </c>
      <c r="E22" s="802">
        <v>144325</v>
      </c>
      <c r="F22" s="802">
        <v>2053992</v>
      </c>
      <c r="G22" s="802">
        <v>4339776</v>
      </c>
      <c r="H22" s="802">
        <v>3000000</v>
      </c>
      <c r="I22" s="802">
        <v>3000000</v>
      </c>
      <c r="J22" s="802">
        <v>3000000</v>
      </c>
      <c r="K22" s="802">
        <v>3000000</v>
      </c>
      <c r="L22" s="803">
        <v>44348</v>
      </c>
      <c r="M22" s="803">
        <v>45505</v>
      </c>
      <c r="N22" s="804" t="s">
        <v>803</v>
      </c>
      <c r="O22" s="805">
        <v>0</v>
      </c>
      <c r="P22" s="1183">
        <v>0.504</v>
      </c>
      <c r="Q22" s="1183">
        <v>7.8E-2</v>
      </c>
      <c r="R22" s="1183">
        <v>0</v>
      </c>
      <c r="S22" s="1183">
        <v>0.41799999999999998</v>
      </c>
      <c r="T22" s="806">
        <v>56612</v>
      </c>
      <c r="U22" s="832">
        <v>8761</v>
      </c>
      <c r="V22" s="809">
        <v>0</v>
      </c>
      <c r="W22" s="810">
        <v>46952</v>
      </c>
      <c r="X22" s="806">
        <v>6309</v>
      </c>
      <c r="Y22" s="832">
        <v>0</v>
      </c>
      <c r="Z22" s="809">
        <v>0</v>
      </c>
      <c r="AA22" s="810">
        <v>0</v>
      </c>
      <c r="AB22" s="806">
        <v>341833</v>
      </c>
      <c r="AC22" s="832">
        <v>15812</v>
      </c>
      <c r="AD22" s="809">
        <v>0</v>
      </c>
      <c r="AE22" s="810">
        <v>310738</v>
      </c>
      <c r="AF22" s="806">
        <v>387006</v>
      </c>
      <c r="AG22" s="832">
        <v>20642</v>
      </c>
      <c r="AH22" s="809">
        <v>0</v>
      </c>
      <c r="AI22" s="810">
        <v>320933</v>
      </c>
      <c r="AJ22" s="806">
        <v>367051</v>
      </c>
      <c r="AK22" s="832">
        <v>71814</v>
      </c>
      <c r="AL22" s="809">
        <v>0</v>
      </c>
      <c r="AM22" s="810">
        <v>391390</v>
      </c>
      <c r="AN22" s="809">
        <v>375661</v>
      </c>
      <c r="AO22" s="809">
        <v>73323</v>
      </c>
      <c r="AP22" s="809">
        <v>0</v>
      </c>
      <c r="AQ22" s="810">
        <v>398861</v>
      </c>
      <c r="AR22" s="809">
        <v>389104</v>
      </c>
      <c r="AS22" s="809">
        <v>74144</v>
      </c>
      <c r="AT22" s="809">
        <v>0</v>
      </c>
      <c r="AU22" s="813">
        <v>407487</v>
      </c>
      <c r="AV22" s="814">
        <v>384466</v>
      </c>
      <c r="AW22" s="809">
        <v>75058</v>
      </c>
      <c r="AX22" s="809">
        <v>0</v>
      </c>
      <c r="AY22" s="815">
        <v>417308</v>
      </c>
      <c r="AZ22" s="230"/>
      <c r="BA22" s="230"/>
      <c r="BB22" s="230"/>
      <c r="BC22" s="230"/>
      <c r="BD22" s="230"/>
      <c r="BE22" s="230"/>
      <c r="BF22" s="230"/>
      <c r="BG22" s="230"/>
      <c r="BH22" s="230"/>
      <c r="BI22" s="230"/>
      <c r="BJ22" s="230"/>
      <c r="BK22" s="230"/>
      <c r="BL22" s="230"/>
      <c r="BM22" s="230"/>
      <c r="BN22" s="230"/>
      <c r="BO22" s="230"/>
      <c r="BP22" s="230"/>
      <c r="BQ22" s="230"/>
      <c r="BR22" s="230"/>
      <c r="BS22" s="230"/>
      <c r="BT22" s="230"/>
      <c r="BU22" s="230"/>
      <c r="BV22" s="230"/>
      <c r="BW22" s="230"/>
      <c r="BX22" s="230"/>
      <c r="BY22" s="230"/>
      <c r="BZ22" s="230"/>
      <c r="CA22" s="230"/>
      <c r="CB22" s="230"/>
    </row>
    <row r="23" spans="1:80" s="1158" customFormat="1">
      <c r="A23" s="1166" t="s">
        <v>657</v>
      </c>
      <c r="B23" s="1182" t="s">
        <v>883</v>
      </c>
      <c r="C23" s="1182" t="s">
        <v>18</v>
      </c>
      <c r="D23" s="1384"/>
      <c r="E23" s="816">
        <v>9862776</v>
      </c>
      <c r="F23" s="816">
        <v>15333260</v>
      </c>
      <c r="G23" s="816">
        <v>18343225</v>
      </c>
      <c r="H23" s="816">
        <v>15551303</v>
      </c>
      <c r="I23" s="816">
        <v>15551303</v>
      </c>
      <c r="J23" s="816">
        <v>15551303</v>
      </c>
      <c r="K23" s="816">
        <v>15551303</v>
      </c>
      <c r="L23" s="817">
        <v>44166</v>
      </c>
      <c r="M23" s="817">
        <v>45444</v>
      </c>
      <c r="N23" s="804" t="s">
        <v>803</v>
      </c>
      <c r="O23" s="805">
        <v>0.4</v>
      </c>
      <c r="P23" s="1183">
        <v>0.48</v>
      </c>
      <c r="Q23" s="1183">
        <v>0.10879999999999999</v>
      </c>
      <c r="R23" s="1183">
        <v>0.16039999999999999</v>
      </c>
      <c r="S23" s="1183">
        <v>0.25080000000000002</v>
      </c>
      <c r="T23" s="833">
        <v>4203199</v>
      </c>
      <c r="U23" s="809">
        <v>977554</v>
      </c>
      <c r="V23" s="809">
        <v>1441175</v>
      </c>
      <c r="W23" s="810">
        <v>2253409</v>
      </c>
      <c r="X23" s="818">
        <v>37405</v>
      </c>
      <c r="Y23" s="809">
        <v>391</v>
      </c>
      <c r="Z23" s="809">
        <v>0</v>
      </c>
      <c r="AA23" s="810">
        <v>0</v>
      </c>
      <c r="AB23" s="818">
        <v>569189</v>
      </c>
      <c r="AC23" s="809">
        <v>10157</v>
      </c>
      <c r="AD23" s="809">
        <v>45019</v>
      </c>
      <c r="AE23" s="810">
        <v>349768</v>
      </c>
      <c r="AF23" s="818">
        <v>638207</v>
      </c>
      <c r="AG23" s="809">
        <v>10589</v>
      </c>
      <c r="AH23" s="809">
        <v>45019</v>
      </c>
      <c r="AI23" s="810">
        <v>361868</v>
      </c>
      <c r="AJ23" s="806">
        <v>561157</v>
      </c>
      <c r="AK23" s="832">
        <v>8794</v>
      </c>
      <c r="AL23" s="809">
        <v>16801</v>
      </c>
      <c r="AM23" s="810">
        <v>421308</v>
      </c>
      <c r="AN23" s="806">
        <v>616366</v>
      </c>
      <c r="AO23" s="832">
        <v>9177</v>
      </c>
      <c r="AP23" s="809">
        <v>17305</v>
      </c>
      <c r="AQ23" s="810">
        <v>430176</v>
      </c>
      <c r="AR23" s="806">
        <v>620729</v>
      </c>
      <c r="AS23" s="832">
        <v>9358</v>
      </c>
      <c r="AT23" s="809">
        <v>17825</v>
      </c>
      <c r="AU23" s="813">
        <v>440166</v>
      </c>
      <c r="AV23" s="814">
        <v>605585</v>
      </c>
      <c r="AW23" s="832">
        <v>9713</v>
      </c>
      <c r="AX23" s="809">
        <v>18360</v>
      </c>
      <c r="AY23" s="815">
        <v>451402</v>
      </c>
      <c r="AZ23" s="230"/>
      <c r="BA23" s="230"/>
      <c r="BB23" s="230"/>
      <c r="BC23" s="230"/>
      <c r="BD23" s="230"/>
      <c r="BE23" s="230"/>
      <c r="BF23" s="230"/>
      <c r="BG23" s="230"/>
      <c r="BH23" s="230"/>
      <c r="BI23" s="230"/>
      <c r="BJ23" s="230"/>
      <c r="BK23" s="230"/>
      <c r="BL23" s="230"/>
      <c r="BM23" s="230"/>
      <c r="BN23" s="230"/>
      <c r="BO23" s="230"/>
      <c r="BP23" s="230"/>
      <c r="BQ23" s="230"/>
      <c r="BR23" s="230"/>
      <c r="BS23" s="230"/>
      <c r="BT23" s="230"/>
      <c r="BU23" s="230"/>
      <c r="BV23" s="230"/>
      <c r="BW23" s="230"/>
      <c r="BX23" s="230"/>
      <c r="BY23" s="230"/>
      <c r="BZ23" s="230"/>
      <c r="CA23" s="230"/>
      <c r="CB23" s="230"/>
    </row>
    <row r="24" spans="1:80" s="1189" customFormat="1">
      <c r="A24" s="1166" t="s">
        <v>657</v>
      </c>
      <c r="B24" s="1184" t="s">
        <v>884</v>
      </c>
      <c r="C24" s="1184" t="s">
        <v>18</v>
      </c>
      <c r="D24" s="1385"/>
      <c r="E24" s="820">
        <v>7324277</v>
      </c>
      <c r="F24" s="845">
        <v>14690333</v>
      </c>
      <c r="G24" s="845">
        <v>17252452</v>
      </c>
      <c r="H24" s="820">
        <v>14778076</v>
      </c>
      <c r="I24" s="845">
        <v>14766951</v>
      </c>
      <c r="J24" s="845">
        <v>14755324</v>
      </c>
      <c r="K24" s="820">
        <v>14743099</v>
      </c>
      <c r="L24" s="803">
        <v>44166</v>
      </c>
      <c r="M24" s="803">
        <v>45444</v>
      </c>
      <c r="N24" s="823" t="s">
        <v>803</v>
      </c>
      <c r="O24" s="824">
        <v>0.4</v>
      </c>
      <c r="P24" s="1185">
        <v>0.48</v>
      </c>
      <c r="Q24" s="1186">
        <v>0.10879999999999999</v>
      </c>
      <c r="R24" s="1186">
        <v>0.16039999999999999</v>
      </c>
      <c r="S24" s="1187">
        <v>0.25080000000000002</v>
      </c>
      <c r="T24" s="825">
        <v>1285267</v>
      </c>
      <c r="U24" s="825">
        <v>267195</v>
      </c>
      <c r="V24" s="825">
        <v>393129</v>
      </c>
      <c r="W24" s="827">
        <v>614689</v>
      </c>
      <c r="X24" s="825">
        <v>18867</v>
      </c>
      <c r="Y24" s="825">
        <v>391</v>
      </c>
      <c r="Z24" s="825">
        <v>0</v>
      </c>
      <c r="AA24" s="827">
        <v>902</v>
      </c>
      <c r="AB24" s="825">
        <v>500620</v>
      </c>
      <c r="AC24" s="825">
        <v>8134</v>
      </c>
      <c r="AD24" s="825">
        <v>43131</v>
      </c>
      <c r="AE24" s="827">
        <v>329239</v>
      </c>
      <c r="AF24" s="825">
        <v>563974</v>
      </c>
      <c r="AG24" s="825">
        <v>9039</v>
      </c>
      <c r="AH24" s="825">
        <v>43131</v>
      </c>
      <c r="AI24" s="827">
        <v>341942</v>
      </c>
      <c r="AJ24" s="844">
        <v>546206</v>
      </c>
      <c r="AK24" s="825">
        <v>8630</v>
      </c>
      <c r="AL24" s="825">
        <v>16801</v>
      </c>
      <c r="AM24" s="827">
        <v>524527</v>
      </c>
      <c r="AN24" s="844">
        <v>647458</v>
      </c>
      <c r="AO24" s="825">
        <v>9002</v>
      </c>
      <c r="AP24" s="825">
        <v>17305</v>
      </c>
      <c r="AQ24" s="827">
        <v>534295</v>
      </c>
      <c r="AR24" s="844">
        <v>663556</v>
      </c>
      <c r="AS24" s="825">
        <v>9182</v>
      </c>
      <c r="AT24" s="825">
        <v>17825</v>
      </c>
      <c r="AU24" s="828">
        <v>545646</v>
      </c>
      <c r="AV24" s="846">
        <v>660432</v>
      </c>
      <c r="AW24" s="825">
        <v>9713</v>
      </c>
      <c r="AX24" s="825">
        <v>18360</v>
      </c>
      <c r="AY24" s="830">
        <v>558610</v>
      </c>
      <c r="AZ24" s="230"/>
      <c r="BA24" s="230"/>
      <c r="BB24" s="230"/>
      <c r="BC24" s="230"/>
      <c r="BD24" s="230"/>
      <c r="BE24" s="230"/>
      <c r="BF24" s="230"/>
      <c r="BG24" s="230"/>
      <c r="BH24" s="230"/>
      <c r="BI24" s="230"/>
      <c r="BJ24" s="230"/>
      <c r="BK24" s="230"/>
      <c r="BL24" s="230"/>
      <c r="BM24" s="230"/>
      <c r="BN24" s="230"/>
      <c r="BO24" s="230"/>
      <c r="BP24" s="230"/>
      <c r="BQ24" s="230"/>
      <c r="BR24" s="230"/>
      <c r="BS24" s="230"/>
      <c r="BT24" s="230"/>
      <c r="BU24" s="230"/>
      <c r="BV24" s="230"/>
      <c r="BW24" s="230"/>
      <c r="BX24" s="230"/>
      <c r="BY24" s="230"/>
      <c r="BZ24" s="230"/>
      <c r="CA24" s="230"/>
      <c r="CB24" s="230"/>
    </row>
    <row r="25" spans="1:80" s="1158" customFormat="1">
      <c r="A25" s="1166" t="s">
        <v>657</v>
      </c>
      <c r="B25" s="1182" t="s">
        <v>885</v>
      </c>
      <c r="C25" s="1182" t="s">
        <v>23</v>
      </c>
      <c r="D25" s="1384" t="s">
        <v>226</v>
      </c>
      <c r="E25" s="832">
        <v>0</v>
      </c>
      <c r="F25" s="811">
        <v>0</v>
      </c>
      <c r="G25" s="811">
        <v>6900000</v>
      </c>
      <c r="H25" s="809">
        <v>6900000</v>
      </c>
      <c r="I25" s="847">
        <v>6900000</v>
      </c>
      <c r="J25" s="831">
        <v>6900000</v>
      </c>
      <c r="K25" s="832">
        <v>6900000</v>
      </c>
      <c r="L25" s="848">
        <v>44774</v>
      </c>
      <c r="M25" s="849">
        <v>45992</v>
      </c>
      <c r="N25" s="804" t="s">
        <v>803</v>
      </c>
      <c r="O25" s="805">
        <v>0.8</v>
      </c>
      <c r="P25" s="1183">
        <v>0.45600000000000002</v>
      </c>
      <c r="Q25" s="1183">
        <v>0.1396</v>
      </c>
      <c r="R25" s="1183">
        <v>0.32079999999999997</v>
      </c>
      <c r="S25" s="1183">
        <v>8.3599999999999994E-2</v>
      </c>
      <c r="T25" s="806">
        <v>0</v>
      </c>
      <c r="U25" s="832">
        <v>0</v>
      </c>
      <c r="V25" s="809">
        <v>0</v>
      </c>
      <c r="W25" s="810">
        <v>0</v>
      </c>
      <c r="X25" s="806">
        <v>0</v>
      </c>
      <c r="Y25" s="832">
        <v>0</v>
      </c>
      <c r="Z25" s="809">
        <v>0</v>
      </c>
      <c r="AA25" s="810">
        <v>0</v>
      </c>
      <c r="AB25" s="806">
        <v>0</v>
      </c>
      <c r="AC25" s="832">
        <v>0</v>
      </c>
      <c r="AD25" s="809">
        <v>0</v>
      </c>
      <c r="AE25" s="810">
        <v>0</v>
      </c>
      <c r="AF25" s="806">
        <v>288365</v>
      </c>
      <c r="AG25" s="832">
        <v>616495</v>
      </c>
      <c r="AH25" s="809">
        <v>0</v>
      </c>
      <c r="AI25" s="810">
        <v>20000</v>
      </c>
      <c r="AJ25" s="806">
        <v>351957</v>
      </c>
      <c r="AK25" s="832">
        <v>890498</v>
      </c>
      <c r="AL25" s="809">
        <v>16801</v>
      </c>
      <c r="AM25" s="810">
        <v>27394</v>
      </c>
      <c r="AN25" s="806">
        <v>386001</v>
      </c>
      <c r="AO25" s="832">
        <v>910958</v>
      </c>
      <c r="AP25" s="809">
        <v>17305</v>
      </c>
      <c r="AQ25" s="810">
        <v>28053</v>
      </c>
      <c r="AR25" s="806">
        <v>403496</v>
      </c>
      <c r="AS25" s="832">
        <v>926747</v>
      </c>
      <c r="AT25" s="809">
        <v>17825</v>
      </c>
      <c r="AU25" s="813">
        <v>28773</v>
      </c>
      <c r="AV25" s="814">
        <v>403090</v>
      </c>
      <c r="AW25" s="832">
        <v>939514</v>
      </c>
      <c r="AX25" s="809">
        <v>18360</v>
      </c>
      <c r="AY25" s="815">
        <v>29570</v>
      </c>
      <c r="AZ25" s="230"/>
      <c r="BA25" s="230"/>
      <c r="BB25" s="230"/>
      <c r="BC25" s="230"/>
      <c r="BD25" s="230"/>
      <c r="BE25" s="230"/>
      <c r="BF25" s="230"/>
      <c r="BG25" s="230"/>
      <c r="BH25" s="230"/>
      <c r="BI25" s="230"/>
      <c r="BJ25" s="230"/>
      <c r="BK25" s="230"/>
      <c r="BL25" s="230"/>
      <c r="BM25" s="230"/>
      <c r="BN25" s="230"/>
      <c r="BO25" s="230"/>
      <c r="BP25" s="230"/>
      <c r="BQ25" s="230"/>
      <c r="BR25" s="230"/>
      <c r="BS25" s="230"/>
      <c r="BT25" s="230"/>
      <c r="BU25" s="230"/>
      <c r="BV25" s="230"/>
      <c r="BW25" s="230"/>
      <c r="BX25" s="230"/>
      <c r="BY25" s="230"/>
      <c r="BZ25" s="230"/>
      <c r="CA25" s="230"/>
      <c r="CB25" s="230"/>
    </row>
    <row r="26" spans="1:80" s="1190" customFormat="1">
      <c r="A26" s="1166" t="s">
        <v>657</v>
      </c>
      <c r="B26" s="1182" t="s">
        <v>886</v>
      </c>
      <c r="C26" s="1182" t="s">
        <v>18</v>
      </c>
      <c r="D26" s="1384"/>
      <c r="E26" s="832">
        <v>0</v>
      </c>
      <c r="F26" s="809">
        <v>14735004</v>
      </c>
      <c r="G26" s="809">
        <v>15261637</v>
      </c>
      <c r="H26" s="809">
        <v>17762607</v>
      </c>
      <c r="I26" s="816">
        <v>14214403</v>
      </c>
      <c r="J26" s="816">
        <v>15758848</v>
      </c>
      <c r="K26" s="832">
        <v>18802888</v>
      </c>
      <c r="L26" s="850">
        <v>44562</v>
      </c>
      <c r="M26" s="803">
        <v>45627</v>
      </c>
      <c r="N26" s="804" t="s">
        <v>803</v>
      </c>
      <c r="O26" s="805">
        <v>0.8</v>
      </c>
      <c r="P26" s="1183">
        <v>0.45600000000000002</v>
      </c>
      <c r="Q26" s="1183">
        <v>0.1396</v>
      </c>
      <c r="R26" s="1183">
        <v>0.32079999999999997</v>
      </c>
      <c r="S26" s="1183">
        <v>8.3599999999999994E-2</v>
      </c>
      <c r="T26" s="833">
        <v>0</v>
      </c>
      <c r="U26" s="809">
        <v>0</v>
      </c>
      <c r="V26" s="809">
        <v>0</v>
      </c>
      <c r="W26" s="810">
        <v>0</v>
      </c>
      <c r="X26" s="818">
        <v>8364</v>
      </c>
      <c r="Y26" s="809">
        <v>0</v>
      </c>
      <c r="Z26" s="809">
        <v>0</v>
      </c>
      <c r="AA26" s="810">
        <v>0</v>
      </c>
      <c r="AB26" s="818">
        <v>421561</v>
      </c>
      <c r="AC26" s="809">
        <v>1357882</v>
      </c>
      <c r="AD26" s="809">
        <v>86524</v>
      </c>
      <c r="AE26" s="810">
        <v>20000</v>
      </c>
      <c r="AF26" s="818">
        <v>465031</v>
      </c>
      <c r="AG26" s="809">
        <v>1367330</v>
      </c>
      <c r="AH26" s="809">
        <v>86524</v>
      </c>
      <c r="AI26" s="810">
        <v>23000</v>
      </c>
      <c r="AJ26" s="806">
        <v>527939</v>
      </c>
      <c r="AK26" s="832">
        <v>1609586</v>
      </c>
      <c r="AL26" s="809">
        <v>16801</v>
      </c>
      <c r="AM26" s="810">
        <v>28454</v>
      </c>
      <c r="AN26" s="806">
        <v>506091</v>
      </c>
      <c r="AO26" s="832">
        <v>1606349</v>
      </c>
      <c r="AP26" s="809">
        <v>17305</v>
      </c>
      <c r="AQ26" s="810">
        <v>28985</v>
      </c>
      <c r="AR26" s="806">
        <v>546254</v>
      </c>
      <c r="AS26" s="832">
        <v>1621568</v>
      </c>
      <c r="AT26" s="809">
        <v>17825</v>
      </c>
      <c r="AU26" s="813">
        <v>29601</v>
      </c>
      <c r="AV26" s="814">
        <v>559531</v>
      </c>
      <c r="AW26" s="832">
        <v>1689733</v>
      </c>
      <c r="AX26" s="809">
        <v>18360</v>
      </c>
      <c r="AY26" s="815">
        <v>30305</v>
      </c>
      <c r="AZ26" s="230"/>
      <c r="BA26" s="230"/>
      <c r="BB26" s="230"/>
      <c r="BC26" s="230"/>
      <c r="BD26" s="230"/>
      <c r="BE26" s="230"/>
      <c r="BF26" s="230"/>
      <c r="BG26" s="230"/>
      <c r="BH26" s="230"/>
      <c r="BI26" s="230"/>
      <c r="BJ26" s="230"/>
      <c r="BK26" s="230"/>
      <c r="BL26" s="230"/>
      <c r="BM26" s="230"/>
      <c r="BN26" s="230"/>
      <c r="BO26" s="230"/>
      <c r="BP26" s="230"/>
      <c r="BQ26" s="230"/>
      <c r="BR26" s="230"/>
      <c r="BS26" s="230"/>
      <c r="BT26" s="230"/>
      <c r="BU26" s="230"/>
      <c r="BV26" s="230"/>
      <c r="BW26" s="230"/>
      <c r="BX26" s="230"/>
      <c r="BY26" s="230"/>
      <c r="BZ26" s="230"/>
      <c r="CA26" s="230"/>
      <c r="CB26" s="230"/>
    </row>
    <row r="27" spans="1:80" s="1190" customFormat="1">
      <c r="A27" s="1166" t="s">
        <v>657</v>
      </c>
      <c r="B27" s="1182" t="s">
        <v>887</v>
      </c>
      <c r="C27" s="1191" t="s">
        <v>18</v>
      </c>
      <c r="D27" s="1384"/>
      <c r="E27" s="851">
        <v>10195516</v>
      </c>
      <c r="F27" s="807">
        <v>13097045</v>
      </c>
      <c r="G27" s="809">
        <v>13681748</v>
      </c>
      <c r="H27" s="852" t="s">
        <v>657</v>
      </c>
      <c r="I27" s="853" t="s">
        <v>657</v>
      </c>
      <c r="J27" s="854" t="s">
        <v>657</v>
      </c>
      <c r="K27" s="855" t="s">
        <v>657</v>
      </c>
      <c r="L27" s="850">
        <v>44470</v>
      </c>
      <c r="M27" s="803">
        <v>45261</v>
      </c>
      <c r="N27" s="804" t="s">
        <v>803</v>
      </c>
      <c r="O27" s="805">
        <v>0.8</v>
      </c>
      <c r="P27" s="1183">
        <v>0.45600000000000002</v>
      </c>
      <c r="Q27" s="1183">
        <v>0.1396</v>
      </c>
      <c r="R27" s="1183">
        <v>0.32079999999999997</v>
      </c>
      <c r="S27" s="1183">
        <v>8.3599999999999994E-2</v>
      </c>
      <c r="T27" s="806">
        <v>2500752</v>
      </c>
      <c r="U27" s="809">
        <v>765581</v>
      </c>
      <c r="V27" s="809">
        <v>1759301</v>
      </c>
      <c r="W27" s="810">
        <v>458471</v>
      </c>
      <c r="X27" s="809">
        <v>18885</v>
      </c>
      <c r="Y27" s="809">
        <v>368567</v>
      </c>
      <c r="Z27" s="809">
        <v>0</v>
      </c>
      <c r="AA27" s="810">
        <v>0</v>
      </c>
      <c r="AB27" s="809">
        <v>483078</v>
      </c>
      <c r="AC27" s="809">
        <v>1105384</v>
      </c>
      <c r="AD27" s="809">
        <v>76906</v>
      </c>
      <c r="AE27" s="810">
        <v>20000</v>
      </c>
      <c r="AF27" s="809">
        <v>507301</v>
      </c>
      <c r="AG27" s="809">
        <v>1009270</v>
      </c>
      <c r="AH27" s="809">
        <v>76906</v>
      </c>
      <c r="AI27" s="810">
        <v>23000</v>
      </c>
      <c r="AJ27" s="856" t="s">
        <v>657</v>
      </c>
      <c r="AK27" s="835" t="s">
        <v>657</v>
      </c>
      <c r="AL27" s="835" t="s">
        <v>657</v>
      </c>
      <c r="AM27" s="836" t="s">
        <v>657</v>
      </c>
      <c r="AN27" s="856" t="s">
        <v>657</v>
      </c>
      <c r="AO27" s="835" t="s">
        <v>657</v>
      </c>
      <c r="AP27" s="835" t="s">
        <v>657</v>
      </c>
      <c r="AQ27" s="836" t="s">
        <v>657</v>
      </c>
      <c r="AR27" s="856" t="s">
        <v>657</v>
      </c>
      <c r="AS27" s="835" t="s">
        <v>657</v>
      </c>
      <c r="AT27" s="835" t="s">
        <v>657</v>
      </c>
      <c r="AU27" s="837" t="s">
        <v>657</v>
      </c>
      <c r="AV27" s="857" t="s">
        <v>657</v>
      </c>
      <c r="AW27" s="835" t="s">
        <v>657</v>
      </c>
      <c r="AX27" s="835" t="s">
        <v>657</v>
      </c>
      <c r="AY27" s="839" t="s">
        <v>657</v>
      </c>
      <c r="AZ27" s="230"/>
      <c r="BA27" s="230"/>
      <c r="BB27" s="230"/>
      <c r="BC27" s="230"/>
      <c r="BD27" s="230"/>
      <c r="BE27" s="230"/>
      <c r="BF27" s="230"/>
      <c r="BG27" s="230"/>
      <c r="BH27" s="230"/>
      <c r="BI27" s="230"/>
      <c r="BJ27" s="230"/>
      <c r="BK27" s="230"/>
      <c r="BL27" s="230"/>
      <c r="BM27" s="230"/>
      <c r="BN27" s="230"/>
      <c r="BO27" s="230"/>
      <c r="BP27" s="230"/>
      <c r="BQ27" s="230"/>
      <c r="BR27" s="230"/>
      <c r="BS27" s="230"/>
      <c r="BT27" s="230"/>
      <c r="BU27" s="230"/>
      <c r="BV27" s="230"/>
      <c r="BW27" s="230"/>
      <c r="BX27" s="230"/>
      <c r="BY27" s="230"/>
      <c r="BZ27" s="230"/>
      <c r="CA27" s="230"/>
      <c r="CB27" s="230"/>
    </row>
    <row r="28" spans="1:80" s="1190" customFormat="1">
      <c r="A28" s="1166" t="s">
        <v>657</v>
      </c>
      <c r="B28" s="1191" t="s">
        <v>888</v>
      </c>
      <c r="C28" s="1192" t="s">
        <v>18</v>
      </c>
      <c r="D28" s="1384"/>
      <c r="E28" s="858" t="s">
        <v>889</v>
      </c>
      <c r="F28" s="859" t="s">
        <v>889</v>
      </c>
      <c r="G28" s="852" t="s">
        <v>889</v>
      </c>
      <c r="H28" s="860">
        <v>9984609</v>
      </c>
      <c r="I28" s="860">
        <v>11810072</v>
      </c>
      <c r="J28" s="860">
        <v>12369453</v>
      </c>
      <c r="K28" s="860">
        <v>12956803</v>
      </c>
      <c r="L28" s="861">
        <v>45292</v>
      </c>
      <c r="M28" s="850">
        <v>46722</v>
      </c>
      <c r="N28" s="804" t="s">
        <v>803</v>
      </c>
      <c r="O28" s="805">
        <v>0.8</v>
      </c>
      <c r="P28" s="1183">
        <v>0.45600000000000002</v>
      </c>
      <c r="Q28" s="1183">
        <v>0.1396</v>
      </c>
      <c r="R28" s="1183">
        <v>0.32079999999999997</v>
      </c>
      <c r="S28" s="1183">
        <v>8.3599999999999994E-2</v>
      </c>
      <c r="T28" s="862" t="s">
        <v>657</v>
      </c>
      <c r="U28" s="852" t="s">
        <v>657</v>
      </c>
      <c r="V28" s="852" t="s">
        <v>657</v>
      </c>
      <c r="W28" s="863" t="s">
        <v>657</v>
      </c>
      <c r="X28" s="852" t="s">
        <v>657</v>
      </c>
      <c r="Y28" s="852" t="s">
        <v>657</v>
      </c>
      <c r="Z28" s="852" t="s">
        <v>657</v>
      </c>
      <c r="AA28" s="863" t="s">
        <v>657</v>
      </c>
      <c r="AB28" s="835" t="s">
        <v>890</v>
      </c>
      <c r="AC28" s="835" t="s">
        <v>891</v>
      </c>
      <c r="AD28" s="852" t="s">
        <v>657</v>
      </c>
      <c r="AE28" s="863" t="s">
        <v>657</v>
      </c>
      <c r="AF28" s="835" t="s">
        <v>892</v>
      </c>
      <c r="AG28" s="835" t="s">
        <v>891</v>
      </c>
      <c r="AH28" s="852" t="s">
        <v>657</v>
      </c>
      <c r="AI28" s="863" t="s">
        <v>657</v>
      </c>
      <c r="AJ28" s="807">
        <v>583314</v>
      </c>
      <c r="AK28" s="807">
        <v>1176668</v>
      </c>
      <c r="AL28" s="807">
        <v>13845</v>
      </c>
      <c r="AM28" s="808">
        <v>9923</v>
      </c>
      <c r="AN28" s="807">
        <v>345516</v>
      </c>
      <c r="AO28" s="807">
        <v>1197539</v>
      </c>
      <c r="AP28" s="807">
        <v>14261</v>
      </c>
      <c r="AQ28" s="808">
        <v>10132</v>
      </c>
      <c r="AR28" s="807">
        <v>359789</v>
      </c>
      <c r="AS28" s="807">
        <v>1222679</v>
      </c>
      <c r="AT28" s="807">
        <v>14688</v>
      </c>
      <c r="AU28" s="864">
        <v>10368</v>
      </c>
      <c r="AV28" s="865">
        <v>354704</v>
      </c>
      <c r="AW28" s="807">
        <v>1241181</v>
      </c>
      <c r="AX28" s="807">
        <v>15129</v>
      </c>
      <c r="AY28" s="866">
        <v>10633</v>
      </c>
      <c r="AZ28" s="230"/>
      <c r="BA28" s="230"/>
      <c r="BB28" s="230"/>
      <c r="BC28" s="230"/>
      <c r="BD28" s="230"/>
      <c r="BE28" s="230"/>
      <c r="BF28" s="230"/>
      <c r="BG28" s="230"/>
      <c r="BH28" s="230"/>
      <c r="BI28" s="230"/>
      <c r="BJ28" s="230"/>
      <c r="BK28" s="230"/>
      <c r="BL28" s="230"/>
      <c r="BM28" s="230"/>
      <c r="BN28" s="230"/>
      <c r="BO28" s="230"/>
      <c r="BP28" s="230"/>
      <c r="BQ28" s="230"/>
      <c r="BR28" s="230"/>
      <c r="BS28" s="230"/>
      <c r="BT28" s="230"/>
      <c r="BU28" s="230"/>
      <c r="BV28" s="230"/>
      <c r="BW28" s="230"/>
      <c r="BX28" s="230"/>
      <c r="BY28" s="230"/>
      <c r="BZ28" s="230"/>
      <c r="CA28" s="230"/>
      <c r="CB28" s="230"/>
    </row>
    <row r="29" spans="1:80" s="1190" customFormat="1">
      <c r="A29" s="1166" t="s">
        <v>657</v>
      </c>
      <c r="B29" s="1193" t="s">
        <v>893</v>
      </c>
      <c r="C29" s="1193" t="s">
        <v>18</v>
      </c>
      <c r="D29" s="1385"/>
      <c r="E29" s="867" t="s">
        <v>657</v>
      </c>
      <c r="F29" s="868" t="s">
        <v>889</v>
      </c>
      <c r="G29" s="868" t="s">
        <v>889</v>
      </c>
      <c r="H29" s="844">
        <v>3697140</v>
      </c>
      <c r="I29" s="844">
        <v>2419239</v>
      </c>
      <c r="J29" s="844">
        <v>2533370</v>
      </c>
      <c r="K29" s="844">
        <v>2653206</v>
      </c>
      <c r="L29" s="869">
        <v>45292</v>
      </c>
      <c r="M29" s="840">
        <v>46722</v>
      </c>
      <c r="N29" s="804" t="s">
        <v>803</v>
      </c>
      <c r="O29" s="805">
        <v>0.8</v>
      </c>
      <c r="P29" s="1183">
        <v>0.45600000000000002</v>
      </c>
      <c r="Q29" s="1183">
        <v>0.1396</v>
      </c>
      <c r="R29" s="1183">
        <v>0.32079999999999997</v>
      </c>
      <c r="S29" s="1183">
        <v>8.3599999999999994E-2</v>
      </c>
      <c r="T29" s="870" t="s">
        <v>657</v>
      </c>
      <c r="U29" s="856" t="s">
        <v>657</v>
      </c>
      <c r="V29" s="856" t="s">
        <v>657</v>
      </c>
      <c r="W29" s="871" t="s">
        <v>657</v>
      </c>
      <c r="X29" s="856" t="s">
        <v>657</v>
      </c>
      <c r="Y29" s="856" t="s">
        <v>657</v>
      </c>
      <c r="Z29" s="856" t="s">
        <v>657</v>
      </c>
      <c r="AA29" s="871" t="s">
        <v>657</v>
      </c>
      <c r="AB29" s="835" t="s">
        <v>890</v>
      </c>
      <c r="AC29" s="872" t="s">
        <v>891</v>
      </c>
      <c r="AD29" s="856" t="s">
        <v>657</v>
      </c>
      <c r="AE29" s="871" t="s">
        <v>657</v>
      </c>
      <c r="AF29" s="835" t="s">
        <v>892</v>
      </c>
      <c r="AG29" s="872" t="s">
        <v>891</v>
      </c>
      <c r="AH29" s="856" t="s">
        <v>657</v>
      </c>
      <c r="AI29" s="871" t="s">
        <v>657</v>
      </c>
      <c r="AJ29" s="818">
        <v>366643</v>
      </c>
      <c r="AK29" s="818">
        <v>322427</v>
      </c>
      <c r="AL29" s="818">
        <v>5912</v>
      </c>
      <c r="AM29" s="819">
        <v>27807</v>
      </c>
      <c r="AN29" s="818">
        <v>296932</v>
      </c>
      <c r="AO29" s="818">
        <v>306704</v>
      </c>
      <c r="AP29" s="818">
        <v>6089</v>
      </c>
      <c r="AQ29" s="819">
        <v>28322</v>
      </c>
      <c r="AR29" s="818">
        <v>308182</v>
      </c>
      <c r="AS29" s="818">
        <v>313926</v>
      </c>
      <c r="AT29" s="818">
        <v>6273</v>
      </c>
      <c r="AU29" s="873">
        <v>28921</v>
      </c>
      <c r="AV29" s="834">
        <v>301275</v>
      </c>
      <c r="AW29" s="818">
        <v>319910</v>
      </c>
      <c r="AX29" s="818">
        <v>6460</v>
      </c>
      <c r="AY29" s="874">
        <v>29606</v>
      </c>
      <c r="AZ29" s="230"/>
      <c r="BA29" s="230"/>
      <c r="BB29" s="230"/>
      <c r="BC29" s="230"/>
      <c r="BD29" s="230"/>
      <c r="BE29" s="230"/>
      <c r="BF29" s="230"/>
      <c r="BG29" s="230"/>
      <c r="BH29" s="230"/>
      <c r="BI29" s="230"/>
      <c r="BJ29" s="230"/>
      <c r="BK29" s="230"/>
      <c r="BL29" s="230"/>
      <c r="BM29" s="230"/>
      <c r="BN29" s="230"/>
      <c r="BO29" s="230"/>
      <c r="BP29" s="230"/>
      <c r="BQ29" s="230"/>
      <c r="BR29" s="230"/>
      <c r="BS29" s="230"/>
      <c r="BT29" s="230"/>
      <c r="BU29" s="230"/>
      <c r="BV29" s="230"/>
      <c r="BW29" s="230"/>
      <c r="BX29" s="230"/>
      <c r="BY29" s="230"/>
      <c r="BZ29" s="230"/>
      <c r="CA29" s="230"/>
      <c r="CB29" s="230"/>
    </row>
    <row r="30" spans="1:80" s="1158" customFormat="1">
      <c r="A30" s="1166" t="s">
        <v>657</v>
      </c>
      <c r="B30" s="1194" t="s">
        <v>222</v>
      </c>
      <c r="C30" s="1194" t="s">
        <v>657</v>
      </c>
      <c r="D30" s="1195" t="s">
        <v>657</v>
      </c>
      <c r="E30" s="1196">
        <v>50017656</v>
      </c>
      <c r="F30" s="1197">
        <v>116349047</v>
      </c>
      <c r="G30" s="1197">
        <v>162719112</v>
      </c>
      <c r="H30" s="1197">
        <v>169271899</v>
      </c>
      <c r="I30" s="1197">
        <v>167829700</v>
      </c>
      <c r="J30" s="1197">
        <v>163016955</v>
      </c>
      <c r="K30" s="1197">
        <v>167126626</v>
      </c>
      <c r="L30" s="1195" t="s">
        <v>657</v>
      </c>
      <c r="M30" s="1198" t="s">
        <v>657</v>
      </c>
      <c r="N30" s="1195" t="s">
        <v>657</v>
      </c>
      <c r="O30" s="1195" t="s">
        <v>657</v>
      </c>
      <c r="P30" s="1199" t="s">
        <v>657</v>
      </c>
      <c r="Q30" s="1199" t="s">
        <v>657</v>
      </c>
      <c r="R30" s="1199" t="s">
        <v>657</v>
      </c>
      <c r="S30" s="1200" t="s">
        <v>657</v>
      </c>
      <c r="T30" s="1201">
        <v>21592932</v>
      </c>
      <c r="U30" s="1202">
        <v>6046517</v>
      </c>
      <c r="V30" s="1202">
        <v>13213810</v>
      </c>
      <c r="W30" s="1202">
        <v>5704829</v>
      </c>
      <c r="X30" s="1202">
        <v>6755347</v>
      </c>
      <c r="Y30" s="1202">
        <v>554299</v>
      </c>
      <c r="Z30" s="1202" t="s">
        <v>894</v>
      </c>
      <c r="AA30" s="1202">
        <v>1499</v>
      </c>
      <c r="AB30" s="1202">
        <v>8641254</v>
      </c>
      <c r="AC30" s="1203">
        <v>2839535</v>
      </c>
      <c r="AD30" s="1202">
        <v>1245174</v>
      </c>
      <c r="AE30" s="1202">
        <v>1161745</v>
      </c>
      <c r="AF30" s="1202">
        <v>12041035</v>
      </c>
      <c r="AG30" s="1203">
        <v>3485052</v>
      </c>
      <c r="AH30" s="1202">
        <v>1246462</v>
      </c>
      <c r="AI30" s="1202">
        <v>1246643</v>
      </c>
      <c r="AJ30" s="1202">
        <v>14064640</v>
      </c>
      <c r="AK30" s="1202">
        <v>4989164</v>
      </c>
      <c r="AL30" s="1202">
        <v>3086700</v>
      </c>
      <c r="AM30" s="1202">
        <v>1620174</v>
      </c>
      <c r="AN30" s="1202">
        <v>14180650</v>
      </c>
      <c r="AO30" s="1202">
        <v>5031856</v>
      </c>
      <c r="AP30" s="1202">
        <v>2913496</v>
      </c>
      <c r="AQ30" s="1202">
        <v>1652558</v>
      </c>
      <c r="AR30" s="1202">
        <v>13992860</v>
      </c>
      <c r="AS30" s="1202">
        <v>5115935</v>
      </c>
      <c r="AT30" s="1202">
        <v>3399096</v>
      </c>
      <c r="AU30" s="1204">
        <v>1689505</v>
      </c>
      <c r="AV30" s="1205">
        <v>13942798</v>
      </c>
      <c r="AW30" s="1206">
        <v>5247646</v>
      </c>
      <c r="AX30" s="1206">
        <v>3459077</v>
      </c>
      <c r="AY30" s="1207">
        <v>1731328</v>
      </c>
      <c r="AZ30" s="230"/>
      <c r="BA30" s="1180"/>
      <c r="BB30" s="1180"/>
      <c r="BC30" s="1180"/>
      <c r="BD30" s="1180"/>
      <c r="BE30" s="1180"/>
      <c r="BF30" s="1180"/>
      <c r="BG30" s="1180"/>
      <c r="BH30" s="1180"/>
      <c r="BI30" s="1180"/>
      <c r="BJ30" s="1180"/>
      <c r="BK30" s="1180"/>
      <c r="BL30" s="1180"/>
      <c r="BM30" s="1180"/>
      <c r="BN30" s="1180"/>
      <c r="BO30" s="1180"/>
      <c r="BP30" s="1180"/>
      <c r="BQ30" s="1180"/>
      <c r="BR30" s="1180"/>
      <c r="BS30" s="1180"/>
      <c r="BT30" s="1180"/>
      <c r="BU30" s="1180"/>
      <c r="BV30" s="1180"/>
      <c r="BW30" s="1180"/>
      <c r="BX30" s="1180"/>
      <c r="BY30" s="1180"/>
      <c r="BZ30" s="1180"/>
      <c r="CA30" s="1180"/>
      <c r="CB30" s="1180"/>
    </row>
    <row r="31" spans="1:80" s="1190" customFormat="1">
      <c r="A31" s="717"/>
      <c r="B31" s="875" t="s">
        <v>657</v>
      </c>
      <c r="C31" s="875" t="s">
        <v>657</v>
      </c>
      <c r="D31" s="801" t="s">
        <v>657</v>
      </c>
      <c r="E31" s="801" t="s">
        <v>657</v>
      </c>
      <c r="F31" s="801" t="s">
        <v>657</v>
      </c>
      <c r="G31" s="801" t="s">
        <v>657</v>
      </c>
      <c r="H31" s="801" t="s">
        <v>657</v>
      </c>
      <c r="I31" s="801" t="s">
        <v>657</v>
      </c>
      <c r="J31" s="801" t="s">
        <v>657</v>
      </c>
      <c r="K31" s="801" t="s">
        <v>657</v>
      </c>
      <c r="L31" s="801" t="s">
        <v>657</v>
      </c>
      <c r="M31" s="801" t="s">
        <v>657</v>
      </c>
      <c r="N31" s="801" t="s">
        <v>657</v>
      </c>
      <c r="O31" s="230"/>
      <c r="P31" s="230"/>
      <c r="Q31" s="230"/>
      <c r="R31" s="230"/>
      <c r="S31" s="230"/>
      <c r="T31" s="230"/>
      <c r="U31" s="230"/>
      <c r="V31" s="230"/>
      <c r="W31" s="230"/>
      <c r="X31" s="230"/>
      <c r="Y31" s="230"/>
      <c r="Z31" s="230"/>
      <c r="AA31" s="230"/>
      <c r="AB31" s="230"/>
      <c r="AC31" s="230"/>
      <c r="AD31" s="230"/>
      <c r="AE31" s="230"/>
      <c r="AF31" s="230"/>
      <c r="AG31" s="230"/>
      <c r="AH31" s="230"/>
      <c r="AI31" s="230"/>
      <c r="AJ31" s="230"/>
      <c r="AK31" s="230"/>
      <c r="AL31" s="230"/>
      <c r="AM31" s="230"/>
      <c r="AN31" s="801" t="s">
        <v>657</v>
      </c>
      <c r="AO31" s="230"/>
      <c r="AP31" s="230"/>
      <c r="AQ31" s="230"/>
      <c r="AR31" s="230"/>
      <c r="AS31" s="230"/>
      <c r="AT31" s="230"/>
      <c r="AU31" s="230"/>
      <c r="AV31" s="801" t="s">
        <v>657</v>
      </c>
      <c r="AW31" s="230"/>
      <c r="AX31" s="230"/>
      <c r="AY31" s="230"/>
      <c r="AZ31" s="230"/>
      <c r="BA31" s="230"/>
      <c r="BB31" s="230"/>
      <c r="BC31" s="230"/>
      <c r="BD31" s="230"/>
      <c r="BE31" s="230"/>
      <c r="BF31" s="230"/>
      <c r="BG31" s="230"/>
      <c r="BH31" s="230"/>
      <c r="BI31" s="230"/>
      <c r="BJ31" s="230"/>
      <c r="BK31" s="230"/>
      <c r="BL31" s="230"/>
      <c r="BM31" s="230"/>
      <c r="BN31" s="230"/>
      <c r="BO31" s="230"/>
      <c r="BP31" s="230"/>
      <c r="BQ31" s="230"/>
      <c r="BR31" s="230"/>
      <c r="BS31" s="230"/>
      <c r="BT31" s="230"/>
      <c r="BU31" s="230"/>
      <c r="BV31" s="230"/>
      <c r="BW31" s="230"/>
      <c r="BX31" s="230"/>
      <c r="BY31" s="230"/>
      <c r="BZ31" s="230"/>
      <c r="CA31" s="230"/>
      <c r="CB31" s="230"/>
    </row>
    <row r="32" spans="1:80">
      <c r="A32" s="717"/>
      <c r="B32" s="801" t="s">
        <v>895</v>
      </c>
      <c r="C32" s="801" t="s">
        <v>657</v>
      </c>
      <c r="D32" s="801" t="s">
        <v>657</v>
      </c>
      <c r="E32" s="801" t="s">
        <v>657</v>
      </c>
      <c r="F32" s="801" t="s">
        <v>657</v>
      </c>
      <c r="G32" s="801" t="s">
        <v>657</v>
      </c>
      <c r="H32" s="801" t="s">
        <v>657</v>
      </c>
      <c r="I32" s="801" t="s">
        <v>657</v>
      </c>
      <c r="J32" s="801" t="s">
        <v>657</v>
      </c>
      <c r="K32" s="230"/>
      <c r="L32" s="230"/>
      <c r="M32" s="230"/>
      <c r="N32" s="230"/>
      <c r="O32" s="230"/>
      <c r="P32" s="230"/>
      <c r="Q32" s="230"/>
      <c r="R32" s="230"/>
      <c r="S32" s="230"/>
      <c r="T32" s="230"/>
      <c r="U32" s="230"/>
      <c r="V32" s="230"/>
      <c r="W32" s="230"/>
      <c r="X32" s="230"/>
      <c r="Y32" s="230"/>
      <c r="Z32" s="230"/>
      <c r="AA32" s="230"/>
      <c r="AB32" s="230"/>
      <c r="AC32" s="230"/>
      <c r="AD32" s="230"/>
      <c r="AE32" s="230"/>
      <c r="AF32" s="230"/>
      <c r="AG32" s="230"/>
      <c r="AH32" s="230"/>
      <c r="AI32" s="230"/>
      <c r="AJ32" s="801" t="s">
        <v>657</v>
      </c>
      <c r="AK32" s="230"/>
      <c r="AL32" s="230"/>
      <c r="AM32" s="230"/>
      <c r="AN32" s="230"/>
      <c r="AO32" s="230"/>
      <c r="AP32" s="230"/>
      <c r="AQ32" s="230"/>
      <c r="AR32" s="801" t="s">
        <v>657</v>
      </c>
      <c r="AS32" s="230"/>
      <c r="AT32" s="230"/>
      <c r="AU32" s="230"/>
      <c r="AV32" s="230"/>
      <c r="AW32" s="230"/>
      <c r="AX32" s="230"/>
      <c r="AY32" s="230"/>
      <c r="AZ32" s="230"/>
      <c r="BA32" s="230"/>
      <c r="BB32" s="230"/>
      <c r="BC32" s="230"/>
      <c r="BD32" s="230"/>
      <c r="BE32" s="230"/>
      <c r="BF32" s="230"/>
      <c r="BG32" s="230"/>
      <c r="BH32" s="230"/>
      <c r="BI32" s="230"/>
      <c r="BJ32" s="230"/>
      <c r="BK32" s="230"/>
      <c r="BL32" s="230"/>
      <c r="BM32" s="230"/>
      <c r="BN32" s="230"/>
      <c r="BO32" s="230"/>
      <c r="BP32" s="230"/>
      <c r="BQ32" s="230"/>
      <c r="BR32" s="230"/>
      <c r="BS32" s="230"/>
      <c r="BT32" s="230"/>
      <c r="BU32" s="230"/>
      <c r="BV32" s="230"/>
      <c r="BW32" s="230"/>
      <c r="BX32" s="230"/>
      <c r="BY32" s="886"/>
      <c r="BZ32" s="886"/>
      <c r="CA32" s="886"/>
      <c r="CB32" s="886"/>
    </row>
    <row r="33" spans="1:80">
      <c r="A33" s="717"/>
      <c r="B33" s="895" t="s">
        <v>896</v>
      </c>
      <c r="C33" s="230"/>
      <c r="D33" s="230"/>
      <c r="E33" s="230"/>
      <c r="F33" s="230"/>
      <c r="G33" s="230"/>
      <c r="H33" s="230"/>
      <c r="I33" s="230"/>
      <c r="J33" s="230"/>
      <c r="K33" s="230"/>
      <c r="L33" s="230"/>
      <c r="M33" s="230"/>
      <c r="N33" s="230"/>
      <c r="O33" s="230"/>
      <c r="P33" s="230"/>
      <c r="Q33" s="230"/>
      <c r="R33" s="230"/>
      <c r="S33" s="230"/>
      <c r="T33" s="230"/>
      <c r="U33" s="230"/>
      <c r="V33" s="230"/>
      <c r="W33" s="230"/>
      <c r="X33" s="230"/>
      <c r="Y33" s="230"/>
      <c r="Z33" s="230"/>
      <c r="AA33" s="230"/>
      <c r="AB33" s="230"/>
      <c r="AC33" s="230"/>
      <c r="AD33" s="230"/>
      <c r="AE33" s="230"/>
      <c r="AF33" s="230"/>
      <c r="AG33" s="230"/>
      <c r="AH33" s="230"/>
      <c r="AI33" s="230"/>
      <c r="AJ33" s="230"/>
      <c r="AK33" s="230"/>
      <c r="AL33" s="230"/>
      <c r="AM33" s="230"/>
      <c r="AN33" s="230"/>
      <c r="AO33" s="230"/>
      <c r="AP33" s="230"/>
      <c r="AQ33" s="230"/>
      <c r="AR33" s="230"/>
      <c r="AS33" s="230"/>
      <c r="AT33" s="230"/>
      <c r="AU33" s="230"/>
      <c r="AV33" s="230"/>
      <c r="AW33" s="230"/>
      <c r="AX33" s="230"/>
      <c r="AY33" s="230"/>
      <c r="AZ33" s="230"/>
      <c r="BA33" s="230"/>
      <c r="BB33" s="230"/>
      <c r="BC33" s="230"/>
      <c r="BD33" s="230"/>
      <c r="BE33" s="230"/>
      <c r="BF33" s="230"/>
      <c r="BG33" s="230"/>
      <c r="BH33" s="230"/>
      <c r="BI33" s="230"/>
      <c r="BJ33" s="230"/>
      <c r="BK33" s="230"/>
      <c r="BL33" s="230"/>
      <c r="BM33" s="230"/>
      <c r="BN33" s="230"/>
      <c r="BO33" s="230"/>
      <c r="BP33" s="230"/>
      <c r="BQ33" s="230"/>
      <c r="BR33" s="230"/>
      <c r="BS33" s="230"/>
      <c r="BT33" s="230"/>
      <c r="BU33" s="230"/>
      <c r="BV33" s="886"/>
      <c r="BW33" s="886"/>
      <c r="BX33" s="886"/>
      <c r="BY33" s="886"/>
      <c r="BZ33" s="886"/>
      <c r="CA33" s="886"/>
      <c r="CB33" s="886"/>
    </row>
    <row r="34" spans="1:80">
      <c r="A34" s="717"/>
      <c r="B34" s="895" t="s">
        <v>897</v>
      </c>
      <c r="C34" s="230"/>
      <c r="D34" s="230"/>
      <c r="E34" s="230"/>
      <c r="F34" s="230"/>
      <c r="G34" s="230"/>
      <c r="H34" s="230"/>
      <c r="I34" s="230"/>
      <c r="J34" s="230"/>
      <c r="K34" s="230"/>
      <c r="L34" s="230"/>
      <c r="M34" s="230"/>
      <c r="N34" s="230"/>
      <c r="O34" s="230"/>
      <c r="P34" s="230"/>
      <c r="Q34" s="230"/>
      <c r="R34" s="230"/>
      <c r="S34" s="230"/>
      <c r="T34" s="230"/>
      <c r="U34" s="230"/>
      <c r="V34" s="230"/>
      <c r="W34" s="230"/>
      <c r="X34" s="230"/>
      <c r="Y34" s="230"/>
      <c r="Z34" s="230"/>
      <c r="AA34" s="230"/>
      <c r="AB34" s="230"/>
      <c r="AC34" s="230"/>
      <c r="AD34" s="230"/>
      <c r="AE34" s="230"/>
      <c r="AF34" s="230"/>
      <c r="AG34" s="230"/>
      <c r="AH34" s="230"/>
      <c r="AI34" s="230"/>
      <c r="AJ34" s="230"/>
      <c r="AK34" s="230"/>
      <c r="AL34" s="230"/>
      <c r="AM34" s="230"/>
      <c r="AN34" s="230"/>
      <c r="AO34" s="230"/>
      <c r="AP34" s="230"/>
      <c r="AQ34" s="230"/>
      <c r="AR34" s="230"/>
      <c r="AS34" s="230"/>
      <c r="AT34" s="230"/>
      <c r="AU34" s="230"/>
      <c r="AV34" s="230"/>
      <c r="AW34" s="230"/>
      <c r="AX34" s="230"/>
      <c r="AY34" s="230"/>
      <c r="AZ34" s="230"/>
      <c r="BA34" s="230"/>
      <c r="BB34" s="230"/>
      <c r="BC34" s="230"/>
      <c r="BD34" s="230"/>
      <c r="BE34" s="230"/>
      <c r="BF34" s="230"/>
      <c r="BG34" s="230"/>
      <c r="BH34" s="230"/>
      <c r="BI34" s="230"/>
      <c r="BJ34" s="230"/>
      <c r="BK34" s="230"/>
      <c r="BL34" s="230"/>
      <c r="BM34" s="230"/>
      <c r="BN34" s="230"/>
      <c r="BO34" s="230"/>
      <c r="BP34" s="230"/>
      <c r="BQ34" s="230"/>
      <c r="BT34" s="886"/>
      <c r="BU34" s="886"/>
      <c r="BV34" s="886"/>
      <c r="BW34" s="886"/>
      <c r="BX34" s="886"/>
      <c r="BY34" s="886"/>
      <c r="BZ34" s="886"/>
      <c r="CA34" s="886"/>
      <c r="CB34" s="886"/>
    </row>
    <row r="35" spans="1:80">
      <c r="A35" s="717"/>
      <c r="B35" s="895" t="s">
        <v>898</v>
      </c>
      <c r="C35" s="230"/>
      <c r="D35" s="230"/>
      <c r="E35" s="230"/>
      <c r="F35" s="230"/>
      <c r="G35" s="230"/>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0"/>
      <c r="AY35" s="230"/>
      <c r="AZ35" s="230"/>
      <c r="BA35" s="230"/>
      <c r="BB35" s="230"/>
      <c r="BC35" s="230"/>
      <c r="BD35" s="230"/>
      <c r="BE35" s="230"/>
      <c r="BF35" s="230"/>
      <c r="BG35" s="230"/>
      <c r="BH35" s="230"/>
      <c r="BI35" s="230"/>
      <c r="BJ35" s="230"/>
      <c r="BK35" s="230"/>
      <c r="BL35" s="230"/>
      <c r="BM35" s="230"/>
      <c r="BN35" s="230"/>
      <c r="BT35" s="886"/>
      <c r="BU35" s="886"/>
      <c r="BV35" s="886"/>
      <c r="BW35" s="886"/>
      <c r="BX35" s="886"/>
      <c r="BY35" s="886"/>
      <c r="BZ35" s="886"/>
      <c r="CA35" s="886"/>
      <c r="CB35" s="886"/>
    </row>
    <row r="36" spans="1:80">
      <c r="A36" s="717"/>
      <c r="B36" s="895" t="s">
        <v>899</v>
      </c>
      <c r="C36" s="230"/>
      <c r="D36" s="230"/>
      <c r="E36" s="230"/>
      <c r="F36" s="230"/>
      <c r="G36" s="230"/>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0"/>
      <c r="BK36" s="230"/>
      <c r="BL36" s="230"/>
      <c r="BM36" s="230"/>
      <c r="BN36" s="230"/>
      <c r="BO36" s="230"/>
      <c r="BP36" s="230"/>
      <c r="BQ36" s="230"/>
      <c r="BR36" s="230"/>
      <c r="BS36" s="230"/>
      <c r="BT36" s="230"/>
      <c r="BU36" s="230"/>
      <c r="BV36" s="230"/>
      <c r="BW36" s="230"/>
      <c r="BX36" s="230"/>
      <c r="BY36" s="886"/>
      <c r="BZ36" s="886"/>
      <c r="CA36" s="886"/>
      <c r="CB36" s="886"/>
    </row>
    <row r="37" spans="1:80">
      <c r="A37" s="717"/>
      <c r="B37" s="1386" t="s">
        <v>900</v>
      </c>
      <c r="C37" s="1386"/>
      <c r="D37" s="1386"/>
      <c r="E37" s="1386"/>
      <c r="F37" s="1386"/>
      <c r="G37" s="1386"/>
      <c r="H37" s="1386"/>
      <c r="I37" s="1386"/>
      <c r="J37" s="1386"/>
      <c r="K37" s="1386"/>
      <c r="L37" s="1386"/>
      <c r="M37" s="1386"/>
      <c r="N37" s="1386"/>
      <c r="O37" s="1386"/>
      <c r="P37" s="1386"/>
      <c r="Q37" s="1386"/>
      <c r="R37" s="1386"/>
      <c r="S37" s="1386"/>
      <c r="T37" s="1386"/>
      <c r="U37" s="1386"/>
      <c r="V37" s="1386"/>
      <c r="W37" s="1386"/>
      <c r="X37" s="1386"/>
      <c r="Y37" s="1386"/>
      <c r="Z37" s="1386"/>
      <c r="AA37" s="1386"/>
      <c r="AB37" s="1386"/>
      <c r="AC37" s="1386"/>
      <c r="AD37" s="1386"/>
      <c r="AE37" s="1386"/>
      <c r="AF37" s="1386"/>
      <c r="AG37" s="1386"/>
      <c r="AH37" s="1386"/>
      <c r="AI37" s="1386"/>
      <c r="AJ37" s="230"/>
      <c r="AK37" s="230"/>
      <c r="AL37" s="230"/>
      <c r="AM37" s="230"/>
      <c r="AN37" s="230"/>
      <c r="AO37" s="230"/>
      <c r="AP37" s="230"/>
      <c r="AQ37" s="230"/>
      <c r="AR37" s="230"/>
      <c r="AS37" s="230"/>
      <c r="AT37" s="230"/>
      <c r="AU37" s="230"/>
      <c r="AV37" s="230"/>
      <c r="AW37" s="230"/>
      <c r="AX37" s="230"/>
      <c r="AY37" s="230"/>
      <c r="AZ37" s="230"/>
      <c r="BA37" s="230"/>
      <c r="BB37" s="230"/>
      <c r="BC37" s="230"/>
      <c r="BD37" s="230"/>
      <c r="BE37" s="230"/>
      <c r="BF37" s="230"/>
      <c r="BG37" s="230"/>
      <c r="BH37" s="230"/>
      <c r="BI37" s="230"/>
      <c r="BJ37" s="230"/>
      <c r="BK37" s="230"/>
      <c r="BL37" s="230"/>
      <c r="BM37" s="230"/>
      <c r="BN37" s="230"/>
      <c r="BO37" s="230"/>
      <c r="BP37" s="230"/>
      <c r="BQ37" s="230"/>
      <c r="BR37" s="230"/>
      <c r="BS37" s="230"/>
      <c r="BT37" s="230"/>
      <c r="BU37" s="230"/>
      <c r="BV37" s="230"/>
      <c r="BW37" s="230"/>
      <c r="BX37" s="230"/>
      <c r="BY37" s="230"/>
      <c r="BZ37" s="230"/>
      <c r="CA37" s="230"/>
      <c r="CB37" s="230"/>
    </row>
    <row r="38" spans="1:80">
      <c r="A38" s="717"/>
      <c r="B38" s="230"/>
      <c r="C38" s="230"/>
      <c r="D38" s="230"/>
      <c r="E38" s="230"/>
      <c r="F38" s="230"/>
      <c r="G38" s="230"/>
      <c r="H38" s="230"/>
      <c r="I38" s="230"/>
      <c r="J38" s="230"/>
      <c r="K38" s="230"/>
      <c r="L38" s="230"/>
      <c r="M38" s="230"/>
      <c r="N38" s="230"/>
      <c r="O38" s="230"/>
      <c r="P38" s="230"/>
      <c r="Q38" s="230"/>
      <c r="R38" s="230"/>
      <c r="S38" s="230"/>
      <c r="T38" s="230"/>
      <c r="U38" s="230"/>
      <c r="V38" s="230"/>
      <c r="W38" s="230"/>
      <c r="X38" s="230"/>
      <c r="Y38" s="230"/>
      <c r="Z38" s="230"/>
      <c r="AA38" s="230"/>
      <c r="AB38" s="230"/>
      <c r="AC38" s="230"/>
      <c r="AD38" s="230"/>
      <c r="AE38" s="230"/>
      <c r="AF38" s="230"/>
      <c r="AG38" s="230"/>
      <c r="AH38" s="230"/>
      <c r="AI38" s="230"/>
      <c r="AJ38" s="1208"/>
      <c r="AK38" s="1208"/>
      <c r="AL38" s="1208"/>
      <c r="AM38" s="1208"/>
      <c r="AN38" s="230"/>
      <c r="AO38" s="230"/>
      <c r="AP38" s="230"/>
      <c r="AQ38" s="230"/>
      <c r="AR38" s="1208"/>
      <c r="AS38" s="1208"/>
      <c r="AT38" s="1208"/>
      <c r="AU38" s="1208"/>
      <c r="AV38" s="230"/>
      <c r="AW38" s="230"/>
      <c r="AX38" s="230"/>
      <c r="AY38" s="230"/>
      <c r="AZ38" s="1208"/>
      <c r="BA38" s="1208"/>
      <c r="BB38" s="1208"/>
      <c r="BC38" s="1208"/>
      <c r="BD38" s="230"/>
      <c r="BE38" s="230"/>
      <c r="BF38" s="230"/>
      <c r="BG38" s="230"/>
      <c r="BH38" s="1208"/>
      <c r="BI38" s="1208"/>
      <c r="BJ38" s="1208"/>
      <c r="BK38" s="1208"/>
      <c r="BL38" s="230"/>
      <c r="BM38" s="230"/>
      <c r="BN38" s="230"/>
      <c r="BO38" s="230"/>
      <c r="BP38" s="1208"/>
      <c r="BQ38" s="1208"/>
      <c r="BR38" s="1208"/>
      <c r="BS38" s="1208"/>
      <c r="BT38" s="230"/>
      <c r="BU38" s="230"/>
      <c r="BV38" s="230"/>
      <c r="BW38" s="230"/>
      <c r="BX38" s="230"/>
      <c r="BY38" s="230"/>
      <c r="BZ38" s="230"/>
      <c r="CA38" s="230"/>
      <c r="CB38" s="230"/>
    </row>
    <row r="39" spans="1:80">
      <c r="A39" s="717"/>
      <c r="B39" s="717"/>
      <c r="C39" s="717"/>
      <c r="D39" s="230"/>
      <c r="E39" s="230"/>
      <c r="F39" s="230"/>
      <c r="G39" s="230"/>
      <c r="H39" s="230"/>
      <c r="I39" s="230"/>
      <c r="J39" s="230"/>
      <c r="K39" s="230"/>
      <c r="L39" s="230"/>
      <c r="M39" s="230"/>
      <c r="N39" s="230"/>
      <c r="O39" s="230"/>
      <c r="P39" s="230"/>
      <c r="Q39" s="230"/>
      <c r="R39" s="230"/>
      <c r="S39" s="230"/>
      <c r="T39" s="230"/>
      <c r="U39" s="230"/>
      <c r="V39" s="230"/>
      <c r="W39" s="230"/>
      <c r="X39" s="230"/>
      <c r="Y39" s="230"/>
      <c r="Z39" s="230"/>
      <c r="AA39" s="230"/>
      <c r="AB39" s="230"/>
      <c r="AC39" s="230"/>
      <c r="AD39" s="230"/>
      <c r="AE39" s="230"/>
      <c r="AF39" s="230"/>
      <c r="AG39" s="230"/>
      <c r="AH39" s="230"/>
      <c r="AI39" s="230"/>
      <c r="AJ39" s="230"/>
      <c r="AK39" s="230"/>
      <c r="AL39" s="230"/>
      <c r="AM39" s="230"/>
      <c r="AN39" s="230"/>
      <c r="AO39" s="230"/>
      <c r="AP39" s="230"/>
      <c r="AQ39" s="230"/>
      <c r="AR39" s="230"/>
      <c r="AS39" s="230"/>
      <c r="AT39" s="230"/>
      <c r="AU39" s="230"/>
      <c r="AV39" s="230"/>
      <c r="AW39" s="230"/>
      <c r="AX39" s="230"/>
      <c r="AY39" s="230"/>
      <c r="AZ39" s="230"/>
      <c r="BA39" s="230"/>
      <c r="BB39" s="230"/>
      <c r="BC39" s="230"/>
      <c r="BD39" s="230"/>
      <c r="BE39" s="230"/>
      <c r="BF39" s="230"/>
      <c r="BG39" s="230"/>
      <c r="BH39" s="230"/>
      <c r="BI39" s="230"/>
      <c r="BJ39" s="230"/>
      <c r="BK39" s="230"/>
      <c r="BL39" s="230"/>
      <c r="BM39" s="230"/>
      <c r="BN39" s="230"/>
      <c r="BO39" s="230"/>
      <c r="BP39" s="230"/>
      <c r="BQ39" s="230"/>
      <c r="BR39" s="230"/>
      <c r="BS39" s="230"/>
      <c r="BT39" s="230"/>
      <c r="BU39" s="230"/>
      <c r="BV39" s="230"/>
      <c r="BW39" s="230"/>
      <c r="BX39" s="230"/>
      <c r="BY39" s="230"/>
      <c r="BZ39" s="230"/>
      <c r="CA39" s="230"/>
      <c r="CB39" s="230"/>
    </row>
    <row r="40" spans="1:80">
      <c r="A40" s="230"/>
      <c r="B40" s="717"/>
      <c r="C40" s="717"/>
      <c r="D40" s="230"/>
      <c r="E40" s="230"/>
      <c r="F40" s="230"/>
      <c r="G40" s="230"/>
      <c r="H40" s="230"/>
      <c r="I40" s="230"/>
      <c r="J40" s="230"/>
      <c r="K40" s="230"/>
      <c r="L40" s="1382" t="s">
        <v>901</v>
      </c>
      <c r="M40" s="1383"/>
      <c r="N40" s="1383"/>
      <c r="O40" s="1383"/>
      <c r="P40" s="1383"/>
      <c r="Q40" s="1209" t="s">
        <v>657</v>
      </c>
      <c r="R40" s="1210" t="s">
        <v>657</v>
      </c>
      <c r="S40" s="230"/>
      <c r="T40" s="230"/>
      <c r="U40" s="230"/>
      <c r="V40" s="230"/>
      <c r="W40" s="230"/>
      <c r="X40" s="230"/>
      <c r="Y40" s="230"/>
      <c r="Z40" s="230"/>
      <c r="AA40" s="230"/>
      <c r="AB40" s="230"/>
      <c r="AC40" s="230"/>
      <c r="AD40" s="230"/>
      <c r="AE40" s="230"/>
      <c r="AF40" s="230"/>
      <c r="AG40" s="230"/>
      <c r="AH40" s="230"/>
      <c r="AI40" s="230"/>
      <c r="AJ40" s="230"/>
      <c r="AK40" s="230"/>
      <c r="AL40" s="230"/>
      <c r="AM40" s="230"/>
      <c r="AN40" s="230"/>
      <c r="AO40" s="230"/>
      <c r="AP40" s="230"/>
      <c r="AQ40" s="230"/>
      <c r="AR40" s="230"/>
      <c r="AS40" s="230"/>
      <c r="AT40" s="230"/>
      <c r="AU40" s="230"/>
      <c r="AV40" s="230"/>
      <c r="AW40" s="230"/>
      <c r="AX40" s="230"/>
      <c r="AY40" s="230"/>
      <c r="AZ40" s="230"/>
      <c r="BA40" s="230"/>
      <c r="BB40" s="230"/>
      <c r="BC40" s="230"/>
      <c r="BD40" s="230"/>
      <c r="BE40" s="230"/>
      <c r="BF40" s="230"/>
      <c r="BG40" s="230"/>
      <c r="BH40" s="230"/>
      <c r="BI40" s="230"/>
      <c r="BJ40" s="230"/>
      <c r="BK40" s="230"/>
      <c r="BL40" s="230"/>
      <c r="BM40" s="230"/>
      <c r="BN40" s="230"/>
      <c r="BO40" s="230"/>
      <c r="BP40" s="230"/>
      <c r="BQ40" s="230"/>
      <c r="BR40" s="230"/>
      <c r="BS40" s="230"/>
      <c r="BT40" s="230"/>
      <c r="BU40" s="230"/>
      <c r="BV40" s="230"/>
      <c r="BW40" s="230"/>
      <c r="BX40" s="230"/>
      <c r="BY40" s="230"/>
      <c r="BZ40" s="230"/>
      <c r="CA40" s="230"/>
      <c r="CB40" s="230"/>
    </row>
    <row r="41" spans="1:80" ht="42.75">
      <c r="A41" s="230"/>
      <c r="B41" s="717"/>
      <c r="C41" s="717"/>
      <c r="D41" s="230"/>
      <c r="E41" s="230"/>
      <c r="F41" s="230"/>
      <c r="G41" s="230"/>
      <c r="H41" s="230"/>
      <c r="I41" s="230"/>
      <c r="J41" s="230"/>
      <c r="K41" s="230"/>
      <c r="L41" s="1211" t="s">
        <v>902</v>
      </c>
      <c r="M41" s="1212" t="s">
        <v>903</v>
      </c>
      <c r="N41" s="1212" t="s">
        <v>904</v>
      </c>
      <c r="O41" s="1212" t="s">
        <v>905</v>
      </c>
      <c r="P41" s="1213" t="s">
        <v>906</v>
      </c>
      <c r="Q41" s="230"/>
      <c r="R41" s="230"/>
      <c r="S41" s="230"/>
      <c r="T41" s="230"/>
      <c r="U41" s="230"/>
      <c r="V41" s="230"/>
      <c r="W41" s="230"/>
      <c r="X41" s="230"/>
      <c r="Y41" s="230"/>
      <c r="Z41" s="230"/>
      <c r="AA41" s="230"/>
      <c r="AB41" s="230"/>
      <c r="AC41" s="230"/>
      <c r="AD41" s="230"/>
      <c r="AE41" s="230"/>
      <c r="AF41" s="230"/>
      <c r="AG41" s="230"/>
      <c r="AH41" s="230"/>
      <c r="AI41" s="230"/>
      <c r="AJ41" s="230"/>
      <c r="AK41" s="230"/>
      <c r="AL41" s="230"/>
      <c r="AM41" s="230"/>
      <c r="AN41" s="230"/>
      <c r="AO41" s="230"/>
      <c r="AP41" s="230"/>
      <c r="AQ41" s="230"/>
      <c r="AR41" s="230"/>
      <c r="AS41" s="230"/>
      <c r="AT41" s="230"/>
      <c r="AU41" s="230"/>
      <c r="AV41" s="230"/>
      <c r="AW41" s="230"/>
      <c r="AX41" s="230"/>
      <c r="AY41" s="230"/>
      <c r="AZ41" s="230"/>
      <c r="BA41" s="230"/>
      <c r="BB41" s="230"/>
      <c r="BC41" s="230"/>
      <c r="BD41" s="230"/>
      <c r="BE41" s="230"/>
      <c r="BF41" s="230"/>
      <c r="BG41" s="230"/>
      <c r="BH41" s="230"/>
      <c r="BI41" s="230"/>
      <c r="BJ41" s="230"/>
      <c r="BK41" s="230"/>
      <c r="BL41" s="230"/>
      <c r="BM41" s="230"/>
      <c r="BN41" s="230"/>
      <c r="BO41" s="230"/>
      <c r="BP41" s="230"/>
      <c r="BQ41" s="230"/>
      <c r="BR41" s="230"/>
      <c r="BS41" s="230"/>
      <c r="BT41" s="230"/>
      <c r="BU41" s="230"/>
      <c r="BV41" s="230"/>
      <c r="BW41" s="230"/>
      <c r="BX41" s="230"/>
      <c r="BY41" s="230"/>
      <c r="BZ41" s="230"/>
      <c r="CA41" s="230"/>
      <c r="CB41" s="230"/>
    </row>
    <row r="42" spans="1:80">
      <c r="A42" s="230"/>
      <c r="B42" s="717"/>
      <c r="C42" s="717"/>
      <c r="D42" s="230"/>
      <c r="E42" s="230"/>
      <c r="F42" s="230"/>
      <c r="G42" s="230"/>
      <c r="H42" s="230"/>
      <c r="I42" s="230"/>
      <c r="J42" s="230"/>
      <c r="K42" s="230"/>
      <c r="L42" s="1214" t="s">
        <v>225</v>
      </c>
      <c r="M42" s="876">
        <v>0.8</v>
      </c>
      <c r="N42" s="876">
        <v>0.2</v>
      </c>
      <c r="O42" s="877">
        <v>0.44400000000000001</v>
      </c>
      <c r="P42" s="878">
        <v>0.504</v>
      </c>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0"/>
      <c r="AY42" s="230"/>
      <c r="AZ42" s="230"/>
      <c r="BA42" s="230"/>
      <c r="BB42" s="230"/>
      <c r="BC42" s="230"/>
      <c r="BD42" s="230"/>
      <c r="BE42" s="230"/>
      <c r="BF42" s="230"/>
      <c r="BG42" s="230"/>
      <c r="BH42" s="230"/>
      <c r="BI42" s="230"/>
      <c r="BJ42" s="230"/>
      <c r="BK42" s="230"/>
      <c r="BL42" s="230"/>
      <c r="BM42" s="230"/>
      <c r="BN42" s="230"/>
      <c r="BO42" s="230"/>
      <c r="BP42" s="230"/>
      <c r="BQ42" s="230"/>
      <c r="BR42" s="230"/>
      <c r="BS42" s="230"/>
      <c r="BT42" s="230"/>
      <c r="BU42" s="230"/>
      <c r="BV42" s="230"/>
      <c r="BW42" s="230"/>
      <c r="BX42" s="230"/>
      <c r="BY42" s="230"/>
      <c r="BZ42" s="230"/>
      <c r="CA42" s="230"/>
      <c r="CB42" s="230"/>
    </row>
    <row r="43" spans="1:80">
      <c r="A43" s="230"/>
      <c r="B43" s="717"/>
      <c r="C43" s="717"/>
      <c r="D43" s="230"/>
      <c r="E43" s="230"/>
      <c r="F43" s="230"/>
      <c r="G43" s="230"/>
      <c r="H43" s="230"/>
      <c r="I43" s="230"/>
      <c r="J43" s="230"/>
      <c r="K43" s="230"/>
      <c r="L43" s="1211" t="s">
        <v>226</v>
      </c>
      <c r="M43" s="879">
        <v>0.9</v>
      </c>
      <c r="N43" s="879">
        <v>0.1</v>
      </c>
      <c r="O43" s="880">
        <v>0.155</v>
      </c>
      <c r="P43" s="881">
        <v>7.8E-2</v>
      </c>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0"/>
      <c r="AY43" s="230"/>
      <c r="AZ43" s="230"/>
      <c r="BA43" s="230"/>
      <c r="BB43" s="230"/>
      <c r="BC43" s="230"/>
      <c r="BD43" s="230"/>
      <c r="BE43" s="230"/>
      <c r="BF43" s="230"/>
      <c r="BG43" s="230"/>
      <c r="BH43" s="230"/>
      <c r="BI43" s="230"/>
      <c r="BJ43" s="230"/>
      <c r="BK43" s="230"/>
      <c r="BL43" s="230"/>
      <c r="BM43" s="230"/>
      <c r="BN43" s="230"/>
      <c r="BO43" s="230"/>
      <c r="BP43" s="230"/>
      <c r="BQ43" s="230"/>
      <c r="BR43" s="230"/>
      <c r="BS43" s="230"/>
      <c r="BT43" s="230"/>
      <c r="BU43" s="230"/>
      <c r="BV43" s="230"/>
      <c r="BW43" s="230"/>
      <c r="BX43" s="230"/>
      <c r="BY43" s="230"/>
      <c r="BZ43" s="230"/>
      <c r="CA43" s="230"/>
      <c r="CB43" s="230"/>
    </row>
    <row r="44" spans="1:80">
      <c r="A44" s="230"/>
      <c r="B44" s="717"/>
      <c r="C44" s="717"/>
      <c r="D44" s="230"/>
      <c r="E44" s="230"/>
      <c r="F44" s="230"/>
      <c r="G44" s="230"/>
      <c r="H44" s="230"/>
      <c r="I44" s="230"/>
      <c r="J44" s="230"/>
      <c r="K44" s="230"/>
      <c r="L44" s="1211" t="s">
        <v>227</v>
      </c>
      <c r="M44" s="879">
        <v>1</v>
      </c>
      <c r="N44" s="879">
        <v>0</v>
      </c>
      <c r="O44" s="880">
        <v>0.40100000000000002</v>
      </c>
      <c r="P44" s="881">
        <v>0</v>
      </c>
      <c r="Q44" s="230"/>
      <c r="R44" s="230"/>
      <c r="S44" s="230"/>
      <c r="T44" s="230"/>
      <c r="U44" s="230"/>
      <c r="V44" s="230"/>
      <c r="W44" s="230"/>
      <c r="X44" s="230"/>
      <c r="Y44" s="230"/>
      <c r="Z44" s="230"/>
      <c r="AA44" s="230"/>
      <c r="AB44" s="230"/>
      <c r="AC44" s="230"/>
      <c r="AD44" s="230"/>
      <c r="AE44" s="230"/>
      <c r="AF44" s="230"/>
      <c r="AG44" s="230"/>
      <c r="AH44" s="230"/>
      <c r="AI44" s="230"/>
      <c r="AJ44" s="230"/>
      <c r="AK44" s="230"/>
      <c r="AL44" s="230"/>
      <c r="AM44" s="230"/>
      <c r="AN44" s="230"/>
      <c r="AO44" s="230"/>
      <c r="AP44" s="230"/>
      <c r="AQ44" s="230"/>
      <c r="AR44" s="230"/>
      <c r="AS44" s="230"/>
      <c r="AT44" s="230"/>
      <c r="AU44" s="230"/>
      <c r="AV44" s="230"/>
      <c r="AW44" s="230"/>
      <c r="AX44" s="230"/>
      <c r="AY44" s="230"/>
      <c r="AZ44" s="230"/>
      <c r="BA44" s="230"/>
      <c r="BB44" s="230"/>
      <c r="BC44" s="230"/>
      <c r="BD44" s="230"/>
      <c r="BE44" s="230"/>
      <c r="BF44" s="230"/>
      <c r="BG44" s="230"/>
      <c r="BH44" s="230"/>
      <c r="BI44" s="230"/>
      <c r="BJ44" s="230"/>
      <c r="BK44" s="230"/>
      <c r="BL44" s="230"/>
      <c r="BM44" s="230"/>
      <c r="BN44" s="230"/>
      <c r="BO44" s="230"/>
      <c r="BP44" s="230"/>
      <c r="BQ44" s="230"/>
      <c r="BR44" s="230"/>
      <c r="BS44" s="230"/>
      <c r="BT44" s="230"/>
      <c r="BU44" s="230"/>
      <c r="BV44" s="230"/>
      <c r="BW44" s="230"/>
      <c r="BX44" s="230"/>
      <c r="BY44" s="230"/>
      <c r="BZ44" s="230"/>
      <c r="CA44" s="230"/>
      <c r="CB44" s="230"/>
    </row>
    <row r="45" spans="1:80">
      <c r="A45" s="230"/>
      <c r="B45" s="717"/>
      <c r="C45" s="717"/>
      <c r="D45" s="230"/>
      <c r="E45" s="230"/>
      <c r="F45" s="230"/>
      <c r="G45" s="230"/>
      <c r="H45" s="230"/>
      <c r="I45" s="230"/>
      <c r="J45" s="230"/>
      <c r="K45" s="230"/>
      <c r="L45" s="1215" t="s">
        <v>1</v>
      </c>
      <c r="M45" s="882">
        <v>0</v>
      </c>
      <c r="N45" s="882">
        <v>1</v>
      </c>
      <c r="O45" s="883">
        <v>0</v>
      </c>
      <c r="P45" s="884">
        <v>0.41799999999999998</v>
      </c>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0"/>
      <c r="AY45" s="230"/>
      <c r="AZ45" s="230"/>
      <c r="BA45" s="230"/>
      <c r="BB45" s="230"/>
      <c r="BC45" s="230"/>
      <c r="BD45" s="230"/>
      <c r="BE45" s="230"/>
      <c r="BF45" s="230"/>
      <c r="BG45" s="230"/>
      <c r="BH45" s="230"/>
      <c r="BI45" s="230"/>
      <c r="BJ45" s="230"/>
      <c r="BK45" s="230"/>
      <c r="BL45" s="230"/>
      <c r="BM45" s="230"/>
      <c r="BN45" s="230"/>
      <c r="BO45" s="230"/>
      <c r="BP45" s="230"/>
      <c r="BQ45" s="230"/>
      <c r="BR45" s="230"/>
      <c r="BS45" s="230"/>
      <c r="BT45" s="230"/>
      <c r="BU45" s="230"/>
      <c r="BV45" s="230"/>
      <c r="BW45" s="230"/>
      <c r="BX45" s="230"/>
      <c r="BY45" s="230"/>
      <c r="BZ45" s="230"/>
      <c r="CA45" s="230"/>
      <c r="CB45" s="230"/>
    </row>
    <row r="46" spans="1:80">
      <c r="A46" s="230"/>
      <c r="B46" s="717"/>
      <c r="C46" s="717"/>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c r="AH46" s="230"/>
      <c r="AI46" s="230"/>
      <c r="AJ46" s="230"/>
      <c r="AK46" s="230"/>
      <c r="AL46" s="230"/>
      <c r="AM46" s="230"/>
      <c r="AN46" s="230"/>
      <c r="AO46" s="230"/>
      <c r="AP46" s="230"/>
      <c r="AQ46" s="230"/>
      <c r="AR46" s="230"/>
      <c r="AS46" s="230"/>
      <c r="AT46" s="230"/>
      <c r="AU46" s="230"/>
      <c r="AV46" s="230"/>
      <c r="AW46" s="230"/>
      <c r="AX46" s="230"/>
      <c r="AY46" s="230"/>
      <c r="AZ46" s="230"/>
      <c r="BA46" s="230"/>
      <c r="BB46" s="230"/>
      <c r="BC46" s="230"/>
      <c r="BD46" s="230"/>
      <c r="BE46" s="230"/>
      <c r="BF46" s="230"/>
      <c r="BG46" s="230"/>
      <c r="BH46" s="230"/>
      <c r="BI46" s="230"/>
      <c r="BJ46" s="230"/>
      <c r="BK46" s="230"/>
      <c r="BL46" s="230"/>
      <c r="BM46" s="230"/>
      <c r="BN46" s="230"/>
      <c r="BO46" s="230"/>
      <c r="BP46" s="230"/>
      <c r="BQ46" s="230"/>
      <c r="BR46" s="230"/>
      <c r="BS46" s="230"/>
      <c r="BT46" s="230"/>
      <c r="BU46" s="230"/>
      <c r="BV46" s="230"/>
      <c r="BW46" s="230"/>
      <c r="BX46" s="230"/>
      <c r="BY46" s="230"/>
      <c r="BZ46" s="230"/>
      <c r="CA46" s="230"/>
      <c r="CB46" s="230"/>
    </row>
    <row r="47" spans="1:80">
      <c r="A47" s="230"/>
      <c r="B47" s="717"/>
      <c r="C47" s="717"/>
      <c r="D47" s="230"/>
      <c r="E47" s="230"/>
      <c r="F47" s="230"/>
      <c r="G47" s="230"/>
      <c r="H47" s="230"/>
      <c r="I47" s="230"/>
      <c r="J47" s="230"/>
      <c r="K47" s="230"/>
      <c r="L47" s="230" t="s">
        <v>907</v>
      </c>
      <c r="M47" s="230"/>
      <c r="N47" s="230"/>
      <c r="O47" s="230"/>
      <c r="P47" s="230"/>
      <c r="Q47" s="230"/>
      <c r="R47" s="230"/>
      <c r="S47" s="230"/>
      <c r="T47" s="230"/>
      <c r="U47" s="230"/>
      <c r="V47" s="230"/>
      <c r="W47" s="230"/>
      <c r="X47" s="230"/>
      <c r="Y47" s="230"/>
      <c r="Z47" s="230"/>
      <c r="AA47" s="230"/>
      <c r="AB47" s="230"/>
      <c r="AC47" s="230"/>
      <c r="AD47" s="230"/>
      <c r="AE47" s="230"/>
      <c r="AF47" s="230"/>
      <c r="AG47" s="230"/>
      <c r="AH47" s="230"/>
      <c r="AI47" s="230"/>
      <c r="AJ47" s="230"/>
      <c r="AK47" s="230"/>
      <c r="AL47" s="230"/>
      <c r="AM47" s="230"/>
      <c r="AN47" s="230"/>
      <c r="AO47" s="230"/>
      <c r="AP47" s="230"/>
      <c r="AQ47" s="230"/>
      <c r="AR47" s="230"/>
      <c r="AS47" s="230"/>
      <c r="AT47" s="230"/>
      <c r="AU47" s="230"/>
      <c r="AV47" s="230"/>
      <c r="AW47" s="230"/>
      <c r="AX47" s="230"/>
      <c r="AY47" s="230"/>
      <c r="AZ47" s="230"/>
      <c r="BA47" s="230"/>
      <c r="BB47" s="230"/>
      <c r="BC47" s="230"/>
      <c r="BD47" s="230"/>
      <c r="BE47" s="230"/>
      <c r="BF47" s="230"/>
      <c r="BG47" s="230"/>
      <c r="BH47" s="230"/>
      <c r="BI47" s="230"/>
      <c r="BJ47" s="230"/>
      <c r="BK47" s="230"/>
      <c r="BL47" s="230"/>
      <c r="BM47" s="230"/>
      <c r="BN47" s="230"/>
      <c r="BO47" s="230"/>
      <c r="BP47" s="230"/>
      <c r="BQ47" s="230"/>
      <c r="BR47" s="230"/>
      <c r="BS47" s="230"/>
      <c r="BT47" s="230"/>
      <c r="BU47" s="230"/>
      <c r="BV47" s="230"/>
      <c r="BW47" s="230"/>
      <c r="BX47" s="230"/>
      <c r="BY47" s="230"/>
      <c r="BZ47" s="230"/>
      <c r="CA47" s="230"/>
      <c r="CB47" s="886"/>
    </row>
    <row r="48" spans="1:80">
      <c r="A48" s="230"/>
      <c r="B48" s="717"/>
      <c r="C48" s="717"/>
      <c r="D48" s="230"/>
      <c r="E48" s="230"/>
      <c r="F48" s="230"/>
      <c r="G48" s="230"/>
      <c r="H48" s="230"/>
      <c r="I48" s="230"/>
      <c r="J48" s="230"/>
      <c r="K48" s="230"/>
      <c r="L48" s="230" t="s">
        <v>908</v>
      </c>
      <c r="M48" s="230"/>
      <c r="N48" s="230"/>
      <c r="O48" s="230"/>
      <c r="P48" s="230"/>
      <c r="Q48" s="230"/>
      <c r="R48" s="230"/>
      <c r="S48" s="230"/>
      <c r="T48" s="230"/>
      <c r="U48" s="230"/>
      <c r="V48" s="230"/>
      <c r="W48" s="230"/>
      <c r="X48" s="230"/>
      <c r="Y48" s="230"/>
      <c r="Z48" s="230"/>
      <c r="AA48" s="230"/>
      <c r="AB48" s="230"/>
      <c r="AC48" s="230"/>
      <c r="AD48" s="230"/>
      <c r="AE48" s="230"/>
      <c r="AF48" s="230"/>
      <c r="AG48" s="230"/>
      <c r="AH48" s="230"/>
      <c r="AI48" s="230"/>
      <c r="AJ48" s="230"/>
      <c r="AK48" s="230"/>
      <c r="AL48" s="230"/>
      <c r="AM48" s="230"/>
      <c r="AN48" s="230"/>
      <c r="AO48" s="230"/>
      <c r="AP48" s="230"/>
      <c r="AQ48" s="230"/>
      <c r="AR48" s="230"/>
      <c r="AS48" s="230"/>
      <c r="AT48" s="230"/>
      <c r="AU48" s="230"/>
      <c r="AV48" s="230"/>
      <c r="AW48" s="230"/>
      <c r="AX48" s="230"/>
      <c r="AY48" s="230"/>
      <c r="AZ48" s="230"/>
      <c r="BA48" s="230"/>
      <c r="BB48" s="230"/>
      <c r="BC48" s="230"/>
      <c r="BD48" s="230"/>
      <c r="BE48" s="230"/>
      <c r="BF48" s="230"/>
      <c r="BG48" s="230"/>
      <c r="BH48" s="230"/>
      <c r="BI48" s="230"/>
      <c r="BJ48" s="230"/>
      <c r="BK48" s="230"/>
      <c r="BL48" s="230"/>
      <c r="BM48" s="230"/>
      <c r="BN48" s="230"/>
      <c r="BO48" s="230"/>
      <c r="BP48" s="230"/>
      <c r="BQ48" s="230"/>
      <c r="BR48" s="230"/>
      <c r="BS48" s="230"/>
      <c r="BT48" s="230"/>
      <c r="BU48" s="230"/>
      <c r="BV48" s="230"/>
      <c r="BW48" s="230"/>
      <c r="BX48" s="230"/>
      <c r="BY48" s="230"/>
      <c r="BZ48" s="230"/>
      <c r="CA48" s="886"/>
      <c r="CB48" s="886"/>
    </row>
    <row r="49" spans="1:80">
      <c r="A49" s="230"/>
      <c r="B49" s="717"/>
      <c r="C49" s="717"/>
      <c r="D49" s="230"/>
      <c r="E49" s="230"/>
      <c r="F49" s="230"/>
      <c r="G49" s="230"/>
      <c r="H49" s="230"/>
      <c r="I49" s="230"/>
      <c r="J49" s="230"/>
      <c r="K49" s="230"/>
      <c r="L49" s="230" t="s">
        <v>909</v>
      </c>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0"/>
      <c r="AY49" s="230"/>
      <c r="AZ49" s="230"/>
      <c r="BA49" s="230"/>
      <c r="BB49" s="230"/>
      <c r="BC49" s="230"/>
      <c r="BD49" s="230"/>
      <c r="BE49" s="230"/>
      <c r="BF49" s="230"/>
      <c r="BG49" s="230"/>
      <c r="BH49" s="230"/>
      <c r="BI49" s="230"/>
      <c r="BJ49" s="230"/>
      <c r="BK49" s="230"/>
      <c r="BL49" s="230"/>
      <c r="BM49" s="230"/>
      <c r="BN49" s="230"/>
      <c r="BO49" s="230"/>
      <c r="BP49" s="230"/>
      <c r="BQ49" s="230"/>
      <c r="BR49" s="230"/>
      <c r="BS49" s="230"/>
      <c r="BT49" s="230"/>
      <c r="BU49" s="230"/>
      <c r="BV49" s="230"/>
      <c r="BW49" s="230"/>
      <c r="BX49" s="230"/>
      <c r="BY49" s="230"/>
      <c r="BZ49" s="230"/>
      <c r="CA49" s="230"/>
      <c r="CB49" s="886"/>
    </row>
    <row r="50" spans="1:80">
      <c r="A50" s="230"/>
      <c r="B50" s="717"/>
      <c r="C50" s="717"/>
      <c r="D50" s="230"/>
      <c r="E50" s="230"/>
      <c r="F50" s="230"/>
      <c r="G50" s="230"/>
      <c r="H50" s="230"/>
      <c r="I50" s="230"/>
      <c r="J50" s="230"/>
      <c r="K50" s="230"/>
      <c r="L50" s="230" t="s">
        <v>910</v>
      </c>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0"/>
      <c r="AY50" s="230"/>
      <c r="AZ50" s="230"/>
      <c r="BA50" s="230"/>
      <c r="BB50" s="230"/>
      <c r="BC50" s="230"/>
      <c r="BD50" s="230"/>
      <c r="BE50" s="230"/>
      <c r="BF50" s="230"/>
      <c r="BG50" s="230"/>
      <c r="BH50" s="230"/>
      <c r="BI50" s="230"/>
      <c r="BJ50" s="230"/>
      <c r="BK50" s="230"/>
      <c r="BL50" s="230"/>
      <c r="BM50" s="230"/>
      <c r="BN50" s="230"/>
      <c r="BO50" s="230"/>
      <c r="BP50" s="230"/>
      <c r="BQ50" s="230"/>
      <c r="BR50" s="230"/>
      <c r="BS50" s="230"/>
      <c r="BT50" s="230"/>
      <c r="BU50" s="230"/>
      <c r="BV50" s="230"/>
      <c r="BW50" s="230"/>
      <c r="BX50" s="230"/>
      <c r="BY50" s="230"/>
      <c r="BZ50" s="230"/>
      <c r="CA50" s="886"/>
      <c r="CB50" s="886"/>
    </row>
    <row r="51" spans="1:80">
      <c r="A51" s="230"/>
      <c r="B51" s="717"/>
      <c r="C51" s="717"/>
      <c r="D51" s="230"/>
      <c r="E51" s="230"/>
      <c r="F51" s="230"/>
      <c r="G51" s="230"/>
      <c r="H51" s="230"/>
      <c r="I51" s="230"/>
      <c r="J51" s="230"/>
      <c r="K51" s="230"/>
      <c r="L51" s="230" t="s">
        <v>911</v>
      </c>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N51" s="230"/>
      <c r="AO51" s="230"/>
      <c r="AP51" s="230"/>
      <c r="AQ51" s="230"/>
      <c r="AR51" s="230"/>
      <c r="AS51" s="230"/>
      <c r="AT51" s="230"/>
      <c r="AU51" s="230"/>
      <c r="AV51" s="230"/>
      <c r="AW51" s="230"/>
      <c r="AX51" s="230"/>
      <c r="AY51" s="230"/>
      <c r="AZ51" s="230"/>
      <c r="BA51" s="230"/>
      <c r="BB51" s="230"/>
      <c r="BC51" s="230"/>
      <c r="BD51" s="230"/>
      <c r="BE51" s="230"/>
      <c r="BF51" s="230"/>
      <c r="BG51" s="230"/>
      <c r="BH51" s="230"/>
      <c r="BI51" s="230"/>
      <c r="BJ51" s="230"/>
      <c r="BK51" s="230"/>
      <c r="BL51" s="230"/>
      <c r="BM51" s="230"/>
      <c r="BN51" s="230"/>
      <c r="BO51" s="230"/>
      <c r="BP51" s="230"/>
      <c r="BQ51" s="230"/>
      <c r="BR51" s="230"/>
      <c r="BS51" s="230"/>
      <c r="BT51" s="230"/>
      <c r="BU51" s="230"/>
      <c r="BV51" s="230"/>
      <c r="BW51" s="230"/>
      <c r="BX51" s="230"/>
      <c r="BY51" s="230"/>
      <c r="BZ51" s="230"/>
      <c r="CA51" s="230"/>
      <c r="CB51" s="886"/>
    </row>
    <row r="52" spans="1:80">
      <c r="A52" s="230"/>
      <c r="B52" s="717"/>
      <c r="C52" s="717"/>
      <c r="D52" s="230"/>
      <c r="E52" s="230"/>
      <c r="F52" s="230"/>
      <c r="G52" s="230"/>
      <c r="H52" s="230"/>
      <c r="I52" s="230"/>
      <c r="J52" s="230"/>
      <c r="K52" s="230"/>
      <c r="L52" s="230" t="s">
        <v>912</v>
      </c>
      <c r="M52" s="230"/>
      <c r="N52" s="230"/>
      <c r="O52" s="230"/>
      <c r="P52" s="230"/>
      <c r="Q52" s="230"/>
      <c r="R52" s="230"/>
      <c r="S52" s="230"/>
      <c r="T52" s="230"/>
      <c r="U52" s="230"/>
      <c r="V52" s="230"/>
      <c r="W52" s="230"/>
      <c r="X52" s="230"/>
      <c r="Y52" s="230"/>
      <c r="Z52" s="230"/>
      <c r="AA52" s="230"/>
      <c r="AB52" s="230"/>
      <c r="AC52" s="230"/>
      <c r="AD52" s="230"/>
      <c r="AE52" s="230"/>
      <c r="AF52" s="230"/>
      <c r="AG52" s="230"/>
      <c r="AH52" s="230"/>
      <c r="AI52" s="230"/>
      <c r="AJ52" s="230"/>
      <c r="AK52" s="230"/>
      <c r="AL52" s="230"/>
      <c r="AM52" s="230"/>
      <c r="AN52" s="230"/>
      <c r="AO52" s="230"/>
      <c r="AP52" s="230"/>
      <c r="AQ52" s="230"/>
      <c r="AR52" s="230"/>
      <c r="AS52" s="230"/>
      <c r="AT52" s="230"/>
      <c r="AU52" s="230"/>
      <c r="AV52" s="230"/>
      <c r="AW52" s="230"/>
      <c r="AX52" s="230"/>
      <c r="AY52" s="230"/>
      <c r="AZ52" s="230"/>
      <c r="BA52" s="230"/>
      <c r="BB52" s="230"/>
      <c r="BC52" s="230"/>
      <c r="BD52" s="230"/>
      <c r="BE52" s="230"/>
      <c r="BF52" s="230"/>
      <c r="BG52" s="230"/>
      <c r="BH52" s="230"/>
      <c r="BI52" s="230"/>
      <c r="BJ52" s="230"/>
      <c r="BK52" s="230"/>
      <c r="BL52" s="230"/>
      <c r="BM52" s="230"/>
      <c r="BN52" s="230"/>
      <c r="BO52" s="230"/>
      <c r="BP52" s="230"/>
      <c r="BQ52" s="230"/>
      <c r="BR52" s="230"/>
      <c r="BS52" s="230"/>
      <c r="BT52" s="230"/>
      <c r="BU52" s="230"/>
      <c r="BV52" s="230"/>
      <c r="BW52" s="230"/>
      <c r="BX52" s="230"/>
      <c r="BY52" s="230"/>
      <c r="BZ52" s="230"/>
      <c r="CA52" s="886"/>
      <c r="CB52" s="886"/>
    </row>
    <row r="53" spans="1:80">
      <c r="A53" s="230"/>
      <c r="B53" s="717"/>
      <c r="C53" s="717"/>
      <c r="D53" s="230"/>
      <c r="E53" s="230"/>
      <c r="F53" s="230"/>
      <c r="G53" s="230"/>
      <c r="H53" s="230"/>
      <c r="I53" s="230"/>
      <c r="J53" s="230"/>
      <c r="K53" s="230"/>
      <c r="L53" s="230" t="s">
        <v>913</v>
      </c>
      <c r="M53" s="230"/>
      <c r="N53" s="230"/>
      <c r="O53" s="230"/>
      <c r="P53" s="230"/>
      <c r="Q53" s="230"/>
      <c r="R53" s="230"/>
      <c r="S53" s="230"/>
      <c r="T53" s="230"/>
      <c r="U53" s="230"/>
      <c r="V53" s="230"/>
      <c r="W53" s="230"/>
      <c r="X53" s="230"/>
      <c r="Y53" s="230"/>
      <c r="Z53" s="230"/>
      <c r="AA53" s="230"/>
      <c r="AB53" s="230"/>
      <c r="AC53" s="230"/>
      <c r="AD53" s="230"/>
      <c r="AE53" s="230"/>
      <c r="AF53" s="230"/>
      <c r="AG53" s="230"/>
      <c r="AH53" s="230"/>
      <c r="AI53" s="230"/>
      <c r="AJ53" s="230"/>
      <c r="AK53" s="230"/>
      <c r="AL53" s="230"/>
      <c r="AM53" s="230"/>
      <c r="AN53" s="230"/>
      <c r="AO53" s="230"/>
      <c r="AP53" s="230"/>
      <c r="AQ53" s="230"/>
      <c r="AR53" s="230"/>
      <c r="AS53" s="230"/>
      <c r="AT53" s="230"/>
      <c r="AU53" s="230"/>
      <c r="AV53" s="230"/>
      <c r="AW53" s="230"/>
      <c r="AX53" s="230"/>
      <c r="AY53" s="230"/>
      <c r="AZ53" s="230"/>
      <c r="BA53" s="230"/>
      <c r="BB53" s="230"/>
      <c r="BC53" s="230"/>
      <c r="BD53" s="230"/>
      <c r="BE53" s="230"/>
      <c r="BF53" s="230"/>
      <c r="BG53" s="230"/>
      <c r="BH53" s="230"/>
      <c r="BI53" s="230"/>
      <c r="BJ53" s="230"/>
      <c r="BK53" s="230"/>
      <c r="BL53" s="230"/>
      <c r="BM53" s="230"/>
      <c r="BN53" s="230"/>
      <c r="BO53" s="230"/>
      <c r="BP53" s="230"/>
      <c r="BQ53" s="230"/>
      <c r="BR53" s="230"/>
      <c r="BS53" s="230"/>
      <c r="BT53" s="230"/>
      <c r="BU53" s="230"/>
      <c r="BV53" s="230"/>
      <c r="BW53" s="230"/>
      <c r="BX53" s="230"/>
      <c r="BY53" s="230"/>
      <c r="BZ53" s="230"/>
      <c r="CA53" s="230"/>
      <c r="CB53" s="886"/>
    </row>
    <row r="54" spans="1:80">
      <c r="A54" s="230"/>
      <c r="B54" s="717"/>
      <c r="C54" s="717"/>
      <c r="D54" s="230"/>
      <c r="E54" s="230"/>
      <c r="F54" s="230"/>
      <c r="G54" s="230"/>
      <c r="H54" s="230"/>
      <c r="I54" s="230"/>
      <c r="J54" s="230"/>
      <c r="K54" s="230"/>
      <c r="L54" s="230" t="s">
        <v>914</v>
      </c>
      <c r="M54" s="230"/>
      <c r="N54" s="230"/>
      <c r="O54" s="230"/>
      <c r="P54" s="230"/>
      <c r="Q54" s="230"/>
      <c r="R54" s="230"/>
      <c r="S54" s="230"/>
      <c r="T54" s="230"/>
      <c r="U54" s="230"/>
      <c r="V54" s="230"/>
      <c r="W54" s="230"/>
      <c r="X54" s="230"/>
      <c r="Y54" s="230"/>
      <c r="Z54" s="230"/>
      <c r="AA54" s="230"/>
      <c r="AB54" s="230"/>
      <c r="AC54" s="230"/>
      <c r="AD54" s="230"/>
      <c r="AE54" s="230"/>
      <c r="AF54" s="230"/>
      <c r="AG54" s="230"/>
      <c r="AH54" s="230"/>
      <c r="AI54" s="230"/>
      <c r="AJ54" s="230"/>
      <c r="AK54" s="230"/>
      <c r="AL54" s="230"/>
      <c r="AM54" s="230"/>
      <c r="AN54" s="230"/>
      <c r="AO54" s="230"/>
      <c r="AP54" s="230"/>
      <c r="AQ54" s="230"/>
      <c r="AR54" s="230"/>
      <c r="AS54" s="230"/>
      <c r="AT54" s="230"/>
      <c r="AU54" s="230"/>
      <c r="AV54" s="230"/>
      <c r="AW54" s="230"/>
      <c r="AX54" s="230"/>
      <c r="AY54" s="230"/>
      <c r="AZ54" s="230"/>
      <c r="BA54" s="230"/>
      <c r="BB54" s="230"/>
      <c r="BC54" s="230"/>
      <c r="BD54" s="230"/>
      <c r="BE54" s="230"/>
      <c r="BF54" s="230"/>
      <c r="BG54" s="230"/>
      <c r="BH54" s="230"/>
      <c r="BI54" s="230"/>
      <c r="BJ54" s="230"/>
      <c r="BK54" s="230"/>
      <c r="BL54" s="230"/>
      <c r="BM54" s="230"/>
      <c r="BN54" s="230"/>
      <c r="BO54" s="230"/>
      <c r="BP54" s="230"/>
      <c r="BQ54" s="230"/>
      <c r="BR54" s="230"/>
      <c r="BS54" s="230"/>
      <c r="BT54" s="230"/>
      <c r="BU54" s="230"/>
      <c r="BV54" s="230"/>
      <c r="BW54" s="230"/>
      <c r="BX54" s="230"/>
      <c r="BY54" s="230"/>
      <c r="BZ54" s="230"/>
      <c r="CA54" s="886"/>
      <c r="CB54" s="886"/>
    </row>
  </sheetData>
  <mergeCells count="31">
    <mergeCell ref="K6:K7"/>
    <mergeCell ref="L6:L7"/>
    <mergeCell ref="T3:W3"/>
    <mergeCell ref="AR6:AU6"/>
    <mergeCell ref="AV6:AY6"/>
    <mergeCell ref="T6:W6"/>
    <mergeCell ref="X6:AA6"/>
    <mergeCell ref="AB6:AE6"/>
    <mergeCell ref="AF6:AI6"/>
    <mergeCell ref="AJ6:AM6"/>
    <mergeCell ref="AN6:AQ6"/>
    <mergeCell ref="M6:M7"/>
    <mergeCell ref="N6:N7"/>
    <mergeCell ref="O6:O7"/>
    <mergeCell ref="P6:S6"/>
    <mergeCell ref="P4:S4"/>
    <mergeCell ref="H6:H7"/>
    <mergeCell ref="I6:I7"/>
    <mergeCell ref="J6:J7"/>
    <mergeCell ref="B6:B7"/>
    <mergeCell ref="D6:D7"/>
    <mergeCell ref="E6:E7"/>
    <mergeCell ref="F6:F7"/>
    <mergeCell ref="G6:G7"/>
    <mergeCell ref="C6:C7"/>
    <mergeCell ref="L40:P40"/>
    <mergeCell ref="D8:D17"/>
    <mergeCell ref="D18:D21"/>
    <mergeCell ref="D22:D24"/>
    <mergeCell ref="D25:D29"/>
    <mergeCell ref="B37:AI37"/>
  </mergeCells>
  <pageMargins left="0.7" right="0.7" top="0.75" bottom="0.75" header="0.3" footer="0.3"/>
  <pageSetup paperSize="3" scale="77" fitToWidth="3" orientation="landscape" r:id="rId1"/>
  <colBreaks count="1" manualBreakCount="1">
    <brk id="15" max="36"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4AE82-6A1D-4856-87E2-B2A7AF5A5C63}">
  <sheetPr codeName="Sheet11">
    <pageSetUpPr fitToPage="1"/>
  </sheetPr>
  <dimension ref="A1:AN65"/>
  <sheetViews>
    <sheetView showGridLines="0" zoomScaleNormal="100" workbookViewId="0">
      <pane xSplit="3" ySplit="8" topLeftCell="D9" activePane="bottomRight" state="frozen"/>
      <selection activeCell="A26" sqref="A26"/>
      <selection pane="topRight" activeCell="A26" sqref="A26"/>
      <selection pane="bottomLeft" activeCell="A26" sqref="A26"/>
      <selection pane="bottomRight"/>
    </sheetView>
  </sheetViews>
  <sheetFormatPr defaultColWidth="8.625" defaultRowHeight="14.25"/>
  <cols>
    <col min="1" max="1" width="11.375" style="248" customWidth="1"/>
    <col min="2" max="2" width="12.875" style="248" customWidth="1"/>
    <col min="3" max="3" width="19.875" style="248" customWidth="1"/>
    <col min="4" max="4" width="15.125" style="248" customWidth="1"/>
    <col min="5" max="17" width="13.625" style="248" customWidth="1"/>
    <col min="18" max="16384" width="8.625" style="248"/>
  </cols>
  <sheetData>
    <row r="1" spans="1:40" s="245" customFormat="1">
      <c r="A1" s="175" t="s">
        <v>98</v>
      </c>
      <c r="B1" s="176" t="str">
        <f>PA_NAME</f>
        <v>SoCalGas</v>
      </c>
      <c r="D1" s="106"/>
      <c r="H1" s="246"/>
      <c r="R1" s="246"/>
      <c r="V1" s="246"/>
      <c r="Z1" s="246"/>
      <c r="AD1" s="246"/>
      <c r="AH1" s="246"/>
      <c r="AL1" s="247"/>
      <c r="AN1" s="253"/>
    </row>
    <row r="2" spans="1:40" s="245" customFormat="1">
      <c r="A2" s="175" t="s">
        <v>99</v>
      </c>
      <c r="B2" s="176" t="str">
        <f>RPT_YEAR</f>
        <v>2024-2031</v>
      </c>
      <c r="D2" s="246"/>
      <c r="H2" s="246"/>
      <c r="R2" s="246"/>
      <c r="V2" s="246"/>
      <c r="Z2" s="246"/>
      <c r="AD2" s="246"/>
      <c r="AH2" s="246"/>
      <c r="AL2" s="247"/>
      <c r="AN2" s="253"/>
    </row>
    <row r="3" spans="1:40" s="245" customFormat="1">
      <c r="A3" s="254" t="s">
        <v>915</v>
      </c>
      <c r="B3" s="254"/>
      <c r="C3" s="254"/>
      <c r="D3" s="254"/>
      <c r="H3" s="246"/>
      <c r="R3" s="246"/>
      <c r="V3" s="246"/>
      <c r="Z3" s="246"/>
      <c r="AD3" s="246"/>
      <c r="AH3" s="246"/>
      <c r="AL3" s="247"/>
      <c r="AN3" s="253"/>
    </row>
    <row r="4" spans="1:40" hidden="1">
      <c r="E4" s="251"/>
    </row>
    <row r="5" spans="1:40" hidden="1">
      <c r="B5" s="1404"/>
      <c r="C5" s="1404"/>
      <c r="D5" s="1404"/>
      <c r="E5" s="1404"/>
      <c r="F5" s="1404"/>
      <c r="G5" s="1404"/>
      <c r="H5" s="1404"/>
      <c r="I5" s="1404"/>
      <c r="J5" s="1404"/>
      <c r="K5" s="92"/>
      <c r="L5" s="92"/>
      <c r="M5" s="92"/>
      <c r="N5" s="92"/>
      <c r="O5" s="92"/>
      <c r="P5" s="92"/>
      <c r="Q5" s="92"/>
    </row>
    <row r="6" spans="1:40">
      <c r="B6" s="1356"/>
      <c r="C6" s="1356"/>
      <c r="D6" s="1356"/>
      <c r="E6" s="1356"/>
      <c r="F6" s="1356"/>
      <c r="G6" s="1356"/>
      <c r="H6" s="1356"/>
      <c r="I6" s="1356"/>
      <c r="J6" s="1356"/>
      <c r="K6" s="91"/>
      <c r="L6" s="91"/>
      <c r="M6" s="91"/>
      <c r="N6" s="91"/>
      <c r="O6" s="91"/>
      <c r="P6" s="91"/>
      <c r="Q6" s="91"/>
    </row>
    <row r="7" spans="1:40" ht="14.65" thickBot="1">
      <c r="B7" s="91"/>
      <c r="C7" s="91"/>
      <c r="D7" s="91"/>
      <c r="E7" s="82"/>
      <c r="F7" s="82"/>
      <c r="G7" s="82"/>
      <c r="H7" s="783"/>
      <c r="I7" s="783"/>
      <c r="J7" s="783"/>
      <c r="K7" s="783"/>
      <c r="L7" s="783"/>
      <c r="M7" s="783"/>
      <c r="N7" s="783"/>
      <c r="O7" s="783"/>
      <c r="P7" s="783"/>
      <c r="Q7" s="783"/>
    </row>
    <row r="8" spans="1:40" ht="42.75">
      <c r="B8" s="71"/>
      <c r="C8" s="78" t="s">
        <v>916</v>
      </c>
      <c r="D8" s="68" t="s">
        <v>917</v>
      </c>
      <c r="E8" s="68" t="s">
        <v>918</v>
      </c>
      <c r="F8" s="68" t="s">
        <v>919</v>
      </c>
      <c r="G8" s="68" t="s">
        <v>920</v>
      </c>
      <c r="H8" s="68" t="s">
        <v>921</v>
      </c>
      <c r="I8" s="68" t="s">
        <v>922</v>
      </c>
      <c r="J8" s="68" t="s">
        <v>923</v>
      </c>
      <c r="K8" s="68" t="s">
        <v>924</v>
      </c>
      <c r="L8" s="68" t="s">
        <v>327</v>
      </c>
      <c r="M8" s="68" t="s">
        <v>328</v>
      </c>
      <c r="N8" s="68" t="s">
        <v>329</v>
      </c>
      <c r="O8" s="68" t="s">
        <v>330</v>
      </c>
      <c r="P8" s="68" t="s">
        <v>331</v>
      </c>
      <c r="Q8" s="79" t="s">
        <v>332</v>
      </c>
    </row>
    <row r="9" spans="1:40">
      <c r="B9" s="1405">
        <v>2024</v>
      </c>
      <c r="C9" s="788" t="s">
        <v>18</v>
      </c>
      <c r="D9" s="775">
        <f>+'7.3 PA PY budget_savings'!C16</f>
        <v>100328887.88029744</v>
      </c>
      <c r="E9" s="775">
        <f>+'7.3 PA PY budget_savings'!C17</f>
        <v>130554619</v>
      </c>
      <c r="F9" s="789">
        <f>+'7.3 PA PY budget_savings'!C18</f>
        <v>1.03</v>
      </c>
      <c r="G9" s="789">
        <f>+'7.3 PA PY budget_savings'!C19</f>
        <v>1.34</v>
      </c>
      <c r="H9" s="775">
        <f>+'7.3 PA PY budget_savings'!D16</f>
        <v>11586538.710000001</v>
      </c>
      <c r="I9" s="775">
        <f>+'7.3 PA PY budget_savings'!E16</f>
        <v>2809.45</v>
      </c>
      <c r="J9" s="775">
        <f>+'7.3 PA PY budget_savings'!F16</f>
        <v>29575980.020000003</v>
      </c>
      <c r="K9" s="775">
        <f>+'7.3 PA PY budget_savings'!G16</f>
        <v>3426.26</v>
      </c>
      <c r="L9" s="775">
        <f>+'7.3 PA PY budget_savings'!H16</f>
        <v>173064.62</v>
      </c>
      <c r="M9" s="775">
        <f>SUMIF('4.1 Program Budget - 2024-2027'!$H:$H,$C9,'4.1 Program Budget - 2024-2027'!AB:AB)</f>
        <v>74084183.979999989</v>
      </c>
      <c r="N9" s="775">
        <f>SUMIF('4.1 Program Budget - 2024-2027'!$H:$H,$C9,'4.1 Program Budget - 2024-2027'!AC:AC)</f>
        <v>178110809.59999999</v>
      </c>
      <c r="O9" s="775">
        <f>SUMIF('4.1 Program Budget - 2024-2027'!$H:$H,$C9,'4.1 Program Budget - 2024-2027'!AD:AD)</f>
        <v>21230.78</v>
      </c>
      <c r="P9" s="775">
        <f>SUMIF('4.1 Program Budget - 2024-2027'!$H:$H,$C9,'4.1 Program Budget - 2024-2027'!AE:AE)</f>
        <v>1042391.5800000002</v>
      </c>
      <c r="Q9" s="776">
        <f>SUMIF('4.1 Program Budget - 2024-2027'!$H:$H,$C9,'4.1 Program Budget - 2024-2027'!AF:AF)</f>
        <v>0</v>
      </c>
    </row>
    <row r="10" spans="1:40">
      <c r="B10" s="1406"/>
      <c r="C10" s="788" t="s">
        <v>23</v>
      </c>
      <c r="D10" s="775">
        <f>+'7.3 PA PY budget_savings'!C30</f>
        <v>22403255.862152651</v>
      </c>
      <c r="E10" s="775">
        <f>+'7.3 PA PY budget_savings'!C31</f>
        <v>5948440</v>
      </c>
      <c r="F10" s="789">
        <f>+'7.3 PA PY budget_savings'!C32</f>
        <v>0.3</v>
      </c>
      <c r="G10" s="789">
        <f>+'7.3 PA PY budget_savings'!C33</f>
        <v>0.37</v>
      </c>
      <c r="H10" s="775">
        <f>+'7.3 PA PY budget_savings'!D30</f>
        <v>801940.11</v>
      </c>
      <c r="I10" s="775">
        <f>+'7.3 PA PY budget_savings'!E30</f>
        <v>8.5500000000000007</v>
      </c>
      <c r="J10" s="775">
        <f>+'7.3 PA PY budget_savings'!F30</f>
        <v>782394.7709</v>
      </c>
      <c r="K10" s="775">
        <f>+'7.3 PA PY budget_savings'!G30</f>
        <v>155.19999999999999</v>
      </c>
      <c r="L10" s="775">
        <f>+'7.3 PA PY budget_savings'!H30</f>
        <v>6199.49</v>
      </c>
      <c r="M10" s="775">
        <f>SUMIF('4.1 Program Budget - 2024-2027'!$H:$H,$C10,'4.1 Program Budget - 2024-2027'!AB:AB)</f>
        <v>7334599.0300000003</v>
      </c>
      <c r="N10" s="775">
        <f>SUMIF('4.1 Program Budget - 2024-2027'!$H:$H,$C10,'4.1 Program Budget - 2024-2027'!AC:AC)</f>
        <v>11572437.59</v>
      </c>
      <c r="O10" s="775">
        <f>SUMIF('4.1 Program Budget - 2024-2027'!$H:$H,$C10,'4.1 Program Budget - 2024-2027'!AD:AD)</f>
        <v>1740.06</v>
      </c>
      <c r="P10" s="775">
        <f>SUMIF('4.1 Program Budget - 2024-2027'!$H:$H,$C10,'4.1 Program Budget - 2024-2027'!AE:AE)</f>
        <v>90482.66</v>
      </c>
      <c r="Q10" s="776">
        <f>SUMIF('4.1 Program Budget - 2024-2027'!$H:$H,$C10,'4.1 Program Budget - 2024-2027'!AF:AF)</f>
        <v>0</v>
      </c>
    </row>
    <row r="11" spans="1:40">
      <c r="B11" s="1406"/>
      <c r="C11" s="788" t="s">
        <v>26</v>
      </c>
      <c r="D11" s="775">
        <f>+'7.3 PA PY budget_savings'!C44</f>
        <v>21425992.815986499</v>
      </c>
      <c r="E11" s="775">
        <f>+'7.3 PA PY budget_savings'!C45</f>
        <v>8554012</v>
      </c>
      <c r="F11" s="789">
        <f>+'7.3 PA PY budget_savings'!C46</f>
        <v>0.37</v>
      </c>
      <c r="G11" s="789">
        <f>+'7.3 PA PY budget_savings'!C47</f>
        <v>0.41</v>
      </c>
      <c r="H11" s="775">
        <f>+'7.3 PA PY budget_savings'!D44</f>
        <v>747634.76</v>
      </c>
      <c r="I11" s="775">
        <f>+'7.3 PA PY budget_savings'!E44</f>
        <v>107.3</v>
      </c>
      <c r="J11" s="775">
        <f>+'7.3 PA PY budget_savings'!F44</f>
        <v>698912.03999999992</v>
      </c>
      <c r="K11" s="775">
        <f>+'7.3 PA PY budget_savings'!G44</f>
        <v>281.24</v>
      </c>
      <c r="L11" s="775">
        <f>+'7.3 PA PY budget_savings'!H44</f>
        <v>4088.6299999999997</v>
      </c>
      <c r="M11" s="775">
        <f>SUMIF('4.1 Program Budget - 2024-2027'!$H:$H,$C11,'4.1 Program Budget - 2024-2027'!AB:AB)</f>
        <v>9087382.6199999992</v>
      </c>
      <c r="N11" s="775">
        <f>SUMIF('4.1 Program Budget - 2024-2027'!$H:$H,$C11,'4.1 Program Budget - 2024-2027'!AC:AC)</f>
        <v>9667407.1199999992</v>
      </c>
      <c r="O11" s="775">
        <f>SUMIF('4.1 Program Budget - 2024-2027'!$H:$H,$C11,'4.1 Program Budget - 2024-2027'!AD:AD)</f>
        <v>4181.59</v>
      </c>
      <c r="P11" s="775">
        <f>SUMIF('4.1 Program Budget - 2024-2027'!$H:$H,$C11,'4.1 Program Budget - 2024-2027'!AE:AE)</f>
        <v>56554.33</v>
      </c>
      <c r="Q11" s="776">
        <f>SUMIF('4.1 Program Budget - 2024-2027'!$H:$H,$C11,'4.1 Program Budget - 2024-2027'!AF:AF)</f>
        <v>0</v>
      </c>
    </row>
    <row r="12" spans="1:40">
      <c r="B12" s="1406"/>
      <c r="C12" s="778" t="s">
        <v>28</v>
      </c>
      <c r="D12" s="790">
        <f>+'7.3 PA PY budget_savings'!C68</f>
        <v>1461901.3288</v>
      </c>
      <c r="E12" s="791"/>
      <c r="F12" s="792"/>
      <c r="G12" s="792"/>
      <c r="H12" s="791"/>
      <c r="I12" s="791"/>
      <c r="J12" s="793"/>
      <c r="K12" s="791"/>
      <c r="L12" s="791"/>
      <c r="M12" s="791"/>
      <c r="N12" s="791"/>
      <c r="O12" s="791"/>
      <c r="P12" s="791"/>
      <c r="Q12" s="794"/>
    </row>
    <row r="13" spans="1:40" ht="14.65" thickBot="1">
      <c r="B13" s="1406"/>
      <c r="C13" s="795" t="s">
        <v>679</v>
      </c>
      <c r="D13" s="796">
        <f>+'7.3 PA PY budget_savings'!C61</f>
        <v>6067501.5786348581</v>
      </c>
      <c r="E13" s="791"/>
      <c r="F13" s="792"/>
      <c r="G13" s="792"/>
      <c r="H13" s="791"/>
      <c r="I13" s="791"/>
      <c r="J13" s="793"/>
      <c r="K13" s="791"/>
      <c r="L13" s="791"/>
      <c r="M13" s="791"/>
      <c r="N13" s="791"/>
      <c r="O13" s="791"/>
      <c r="P13" s="791"/>
      <c r="Q13" s="794"/>
    </row>
    <row r="14" spans="1:40" ht="14.65" thickBot="1">
      <c r="B14" s="1407"/>
      <c r="C14" s="80" t="s">
        <v>925</v>
      </c>
      <c r="D14" s="83">
        <f>SUBTOTAL(9,D9:D13)</f>
        <v>151687539.46587142</v>
      </c>
      <c r="E14" s="83">
        <f t="shared" ref="E14:J14" si="0">SUBTOTAL(9,E9:E13)</f>
        <v>145057071</v>
      </c>
      <c r="F14" s="149">
        <v>0.76</v>
      </c>
      <c r="G14" s="149">
        <v>0.93</v>
      </c>
      <c r="H14" s="83">
        <f t="shared" si="0"/>
        <v>13136113.58</v>
      </c>
      <c r="I14" s="83">
        <f t="shared" si="0"/>
        <v>2925.3</v>
      </c>
      <c r="J14" s="83">
        <f t="shared" si="0"/>
        <v>31057286.830900002</v>
      </c>
      <c r="K14" s="83">
        <f t="shared" ref="K14:P14" si="1">SUBTOTAL(9,K9:K13)</f>
        <v>3862.7</v>
      </c>
      <c r="L14" s="83">
        <f t="shared" si="1"/>
        <v>183352.74</v>
      </c>
      <c r="M14" s="83">
        <f t="shared" si="1"/>
        <v>90506165.629999995</v>
      </c>
      <c r="N14" s="83">
        <f t="shared" si="1"/>
        <v>199350654.31</v>
      </c>
      <c r="O14" s="83">
        <f t="shared" si="1"/>
        <v>27152.43</v>
      </c>
      <c r="P14" s="83">
        <f t="shared" si="1"/>
        <v>1189428.5700000003</v>
      </c>
      <c r="Q14" s="90">
        <f t="shared" ref="Q14" si="2">SUBTOTAL(9,Q9:Q13)</f>
        <v>0</v>
      </c>
    </row>
    <row r="15" spans="1:40">
      <c r="B15" s="1408">
        <v>2025</v>
      </c>
      <c r="C15" s="788" t="s">
        <v>18</v>
      </c>
      <c r="D15" s="775">
        <f>+'7.3 PA PY budget_savings'!I16</f>
        <v>100714929.54282318</v>
      </c>
      <c r="E15" s="775">
        <f>+'7.3 PA PY budget_savings'!I17</f>
        <v>138137449</v>
      </c>
      <c r="F15" s="789">
        <f>+'7.3 PA PY budget_savings'!I18</f>
        <v>1.0900000000000001</v>
      </c>
      <c r="G15" s="789">
        <f>+'7.3 PA PY budget_savings'!I19</f>
        <v>1.41</v>
      </c>
      <c r="H15" s="775">
        <f>+'7.3 PA PY budget_savings'!J16</f>
        <v>11595149.00898</v>
      </c>
      <c r="I15" s="775">
        <f>+'7.3 PA PY budget_savings'!K16</f>
        <v>2811.6688097340002</v>
      </c>
      <c r="J15" s="775">
        <f>+'7.3 PA PY budget_savings'!L16</f>
        <v>29563237.97143</v>
      </c>
      <c r="K15" s="775">
        <f>+'7.3 PA PY budget_savings'!M16</f>
        <v>3147.5561675819999</v>
      </c>
      <c r="L15" s="775">
        <f>+'7.3 PA PY budget_savings'!N16</f>
        <v>172991.34913510003</v>
      </c>
      <c r="M15" s="775">
        <f>SUMIF('4.1 Program Budget - 2024-2027'!$H:$H,$C15,'4.1 Program Budget - 2024-2027'!AT:AT)</f>
        <v>74134376.833299994</v>
      </c>
      <c r="N15" s="775">
        <f>SUMIF('4.1 Program Budget - 2024-2027'!$H:$H,$C15,'4.1 Program Budget - 2024-2027'!AU:AU)</f>
        <v>177315066.93640006</v>
      </c>
      <c r="O15" s="775">
        <f>SUMIF('4.1 Program Budget - 2024-2027'!$H:$H,$C15,'4.1 Program Budget - 2024-2027'!AV:AV)</f>
        <v>20420.235783638</v>
      </c>
      <c r="P15" s="775">
        <f>SUMIF('4.1 Program Budget - 2024-2027'!$H:$H,$C15,'4.1 Program Budget - 2024-2027'!AW:AW)</f>
        <v>1037751.9576760001</v>
      </c>
      <c r="Q15" s="776">
        <f>SUMIF('4.1 Program Budget - 2024-2027'!$H:$H,$C15,'4.1 Program Budget - 2024-2027'!AX:AX)</f>
        <v>0</v>
      </c>
    </row>
    <row r="16" spans="1:40">
      <c r="B16" s="1406"/>
      <c r="C16" s="788" t="s">
        <v>23</v>
      </c>
      <c r="D16" s="775">
        <f>+'7.3 PA PY budget_savings'!I30</f>
        <v>22571993.615870696</v>
      </c>
      <c r="E16" s="775">
        <f>+'7.3 PA PY budget_savings'!I31</f>
        <v>6434367</v>
      </c>
      <c r="F16" s="789">
        <f>+'7.3 PA PY budget_savings'!I32</f>
        <v>0.33</v>
      </c>
      <c r="G16" s="789">
        <f>+'7.3 PA PY budget_savings'!I33</f>
        <v>0.4</v>
      </c>
      <c r="H16" s="775">
        <f>+'7.3 PA PY budget_savings'!J30</f>
        <v>801940.10600000003</v>
      </c>
      <c r="I16" s="775">
        <f>+'7.3 PA PY budget_savings'!K30</f>
        <v>8.5503</v>
      </c>
      <c r="J16" s="775">
        <f>+'7.3 PA PY budget_savings'!L30</f>
        <v>795317.94799999997</v>
      </c>
      <c r="K16" s="775">
        <f>+'7.3 PA PY budget_savings'!M30</f>
        <v>179.1021499</v>
      </c>
      <c r="L16" s="775">
        <f>+'7.3 PA PY budget_savings'!N30</f>
        <v>6278.4890957999996</v>
      </c>
      <c r="M16" s="775">
        <f>SUMIF('4.1 Program Budget - 2024-2027'!$H:$H,$C16,'4.1 Program Budget - 2024-2027'!AT:AT)</f>
        <v>7334599.0300000003</v>
      </c>
      <c r="N16" s="775">
        <f>SUMIF('4.1 Program Budget - 2024-2027'!$H:$H,$C16,'4.1 Program Budget - 2024-2027'!AU:AU)</f>
        <v>11764325.59</v>
      </c>
      <c r="O16" s="775">
        <f>SUMIF('4.1 Program Budget - 2024-2027'!$H:$H,$C16,'4.1 Program Budget - 2024-2027'!AV:AV)</f>
        <v>1791.112445</v>
      </c>
      <c r="P16" s="775">
        <f>SUMIF('4.1 Program Budget - 2024-2027'!$H:$H,$C16,'4.1 Program Budget - 2024-2027'!AW:AW)</f>
        <v>91638.663452000008</v>
      </c>
      <c r="Q16" s="776">
        <f>SUMIF('4.1 Program Budget - 2024-2027'!$H:$H,$C16,'4.1 Program Budget - 2024-2027'!AX:AX)</f>
        <v>0</v>
      </c>
    </row>
    <row r="17" spans="2:17">
      <c r="B17" s="1406"/>
      <c r="C17" s="788" t="s">
        <v>26</v>
      </c>
      <c r="D17" s="775">
        <f>+'7.3 PA PY budget_savings'!I44</f>
        <v>21457016.182904273</v>
      </c>
      <c r="E17" s="775">
        <f>+'7.3 PA PY budget_savings'!I45</f>
        <v>9015929</v>
      </c>
      <c r="F17" s="789">
        <f>+'7.3 PA PY budget_savings'!I46</f>
        <v>0.39</v>
      </c>
      <c r="G17" s="789">
        <f>+'7.3 PA PY budget_savings'!I47</f>
        <v>0.43</v>
      </c>
      <c r="H17" s="775">
        <f>+'7.3 PA PY budget_savings'!J44</f>
        <v>747634.76910999999</v>
      </c>
      <c r="I17" s="775">
        <f>+'7.3 PA PY budget_savings'!K44</f>
        <v>107.30128000000001</v>
      </c>
      <c r="J17" s="775">
        <f>+'7.3 PA PY budget_savings'!L44</f>
        <v>698912.03700000001</v>
      </c>
      <c r="K17" s="775">
        <f>+'7.3 PA PY budget_savings'!M44</f>
        <v>310.66080147000002</v>
      </c>
      <c r="L17" s="775">
        <f>+'7.3 PA PY budget_savings'!N44</f>
        <v>4088.6354170000004</v>
      </c>
      <c r="M17" s="775">
        <f>SUMIF('4.1 Program Budget - 2024-2027'!$H:$H,$C17,'4.1 Program Budget - 2024-2027'!AT:AT)</f>
        <v>9087382.6179000009</v>
      </c>
      <c r="N17" s="775">
        <f>SUMIF('4.1 Program Budget - 2024-2027'!$H:$H,$C17,'4.1 Program Budget - 2024-2027'!AU:AU)</f>
        <v>9667407.1107999999</v>
      </c>
      <c r="O17" s="775">
        <f>SUMIF('4.1 Program Budget - 2024-2027'!$H:$H,$C17,'4.1 Program Budget - 2024-2027'!AV:AV)</f>
        <v>4286.3392301000003</v>
      </c>
      <c r="P17" s="775">
        <f>SUMIF('4.1 Program Budget - 2024-2027'!$H:$H,$C17,'4.1 Program Budget - 2024-2027'!AW:AW)</f>
        <v>56554.331602999999</v>
      </c>
      <c r="Q17" s="776">
        <f>SUMIF('4.1 Program Budget - 2024-2027'!$H:$H,$C17,'4.1 Program Budget - 2024-2027'!AX:AX)</f>
        <v>0</v>
      </c>
    </row>
    <row r="18" spans="2:17">
      <c r="B18" s="1406"/>
      <c r="C18" s="778" t="s">
        <v>28</v>
      </c>
      <c r="D18" s="790">
        <f>+'7.3 PA PY budget_savings'!I68</f>
        <v>1461901.3288</v>
      </c>
      <c r="E18" s="791"/>
      <c r="F18" s="792"/>
      <c r="G18" s="792"/>
      <c r="H18" s="791"/>
      <c r="I18" s="791"/>
      <c r="J18" s="793"/>
      <c r="K18" s="791"/>
      <c r="L18" s="791"/>
      <c r="M18" s="791"/>
      <c r="N18" s="791"/>
      <c r="O18" s="791"/>
      <c r="P18" s="791"/>
      <c r="Q18" s="794"/>
    </row>
    <row r="19" spans="2:17" ht="14.65" thickBot="1">
      <c r="B19" s="1406"/>
      <c r="C19" s="795" t="s">
        <v>679</v>
      </c>
      <c r="D19" s="796">
        <f>+'7.3 PA PY budget_savings'!I61</f>
        <v>6091910.0279332595</v>
      </c>
      <c r="E19" s="791"/>
      <c r="F19" s="792"/>
      <c r="G19" s="792"/>
      <c r="H19" s="791"/>
      <c r="I19" s="791"/>
      <c r="J19" s="793"/>
      <c r="K19" s="791"/>
      <c r="L19" s="791"/>
      <c r="M19" s="791"/>
      <c r="N19" s="791"/>
      <c r="O19" s="791"/>
      <c r="P19" s="791"/>
      <c r="Q19" s="794"/>
    </row>
    <row r="20" spans="2:17" ht="14.65" thickBot="1">
      <c r="B20" s="1407"/>
      <c r="C20" s="80" t="s">
        <v>925</v>
      </c>
      <c r="D20" s="83">
        <f>SUBTOTAL(9,D15:D19)</f>
        <v>152297750.69833142</v>
      </c>
      <c r="E20" s="83">
        <f t="shared" ref="E20:J20" si="3">SUBTOTAL(9,E15:E19)</f>
        <v>153587745</v>
      </c>
      <c r="F20" s="149">
        <v>0.8</v>
      </c>
      <c r="G20" s="149">
        <v>0.98</v>
      </c>
      <c r="H20" s="83">
        <f t="shared" si="3"/>
        <v>13144723.884090001</v>
      </c>
      <c r="I20" s="83">
        <f t="shared" si="3"/>
        <v>2927.5203897340002</v>
      </c>
      <c r="J20" s="83">
        <f t="shared" si="3"/>
        <v>31057467.956429999</v>
      </c>
      <c r="K20" s="83">
        <f t="shared" ref="K20:P20" si="4">SUBTOTAL(9,K15:K19)</f>
        <v>3637.3191189519998</v>
      </c>
      <c r="L20" s="83">
        <f t="shared" si="4"/>
        <v>183358.47364790004</v>
      </c>
      <c r="M20" s="83">
        <f t="shared" si="4"/>
        <v>90556358.481199995</v>
      </c>
      <c r="N20" s="83">
        <f t="shared" si="4"/>
        <v>198746799.63720006</v>
      </c>
      <c r="O20" s="83">
        <f t="shared" si="4"/>
        <v>26497.687458738001</v>
      </c>
      <c r="P20" s="83">
        <f t="shared" si="4"/>
        <v>1185944.952731</v>
      </c>
      <c r="Q20" s="90">
        <f t="shared" ref="Q20" si="5">SUBTOTAL(9,Q15:Q19)</f>
        <v>0</v>
      </c>
    </row>
    <row r="21" spans="2:17">
      <c r="B21" s="1408">
        <v>2026</v>
      </c>
      <c r="C21" s="788" t="s">
        <v>18</v>
      </c>
      <c r="D21" s="775">
        <f>+'7.3 PA PY budget_savings'!O16</f>
        <v>101233220.89545128</v>
      </c>
      <c r="E21" s="775">
        <f>+'7.3 PA PY budget_savings'!O17</f>
        <v>143921997</v>
      </c>
      <c r="F21" s="789">
        <f>+'7.3 PA PY budget_savings'!O18</f>
        <v>1.1200000000000001</v>
      </c>
      <c r="G21" s="789">
        <f>+'7.3 PA PY budget_savings'!O19</f>
        <v>1.46</v>
      </c>
      <c r="H21" s="775">
        <f>+'7.3 PA PY budget_savings'!P16</f>
        <v>11594716.88398</v>
      </c>
      <c r="I21" s="775">
        <f>+'7.3 PA PY budget_savings'!Q16</f>
        <v>2811.476509734</v>
      </c>
      <c r="J21" s="775">
        <f>+'7.3 PA PY budget_savings'!R16</f>
        <v>29377552.711430002</v>
      </c>
      <c r="K21" s="775">
        <f>+'7.3 PA PY budget_savings'!S16</f>
        <v>2879.500778049</v>
      </c>
      <c r="L21" s="775">
        <f>+'7.3 PA PY budget_savings'!T16</f>
        <v>171906.72412710002</v>
      </c>
      <c r="M21" s="775">
        <f>SUMIF('4.1 Program Budget - 2024-2027'!$H:$H,$C21,'4.1 Program Budget - 2024-2027'!BL:BL)</f>
        <v>74122997.503299996</v>
      </c>
      <c r="N21" s="775">
        <f>SUMIF('4.1 Program Budget - 2024-2027'!$H:$H,$C21,'4.1 Program Budget - 2024-2027'!BM:BM)</f>
        <v>174373345.53640002</v>
      </c>
      <c r="O21" s="775">
        <f>SUMIF('4.1 Program Budget - 2024-2027'!$H:$H,$C21,'4.1 Program Budget - 2024-2027'!BN:BN)</f>
        <v>19840.091655795997</v>
      </c>
      <c r="P21" s="775">
        <f>SUMIF('4.1 Program Budget - 2024-2027'!$H:$H,$C21,'4.1 Program Budget - 2024-2027'!BO:BO)</f>
        <v>1020557.5312360002</v>
      </c>
      <c r="Q21" s="776">
        <f>SUMIF('4.1 Program Budget - 2024-2027'!$H:$H,$C21,'4.1 Program Budget - 2024-2027'!BP:BP)</f>
        <v>0</v>
      </c>
    </row>
    <row r="22" spans="2:17">
      <c r="B22" s="1406"/>
      <c r="C22" s="788" t="s">
        <v>23</v>
      </c>
      <c r="D22" s="775">
        <f>+'7.3 PA PY budget_savings'!O30</f>
        <v>22789893.905789729</v>
      </c>
      <c r="E22" s="775">
        <f>+'7.3 PA PY budget_savings'!O31</f>
        <v>5870685</v>
      </c>
      <c r="F22" s="789">
        <f>+'7.3 PA PY budget_savings'!O32</f>
        <v>0.3</v>
      </c>
      <c r="G22" s="789">
        <f>+'7.3 PA PY budget_savings'!O33</f>
        <v>0.36</v>
      </c>
      <c r="H22" s="775">
        <f>+'7.3 PA PY budget_savings'!P30</f>
        <v>801940.10600000003</v>
      </c>
      <c r="I22" s="775">
        <f>+'7.3 PA PY budget_savings'!Q30</f>
        <v>8.5503</v>
      </c>
      <c r="J22" s="775">
        <f>+'7.3 PA PY budget_savings'!R30</f>
        <v>631466.94799999997</v>
      </c>
      <c r="K22" s="775">
        <f>+'7.3 PA PY budget_savings'!S30</f>
        <v>186.59561780000001</v>
      </c>
      <c r="L22" s="775">
        <f>+'7.3 PA PY budget_savings'!T30</f>
        <v>5279.4890957999996</v>
      </c>
      <c r="M22" s="775">
        <f>SUMIF('4.1 Program Budget - 2024-2027'!$H:$H,$C22,'4.1 Program Budget - 2024-2027'!BL:BL)</f>
        <v>7334599.0300000003</v>
      </c>
      <c r="N22" s="775">
        <f>SUMIF('4.1 Program Budget - 2024-2027'!$H:$H,$C22,'4.1 Program Budget - 2024-2027'!BM:BM)</f>
        <v>9318698.5899999999</v>
      </c>
      <c r="O22" s="775">
        <f>SUMIF('4.1 Program Budget - 2024-2027'!$H:$H,$C22,'4.1 Program Budget - 2024-2027'!BN:BN)</f>
        <v>1822.861613</v>
      </c>
      <c r="P22" s="775">
        <f>SUMIF('4.1 Program Budget - 2024-2027'!$H:$H,$C22,'4.1 Program Budget - 2024-2027'!BO:BO)</f>
        <v>76911.663452000008</v>
      </c>
      <c r="Q22" s="776">
        <f>SUMIF('4.1 Program Budget - 2024-2027'!$H:$H,$C22,'4.1 Program Budget - 2024-2027'!BP:BP)</f>
        <v>0</v>
      </c>
    </row>
    <row r="23" spans="2:17">
      <c r="B23" s="1406"/>
      <c r="C23" s="788" t="s">
        <v>26</v>
      </c>
      <c r="D23" s="775">
        <f>+'7.3 PA PY budget_savings'!O44</f>
        <v>21482458.943729702</v>
      </c>
      <c r="E23" s="775">
        <f>+'7.3 PA PY budget_savings'!O45</f>
        <v>9494781</v>
      </c>
      <c r="F23" s="789">
        <f>+'7.3 PA PY budget_savings'!O46</f>
        <v>0.41</v>
      </c>
      <c r="G23" s="789">
        <f>+'7.3 PA PY budget_savings'!O47</f>
        <v>0.46</v>
      </c>
      <c r="H23" s="775">
        <f>+'7.3 PA PY budget_savings'!P44</f>
        <v>747634.76910999999</v>
      </c>
      <c r="I23" s="775">
        <f>+'7.3 PA PY budget_savings'!Q44</f>
        <v>107.30128000000001</v>
      </c>
      <c r="J23" s="775">
        <f>+'7.3 PA PY budget_savings'!R44</f>
        <v>698912.03700000001</v>
      </c>
      <c r="K23" s="775">
        <f>+'7.3 PA PY budget_savings'!S44</f>
        <v>323.24880765</v>
      </c>
      <c r="L23" s="775">
        <f>+'7.3 PA PY budget_savings'!T44</f>
        <v>4088.6354170000004</v>
      </c>
      <c r="M23" s="775">
        <f>SUMIF('4.1 Program Budget - 2024-2027'!$H:$H,$C23,'4.1 Program Budget - 2024-2027'!BL:BL)</f>
        <v>9087382.6179000009</v>
      </c>
      <c r="N23" s="775">
        <f>SUMIF('4.1 Program Budget - 2024-2027'!$H:$H,$C23,'4.1 Program Budget - 2024-2027'!BM:BM)</f>
        <v>9667407.1107999999</v>
      </c>
      <c r="O23" s="775">
        <f>SUMIF('4.1 Program Budget - 2024-2027'!$H:$H,$C23,'4.1 Program Budget - 2024-2027'!BN:BN)</f>
        <v>4369.3444794999996</v>
      </c>
      <c r="P23" s="775">
        <f>SUMIF('4.1 Program Budget - 2024-2027'!$H:$H,$C23,'4.1 Program Budget - 2024-2027'!BO:BO)</f>
        <v>56554.331602999999</v>
      </c>
      <c r="Q23" s="776">
        <f>SUMIF('4.1 Program Budget - 2024-2027'!$H:$H,$C23,'4.1 Program Budget - 2024-2027'!BP:BP)</f>
        <v>0</v>
      </c>
    </row>
    <row r="24" spans="2:17">
      <c r="B24" s="1406"/>
      <c r="C24" s="778" t="s">
        <v>28</v>
      </c>
      <c r="D24" s="790">
        <f>+'7.3 PA PY budget_savings'!O68</f>
        <v>1461901.3288</v>
      </c>
      <c r="E24" s="791"/>
      <c r="F24" s="792"/>
      <c r="G24" s="792"/>
      <c r="H24" s="791"/>
      <c r="I24" s="791"/>
      <c r="J24" s="793"/>
      <c r="K24" s="791"/>
      <c r="L24" s="791"/>
      <c r="M24" s="791"/>
      <c r="N24" s="791"/>
      <c r="O24" s="791"/>
      <c r="P24" s="791"/>
      <c r="Q24" s="794"/>
    </row>
    <row r="25" spans="2:17" ht="14.65" thickBot="1">
      <c r="B25" s="1406"/>
      <c r="C25" s="795" t="s">
        <v>679</v>
      </c>
      <c r="D25" s="796">
        <f>+'7.3 PA PY budget_savings'!O61</f>
        <v>6123644.7947404468</v>
      </c>
      <c r="E25" s="791"/>
      <c r="F25" s="792"/>
      <c r="G25" s="792"/>
      <c r="H25" s="791"/>
      <c r="I25" s="791"/>
      <c r="J25" s="793"/>
      <c r="K25" s="791"/>
      <c r="L25" s="791"/>
      <c r="M25" s="791"/>
      <c r="N25" s="791"/>
      <c r="O25" s="791"/>
      <c r="P25" s="791"/>
      <c r="Q25" s="794"/>
    </row>
    <row r="26" spans="2:17" ht="14.65" thickBot="1">
      <c r="B26" s="1407"/>
      <c r="C26" s="80" t="s">
        <v>925</v>
      </c>
      <c r="D26" s="83">
        <f>SUBTOTAL(9,D21:D25)</f>
        <v>153091119.86851114</v>
      </c>
      <c r="E26" s="83">
        <f t="shared" ref="E26:J26" si="6">SUBTOTAL(9,E21:E25)</f>
        <v>159287463</v>
      </c>
      <c r="F26" s="149">
        <v>0.83</v>
      </c>
      <c r="G26" s="149">
        <v>1.01</v>
      </c>
      <c r="H26" s="83">
        <f t="shared" si="6"/>
        <v>13144291.759090001</v>
      </c>
      <c r="I26" s="83">
        <f t="shared" si="6"/>
        <v>2927.3280897340001</v>
      </c>
      <c r="J26" s="83">
        <f t="shared" si="6"/>
        <v>30707931.696430001</v>
      </c>
      <c r="K26" s="83">
        <f t="shared" ref="K26:P26" si="7">SUBTOTAL(9,K21:K25)</f>
        <v>3389.345203499</v>
      </c>
      <c r="L26" s="83">
        <f t="shared" si="7"/>
        <v>181274.84863990004</v>
      </c>
      <c r="M26" s="83">
        <f t="shared" si="7"/>
        <v>90544979.151199996</v>
      </c>
      <c r="N26" s="83">
        <f t="shared" si="7"/>
        <v>193359451.23720002</v>
      </c>
      <c r="O26" s="83">
        <f t="shared" si="7"/>
        <v>26032.297748295998</v>
      </c>
      <c r="P26" s="83">
        <f t="shared" si="7"/>
        <v>1154023.5262910002</v>
      </c>
      <c r="Q26" s="90">
        <f t="shared" ref="Q26" si="8">SUBTOTAL(9,Q21:Q25)</f>
        <v>0</v>
      </c>
    </row>
    <row r="27" spans="2:17">
      <c r="B27" s="1408">
        <v>2027</v>
      </c>
      <c r="C27" s="788" t="s">
        <v>18</v>
      </c>
      <c r="D27" s="775">
        <f>+'7.3 PA PY budget_savings'!U16</f>
        <v>102655967.95153219</v>
      </c>
      <c r="E27" s="775">
        <f>+'7.3 PA PY budget_savings'!U17</f>
        <v>155064953</v>
      </c>
      <c r="F27" s="789">
        <f>+'7.3 PA PY budget_savings'!U18</f>
        <v>1.19</v>
      </c>
      <c r="G27" s="789">
        <f>+'7.3 PA PY budget_savings'!U19</f>
        <v>1.55</v>
      </c>
      <c r="H27" s="775">
        <f>+'7.3 PA PY budget_savings'!V16</f>
        <v>11592676.51268</v>
      </c>
      <c r="I27" s="775">
        <f>+'7.3 PA PY budget_savings'!W16</f>
        <v>2811.579174342</v>
      </c>
      <c r="J27" s="775">
        <f>+'7.3 PA PY budget_savings'!X16</f>
        <v>29728704.653330002</v>
      </c>
      <c r="K27" s="775">
        <f>+'7.3 PA PY budget_savings'!Y16</f>
        <v>2705.7661699679998</v>
      </c>
      <c r="L27" s="775">
        <f>+'7.3 PA PY budget_savings'!Z16</f>
        <v>173964.9640721</v>
      </c>
      <c r="M27" s="775">
        <f>SUMIF('4.1 Program Budget - 2024-2027'!$H:$H,$C27,'4.1 Program Budget - 2024-2027'!CD:CD)</f>
        <v>74071230.009299994</v>
      </c>
      <c r="N27" s="775">
        <f>SUMIF('4.1 Program Budget - 2024-2027'!$H:$H,$C27,'4.1 Program Budget - 2024-2027'!CE:CE)</f>
        <v>178295289.06640005</v>
      </c>
      <c r="O27" s="775">
        <f>SUMIF('4.1 Program Budget - 2024-2027'!$H:$H,$C27,'4.1 Program Budget - 2024-2027'!CF:CF)</f>
        <v>19525.984730704</v>
      </c>
      <c r="P27" s="775">
        <f>SUMIF('4.1 Program Budget - 2024-2027'!$H:$H,$C27,'4.1 Program Budget - 2024-2027'!CG:CG)</f>
        <v>1043533.9590260001</v>
      </c>
      <c r="Q27" s="776">
        <f>SUMIF('4.1 Program Budget - 2024-2027'!$H:$H,$C27,'4.1 Program Budget - 2024-2027'!CH:CH)</f>
        <v>0</v>
      </c>
    </row>
    <row r="28" spans="2:17">
      <c r="B28" s="1406"/>
      <c r="C28" s="788" t="s">
        <v>23</v>
      </c>
      <c r="D28" s="775">
        <f>+'7.3 PA PY budget_savings'!U30</f>
        <v>22788975.235632453</v>
      </c>
      <c r="E28" s="775">
        <f>+'7.3 PA PY budget_savings'!U31</f>
        <v>5501798</v>
      </c>
      <c r="F28" s="789">
        <f>+'7.3 PA PY budget_savings'!U32</f>
        <v>0.28999999999999998</v>
      </c>
      <c r="G28" s="789">
        <f>+'7.3 PA PY budget_savings'!U33</f>
        <v>0.34</v>
      </c>
      <c r="H28" s="775">
        <f>+'7.3 PA PY budget_savings'!V30</f>
        <v>801940.10600000003</v>
      </c>
      <c r="I28" s="775">
        <f>+'7.3 PA PY budget_savings'!W30</f>
        <v>8.5503</v>
      </c>
      <c r="J28" s="775">
        <f>+'7.3 PA PY budget_savings'!X30</f>
        <v>518690.94799999997</v>
      </c>
      <c r="K28" s="775">
        <f>+'7.3 PA PY budget_savings'!Y30</f>
        <v>203.33717089999999</v>
      </c>
      <c r="L28" s="775">
        <f>+'7.3 PA PY budget_savings'!Z30</f>
        <v>4587.4890957999996</v>
      </c>
      <c r="M28" s="775">
        <f>SUMIF('4.1 Program Budget - 2024-2027'!$H:$H,$C28,'4.1 Program Budget - 2024-2027'!CD:CD)</f>
        <v>7334599.0300000003</v>
      </c>
      <c r="N28" s="775">
        <f>SUMIF('4.1 Program Budget - 2024-2027'!$H:$H,$C28,'4.1 Program Budget - 2024-2027'!CE:CE)</f>
        <v>7645958.5899999999</v>
      </c>
      <c r="O28" s="775">
        <f>SUMIF('4.1 Program Budget - 2024-2027'!$H:$H,$C28,'4.1 Program Budget - 2024-2027'!CF:CF)</f>
        <v>1851.582713</v>
      </c>
      <c r="P28" s="775">
        <f>SUMIF('4.1 Program Budget - 2024-2027'!$H:$H,$C28,'4.1 Program Budget - 2024-2027'!CG:CG)</f>
        <v>66809.663452000008</v>
      </c>
      <c r="Q28" s="776">
        <f>SUMIF('4.1 Program Budget - 2024-2027'!$H:$H,$C28,'4.1 Program Budget - 2024-2027'!CH:CH)</f>
        <v>0</v>
      </c>
    </row>
    <row r="29" spans="2:17">
      <c r="B29" s="1406"/>
      <c r="C29" s="788" t="s">
        <v>26</v>
      </c>
      <c r="D29" s="775">
        <f>+'7.3 PA PY budget_savings'!U44</f>
        <v>21535644.579179425</v>
      </c>
      <c r="E29" s="775">
        <f>+'7.3 PA PY budget_savings'!U45</f>
        <v>9972055</v>
      </c>
      <c r="F29" s="789">
        <f>+'7.3 PA PY budget_savings'!U46</f>
        <v>0.42</v>
      </c>
      <c r="G29" s="789">
        <f>+'7.3 PA PY budget_savings'!U47</f>
        <v>0.48</v>
      </c>
      <c r="H29" s="775">
        <f>+'7.3 PA PY budget_savings'!V44</f>
        <v>747634.76910999999</v>
      </c>
      <c r="I29" s="775">
        <f>+'7.3 PA PY budget_savings'!W44</f>
        <v>107.30128000000001</v>
      </c>
      <c r="J29" s="775">
        <f>+'7.3 PA PY budget_savings'!X44</f>
        <v>698912.03700000001</v>
      </c>
      <c r="K29" s="775">
        <f>+'7.3 PA PY budget_savings'!Y44</f>
        <v>331.88507243999999</v>
      </c>
      <c r="L29" s="775">
        <f>+'7.3 PA PY budget_savings'!Z44</f>
        <v>4088.6354170000004</v>
      </c>
      <c r="M29" s="775">
        <f>SUMIF('4.1 Program Budget - 2024-2027'!$H:$H,$C29,'4.1 Program Budget - 2024-2027'!CD:CD)</f>
        <v>9087382.6179000009</v>
      </c>
      <c r="N29" s="775">
        <f>SUMIF('4.1 Program Budget - 2024-2027'!$H:$H,$C29,'4.1 Program Budget - 2024-2027'!CE:CE)</f>
        <v>9667407.1107999999</v>
      </c>
      <c r="O29" s="775">
        <f>SUMIF('4.1 Program Budget - 2024-2027'!$H:$H,$C29,'4.1 Program Budget - 2024-2027'!CF:CF)</f>
        <v>4447.3641186000004</v>
      </c>
      <c r="P29" s="775">
        <f>SUMIF('4.1 Program Budget - 2024-2027'!$H:$H,$C29,'4.1 Program Budget - 2024-2027'!CG:CG)</f>
        <v>56554.331602999999</v>
      </c>
      <c r="Q29" s="776">
        <f>SUMIF('4.1 Program Budget - 2024-2027'!$H:$H,$C29,'4.1 Program Budget - 2024-2027'!CH:CH)</f>
        <v>0</v>
      </c>
    </row>
    <row r="30" spans="2:17">
      <c r="B30" s="1406"/>
      <c r="C30" s="778" t="s">
        <v>28</v>
      </c>
      <c r="D30" s="790">
        <f>+'7.3 PA PY budget_savings'!U68</f>
        <v>1461901.3288</v>
      </c>
      <c r="E30" s="791"/>
      <c r="F30" s="792"/>
      <c r="G30" s="792"/>
      <c r="H30" s="791"/>
      <c r="I30" s="791"/>
      <c r="J30" s="793"/>
      <c r="K30" s="791"/>
      <c r="L30" s="791"/>
      <c r="M30" s="791"/>
      <c r="N30" s="791"/>
      <c r="O30" s="791"/>
      <c r="P30" s="791"/>
      <c r="Q30" s="793"/>
    </row>
    <row r="31" spans="2:17" ht="14.65" thickBot="1">
      <c r="B31" s="1406"/>
      <c r="C31" s="795" t="s">
        <v>679</v>
      </c>
      <c r="D31" s="796">
        <f>+'7.3 PA PY budget_savings'!U61</f>
        <v>6185103.7122976705</v>
      </c>
      <c r="E31" s="791"/>
      <c r="F31" s="792"/>
      <c r="G31" s="792"/>
      <c r="H31" s="791"/>
      <c r="I31" s="791"/>
      <c r="J31" s="793"/>
      <c r="K31" s="791"/>
      <c r="L31" s="791"/>
      <c r="M31" s="791"/>
      <c r="N31" s="791"/>
      <c r="O31" s="791"/>
      <c r="P31" s="791"/>
      <c r="Q31" s="793"/>
    </row>
    <row r="32" spans="2:17" ht="14.65" thickBot="1">
      <c r="B32" s="1407"/>
      <c r="C32" s="80" t="s">
        <v>925</v>
      </c>
      <c r="D32" s="83">
        <f>SUBTOTAL(9,D27:D31)</f>
        <v>154627592.80744174</v>
      </c>
      <c r="E32" s="83">
        <f t="shared" ref="E32:J32" si="9">SUBTOTAL(9,E27:E31)</f>
        <v>170538806</v>
      </c>
      <c r="F32" s="149">
        <v>0.88</v>
      </c>
      <c r="G32" s="149">
        <v>1.07</v>
      </c>
      <c r="H32" s="83">
        <f t="shared" si="9"/>
        <v>13142251.38779</v>
      </c>
      <c r="I32" s="83">
        <f t="shared" si="9"/>
        <v>2927.430754342</v>
      </c>
      <c r="J32" s="83">
        <f t="shared" si="9"/>
        <v>30946307.638330001</v>
      </c>
      <c r="K32" s="83">
        <f t="shared" ref="K32:Q32" si="10">SUBTOTAL(9,K27:K31)</f>
        <v>3240.9884133079995</v>
      </c>
      <c r="L32" s="83">
        <f t="shared" si="10"/>
        <v>182641.08858490002</v>
      </c>
      <c r="M32" s="83">
        <f t="shared" si="10"/>
        <v>90493211.657199994</v>
      </c>
      <c r="N32" s="83">
        <f t="shared" si="10"/>
        <v>195608654.76720005</v>
      </c>
      <c r="O32" s="83">
        <f t="shared" si="10"/>
        <v>25824.931562304002</v>
      </c>
      <c r="P32" s="83">
        <f t="shared" si="10"/>
        <v>1166897.9540810001</v>
      </c>
      <c r="Q32" s="83">
        <f t="shared" si="10"/>
        <v>0</v>
      </c>
    </row>
    <row r="33" spans="2:17">
      <c r="B33" s="1408">
        <v>2028</v>
      </c>
      <c r="C33" s="788" t="s">
        <v>18</v>
      </c>
      <c r="D33" s="775">
        <f>+'7.3 PA PY budget_savings'!AA16</f>
        <v>105940958.92598121</v>
      </c>
      <c r="E33" s="775">
        <f>+'7.3 PA PY budget_savings'!AA17</f>
        <v>167567386</v>
      </c>
      <c r="F33" s="789">
        <f>+'7.3 PA PY budget_savings'!AA18</f>
        <v>1.25</v>
      </c>
      <c r="G33" s="789">
        <f>+'7.3 PA PY budget_savings'!AA19</f>
        <v>1.62</v>
      </c>
      <c r="H33" s="775">
        <f>+'7.3 PA PY budget_savings'!AB16</f>
        <v>20358198</v>
      </c>
      <c r="I33" s="775">
        <f>+'7.3 PA PY budget_savings'!AC16</f>
        <v>4968</v>
      </c>
      <c r="J33" s="775">
        <f>+'7.3 PA PY budget_savings'!AD16</f>
        <v>29598265</v>
      </c>
      <c r="K33" s="775">
        <f>+'7.3 PA PY budget_savings'!AE16</f>
        <v>4343</v>
      </c>
      <c r="L33" s="775">
        <f>+'7.3 PA PY budget_savings'!AF16</f>
        <v>173150</v>
      </c>
      <c r="M33" s="775">
        <f>SUMIF('4.2 Program Budget 2028-2031'!$F:$F,$C33,'4.2 Program Budget 2028-2031'!O:O)</f>
        <v>178324981</v>
      </c>
      <c r="N33" s="775">
        <f>SUMIF('4.2 Program Budget 2028-2031'!$F:$F,$C33,'4.2 Program Budget 2028-2031'!P:P)</f>
        <v>167746752</v>
      </c>
      <c r="O33" s="775">
        <f>SUMIF('4.2 Program Budget 2028-2031'!$F:$F,$C33,'4.2 Program Budget 2028-2031'!Q:Q)</f>
        <v>40317</v>
      </c>
      <c r="P33" s="775">
        <f>SUMIF('4.2 Program Budget 2028-2031'!$F:$F,$C33,'4.2 Program Budget 2028-2031'!R:R)</f>
        <v>981318</v>
      </c>
      <c r="Q33" s="776">
        <f>SUMIF('4.2 Program Budget 2028-2031'!$F:$F,$C33,'4.2 Program Budget 2028-2031'!S:S)</f>
        <v>0</v>
      </c>
    </row>
    <row r="34" spans="2:17">
      <c r="B34" s="1406"/>
      <c r="C34" s="788" t="s">
        <v>23</v>
      </c>
      <c r="D34" s="775">
        <f>+'7.3 PA PY budget_savings'!AA30</f>
        <v>23518222.443172693</v>
      </c>
      <c r="E34" s="775">
        <f>+'7.3 PA PY budget_savings'!AA31</f>
        <v>5269410</v>
      </c>
      <c r="F34" s="789">
        <f>+'7.3 PA PY budget_savings'!AA32</f>
        <v>0.27</v>
      </c>
      <c r="G34" s="789">
        <f>+'7.3 PA PY budget_savings'!AA33</f>
        <v>0.32</v>
      </c>
      <c r="H34" s="775">
        <f>+'7.3 PA PY budget_savings'!AB30</f>
        <v>2977431.44</v>
      </c>
      <c r="I34" s="775">
        <f>+'7.3 PA PY budget_savings'!AC30</f>
        <v>606.37</v>
      </c>
      <c r="J34" s="775">
        <f>+'7.3 PA PY budget_savings'!AD30</f>
        <v>173494.64</v>
      </c>
      <c r="K34" s="775">
        <f>+'7.3 PA PY budget_savings'!AE30</f>
        <v>607.21</v>
      </c>
      <c r="L34" s="775">
        <f>+'7.3 PA PY budget_savings'!AF30</f>
        <v>1015.07</v>
      </c>
      <c r="M34" s="775">
        <f>SUMIF('4.2 Program Budget 2028-2031'!$F:$F,$C34,'4.2 Program Budget 2028-2031'!O:O)</f>
        <v>39762114.100000001</v>
      </c>
      <c r="N34" s="775">
        <f>SUMIF('4.2 Program Budget 2028-2031'!$F:$F,$C34,'4.2 Program Budget 2028-2031'!P:P)</f>
        <v>2445548.52</v>
      </c>
      <c r="O34" s="775">
        <f>SUMIF('4.2 Program Budget 2028-2031'!$F:$F,$C34,'4.2 Program Budget 2028-2031'!Q:Q)</f>
        <v>8249.6</v>
      </c>
      <c r="P34" s="775">
        <f>SUMIF('4.2 Program Budget 2028-2031'!$F:$F,$C34,'4.2 Program Budget 2028-2031'!R:R)</f>
        <v>14307.1</v>
      </c>
      <c r="Q34" s="776">
        <f>SUMIF('4.2 Program Budget 2028-2031'!$F:$F,$C34,'4.2 Program Budget 2028-2031'!S:S)</f>
        <v>0</v>
      </c>
    </row>
    <row r="35" spans="2:17">
      <c r="B35" s="1406"/>
      <c r="C35" s="788" t="s">
        <v>26</v>
      </c>
      <c r="D35" s="775">
        <f>+'7.3 PA PY budget_savings'!AA44</f>
        <v>22224785.205713168</v>
      </c>
      <c r="E35" s="775">
        <f>+'7.3 PA PY budget_savings'!AA45</f>
        <v>10784704.560000001</v>
      </c>
      <c r="F35" s="789">
        <f>+'7.3 PA PY budget_savings'!AA46</f>
        <v>0.45</v>
      </c>
      <c r="G35" s="789">
        <f>+'7.3 PA PY budget_savings'!AA47</f>
        <v>0.5</v>
      </c>
      <c r="H35" s="775">
        <f>+'7.3 PA PY budget_savings'!AB44</f>
        <v>771559.1</v>
      </c>
      <c r="I35" s="775">
        <f>+'7.3 PA PY budget_savings'!AC44</f>
        <v>110.73</v>
      </c>
      <c r="J35" s="775">
        <f>+'7.3 PA PY budget_savings'!AD44</f>
        <v>721277.23</v>
      </c>
      <c r="K35" s="775">
        <f>+'7.3 PA PY budget_savings'!AE44</f>
        <v>358.83</v>
      </c>
      <c r="L35" s="775">
        <f>+'7.3 PA PY budget_savings'!AF44</f>
        <v>4219.47</v>
      </c>
      <c r="M35" s="775">
        <f>SUMIF('4.2 Program Budget 2028-2031'!$F:$F,$C35,'4.2 Program Budget 2028-2031'!O:O)</f>
        <v>9378179.0500000007</v>
      </c>
      <c r="N35" s="775">
        <f>SUMIF('4.2 Program Budget 2028-2031'!$F:$F,$C35,'4.2 Program Budget 2028-2031'!P:P)</f>
        <v>9976764.1300000008</v>
      </c>
      <c r="O35" s="775">
        <f>SUMIF('4.2 Program Budget 2028-2031'!$F:$F,$C35,'4.2 Program Budget 2028-2031'!Q:Q)</f>
        <v>4669.09</v>
      </c>
      <c r="P35" s="775">
        <f>SUMIF('4.2 Program Budget 2028-2031'!$F:$F,$C35,'4.2 Program Budget 2028-2031'!R:R)</f>
        <v>58364.07</v>
      </c>
      <c r="Q35" s="776">
        <f>SUMIF('4.2 Program Budget 2028-2031'!$F:$F,$C35,'4.2 Program Budget 2028-2031'!S:S)</f>
        <v>0</v>
      </c>
    </row>
    <row r="36" spans="2:17">
      <c r="B36" s="1406"/>
      <c r="C36" s="778" t="s">
        <v>28</v>
      </c>
      <c r="D36" s="790">
        <f>+'7.3 PA PY budget_savings'!AA68</f>
        <v>1508682.1713216</v>
      </c>
      <c r="E36" s="791"/>
      <c r="F36" s="792"/>
      <c r="G36" s="792"/>
      <c r="H36" s="791"/>
      <c r="I36" s="791"/>
      <c r="J36" s="793"/>
      <c r="K36" s="791"/>
      <c r="L36" s="791"/>
      <c r="M36" s="791"/>
      <c r="N36" s="791"/>
      <c r="O36" s="791"/>
      <c r="P36" s="791"/>
      <c r="Q36" s="794"/>
    </row>
    <row r="37" spans="2:17" ht="14.65" thickBot="1">
      <c r="B37" s="1406"/>
      <c r="C37" s="795" t="s">
        <v>679</v>
      </c>
      <c r="D37" s="796">
        <f>+'7.3 PA PY budget_savings'!AA61</f>
        <v>6383027.0310911946</v>
      </c>
      <c r="E37" s="791"/>
      <c r="F37" s="792"/>
      <c r="G37" s="792"/>
      <c r="H37" s="791"/>
      <c r="I37" s="791"/>
      <c r="J37" s="793"/>
      <c r="K37" s="791"/>
      <c r="L37" s="791"/>
      <c r="M37" s="791"/>
      <c r="N37" s="791"/>
      <c r="O37" s="791"/>
      <c r="P37" s="791"/>
      <c r="Q37" s="794"/>
    </row>
    <row r="38" spans="2:17" ht="14.65" thickBot="1">
      <c r="B38" s="1407"/>
      <c r="C38" s="80" t="s">
        <v>925</v>
      </c>
      <c r="D38" s="83">
        <f>SUBTOTAL(9,D33:D37)</f>
        <v>159575675.77727985</v>
      </c>
      <c r="E38" s="83">
        <f t="shared" ref="E38:J38" si="11">SUBTOTAL(9,E33:E37)</f>
        <v>183621500.56</v>
      </c>
      <c r="F38" s="149">
        <v>0.92</v>
      </c>
      <c r="G38" s="149">
        <v>1.1200000000000001</v>
      </c>
      <c r="H38" s="83">
        <f t="shared" si="11"/>
        <v>24107188.540000003</v>
      </c>
      <c r="I38" s="83">
        <f t="shared" si="11"/>
        <v>5685.0999999999995</v>
      </c>
      <c r="J38" s="83">
        <f t="shared" si="11"/>
        <v>30493036.870000001</v>
      </c>
      <c r="K38" s="83">
        <f t="shared" ref="K38:P38" si="12">SUBTOTAL(9,K33:K37)</f>
        <v>5309.04</v>
      </c>
      <c r="L38" s="83">
        <f t="shared" si="12"/>
        <v>178384.54</v>
      </c>
      <c r="M38" s="83">
        <f t="shared" si="12"/>
        <v>227465274.15000001</v>
      </c>
      <c r="N38" s="83">
        <f t="shared" si="12"/>
        <v>180169064.65000001</v>
      </c>
      <c r="O38" s="83">
        <f t="shared" si="12"/>
        <v>53235.69</v>
      </c>
      <c r="P38" s="83">
        <f t="shared" si="12"/>
        <v>1053989.17</v>
      </c>
      <c r="Q38" s="90">
        <f t="shared" ref="Q38" si="13">SUBTOTAL(9,Q33:Q37)</f>
        <v>0</v>
      </c>
    </row>
    <row r="39" spans="2:17">
      <c r="B39" s="1408">
        <v>2029</v>
      </c>
      <c r="C39" s="788" t="s">
        <v>18</v>
      </c>
      <c r="D39" s="775">
        <f>+'7.3 PA PY budget_savings'!AG16</f>
        <v>109331069.61161262</v>
      </c>
      <c r="E39" s="775">
        <f>+'7.3 PA PY budget_savings'!AG17</f>
        <v>180514257</v>
      </c>
      <c r="F39" s="789">
        <f>+'7.3 PA PY budget_savings'!AG18</f>
        <v>1.3</v>
      </c>
      <c r="G39" s="789">
        <f>+'7.3 PA PY budget_savings'!AG19</f>
        <v>1.7</v>
      </c>
      <c r="H39" s="775">
        <f>+'7.3 PA PY budget_savings'!AH16</f>
        <v>20741036</v>
      </c>
      <c r="I39" s="775">
        <f>+'7.3 PA PY budget_savings'!AI16</f>
        <v>5062</v>
      </c>
      <c r="J39" s="775">
        <f>+'7.3 PA PY budget_savings'!AJ16</f>
        <v>30513815</v>
      </c>
      <c r="K39" s="775">
        <f>+'7.3 PA PY budget_savings'!AK16</f>
        <v>4043</v>
      </c>
      <c r="L39" s="775">
        <f>+'7.3 PA PY budget_savings'!AL16</f>
        <v>178505</v>
      </c>
      <c r="M39" s="775">
        <f>SUMIF('4.2 Program Budget 2028-2031'!$F:$F,$C39,'4.2 Program Budget 2028-2031'!Z:Z)</f>
        <v>180771107</v>
      </c>
      <c r="N39" s="775">
        <f>SUMIF('4.2 Program Budget 2028-2031'!$F:$F,$C39,'4.2 Program Budget 2028-2031'!AA:AA)</f>
        <v>172653159</v>
      </c>
      <c r="O39" s="775">
        <f>SUMIF('4.2 Program Budget 2028-2031'!$F:$F,$C39,'4.2 Program Budget 2028-2031'!AB:AB)</f>
        <v>41335</v>
      </c>
      <c r="P39" s="775">
        <f>SUMIF('4.2 Program Budget 2028-2031'!$F:$F,$C39,'4.2 Program Budget 2028-2031'!AC:AC)</f>
        <v>1010021</v>
      </c>
      <c r="Q39" s="776">
        <f>SUMIF('4.2 Program Budget 2028-2031'!$F:$F,$C39,'4.2 Program Budget 2028-2031'!AD:AD)</f>
        <v>0</v>
      </c>
    </row>
    <row r="40" spans="2:17">
      <c r="B40" s="1406"/>
      <c r="C40" s="788" t="s">
        <v>23</v>
      </c>
      <c r="D40" s="775">
        <f>+'7.3 PA PY budget_savings'!AG30</f>
        <v>24270805.561354224</v>
      </c>
      <c r="E40" s="775">
        <f>+'7.3 PA PY budget_savings'!AG31</f>
        <v>5572922</v>
      </c>
      <c r="F40" s="789">
        <f>+'7.3 PA PY budget_savings'!AG32</f>
        <v>0.28000000000000003</v>
      </c>
      <c r="G40" s="789">
        <f>+'7.3 PA PY budget_savings'!AG33</f>
        <v>0.33</v>
      </c>
      <c r="H40" s="775">
        <f>+'7.3 PA PY budget_savings'!AH30</f>
        <v>3003915</v>
      </c>
      <c r="I40" s="775">
        <f>+'7.3 PA PY budget_savings'!AI30</f>
        <v>607</v>
      </c>
      <c r="J40" s="775">
        <f>+'7.3 PA PY budget_savings'!AJ30</f>
        <v>176201</v>
      </c>
      <c r="K40" s="775">
        <f>+'7.3 PA PY budget_savings'!AK30</f>
        <v>539</v>
      </c>
      <c r="L40" s="775">
        <f>+'7.3 PA PY budget_savings'!AL30</f>
        <v>1031</v>
      </c>
      <c r="M40" s="775">
        <f>SUMIF('4.2 Program Budget 2028-2031'!$F:$F,$C40,'4.2 Program Budget 2028-2031'!Z:Z)</f>
        <v>40004332</v>
      </c>
      <c r="N40" s="775">
        <f>SUMIF('4.2 Program Budget 2028-2031'!$F:$F,$C40,'4.2 Program Budget 2028-2031'!AA:AA)</f>
        <v>2481862</v>
      </c>
      <c r="O40" s="775">
        <f>SUMIF('4.2 Program Budget 2028-2031'!$F:$F,$C40,'4.2 Program Budget 2028-2031'!AB:AB)</f>
        <v>8450</v>
      </c>
      <c r="P40" s="775">
        <f>SUMIF('4.2 Program Budget 2028-2031'!$F:$F,$C40,'4.2 Program Budget 2028-2031'!AC:AC)</f>
        <v>14520</v>
      </c>
      <c r="Q40" s="776">
        <f>SUMIF('4.2 Program Budget 2028-2031'!$F:$F,$C40,'4.2 Program Budget 2028-2031'!AD:AD)</f>
        <v>0</v>
      </c>
    </row>
    <row r="41" spans="2:17">
      <c r="B41" s="1406"/>
      <c r="C41" s="788" t="s">
        <v>26</v>
      </c>
      <c r="D41" s="775">
        <f>+'7.3 PA PY budget_savings'!AG44</f>
        <v>22935978.332295991</v>
      </c>
      <c r="E41" s="775">
        <f>+'7.3 PA PY budget_savings'!AG45</f>
        <v>11648913</v>
      </c>
      <c r="F41" s="789">
        <f>+'7.3 PA PY budget_savings'!AG46</f>
        <v>0.47</v>
      </c>
      <c r="G41" s="789">
        <f>+'7.3 PA PY budget_savings'!AG47</f>
        <v>0.52</v>
      </c>
      <c r="H41" s="775">
        <f>+'7.3 PA PY budget_savings'!AH44</f>
        <v>796248.99</v>
      </c>
      <c r="I41" s="775">
        <f>+'7.3 PA PY budget_savings'!AI44</f>
        <v>114.28</v>
      </c>
      <c r="J41" s="775">
        <f>+'7.3 PA PY budget_savings'!AJ44</f>
        <v>744358.1</v>
      </c>
      <c r="K41" s="775">
        <f>+'7.3 PA PY budget_savings'!AK44</f>
        <v>336.98</v>
      </c>
      <c r="L41" s="775">
        <f>+'7.3 PA PY budget_savings'!AL44</f>
        <v>4354.49</v>
      </c>
      <c r="M41" s="775">
        <f>SUMIF('4.2 Program Budget 2028-2031'!$F:$F,$C41,'4.2 Program Budget 2028-2031'!Z:Z)</f>
        <v>9678280.7699999996</v>
      </c>
      <c r="N41" s="775">
        <f>SUMIF('4.2 Program Budget 2028-2031'!$F:$F,$C41,'4.2 Program Budget 2028-2031'!AA:AA)</f>
        <v>10296020.59</v>
      </c>
      <c r="O41" s="775">
        <f>SUMIF('4.2 Program Budget 2028-2031'!$F:$F,$C41,'4.2 Program Budget 2028-2031'!AB:AB)</f>
        <v>4890.91</v>
      </c>
      <c r="P41" s="775">
        <f>SUMIF('4.2 Program Budget 2028-2031'!$F:$F,$C41,'4.2 Program Budget 2028-2031'!AC:AC)</f>
        <v>60231.72</v>
      </c>
      <c r="Q41" s="776">
        <f>SUMIF('4.2 Program Budget 2028-2031'!$F:$F,$C41,'4.2 Program Budget 2028-2031'!AD:AD)</f>
        <v>0</v>
      </c>
    </row>
    <row r="42" spans="2:17">
      <c r="B42" s="1406"/>
      <c r="C42" s="778" t="s">
        <v>28</v>
      </c>
      <c r="D42" s="790">
        <f>+'7.3 PA PY budget_savings'!AG68</f>
        <v>1556960.0008038911</v>
      </c>
      <c r="E42" s="791"/>
      <c r="F42" s="792"/>
      <c r="G42" s="792"/>
      <c r="H42" s="791"/>
      <c r="I42" s="791"/>
      <c r="J42" s="793"/>
      <c r="K42" s="791"/>
      <c r="L42" s="791"/>
      <c r="M42" s="791"/>
      <c r="N42" s="791"/>
      <c r="O42" s="791"/>
      <c r="P42" s="791"/>
      <c r="Q42" s="794"/>
    </row>
    <row r="43" spans="2:17" ht="14.65" thickBot="1">
      <c r="B43" s="1406"/>
      <c r="C43" s="795" t="s">
        <v>679</v>
      </c>
      <c r="D43" s="796">
        <f>+'7.3 PA PY budget_savings'!AG61</f>
        <v>6587283.8960861135</v>
      </c>
      <c r="E43" s="791"/>
      <c r="F43" s="792"/>
      <c r="G43" s="792"/>
      <c r="H43" s="791"/>
      <c r="I43" s="791"/>
      <c r="J43" s="793"/>
      <c r="K43" s="791"/>
      <c r="L43" s="791"/>
      <c r="M43" s="791"/>
      <c r="N43" s="791"/>
      <c r="O43" s="791"/>
      <c r="P43" s="791"/>
      <c r="Q43" s="794"/>
    </row>
    <row r="44" spans="2:17" ht="14.65" thickBot="1">
      <c r="B44" s="1407"/>
      <c r="C44" s="80" t="s">
        <v>925</v>
      </c>
      <c r="D44" s="83">
        <f>SUBTOTAL(9,D39:D43)</f>
        <v>164682097.40215284</v>
      </c>
      <c r="E44" s="83">
        <f t="shared" ref="E44:J44" si="14">SUBTOTAL(9,E39:E43)</f>
        <v>197736092</v>
      </c>
      <c r="F44" s="149">
        <v>0.96</v>
      </c>
      <c r="G44" s="149">
        <v>1.17</v>
      </c>
      <c r="H44" s="83">
        <f t="shared" si="14"/>
        <v>24541199.989999998</v>
      </c>
      <c r="I44" s="83">
        <f t="shared" si="14"/>
        <v>5783.28</v>
      </c>
      <c r="J44" s="83">
        <f t="shared" si="14"/>
        <v>31434374.100000001</v>
      </c>
      <c r="K44" s="83">
        <f t="shared" ref="K44:P44" si="15">SUBTOTAL(9,K39:K43)</f>
        <v>4918.9799999999996</v>
      </c>
      <c r="L44" s="83">
        <f t="shared" si="15"/>
        <v>183890.49</v>
      </c>
      <c r="M44" s="83">
        <f t="shared" si="15"/>
        <v>230453719.77000001</v>
      </c>
      <c r="N44" s="83">
        <f t="shared" si="15"/>
        <v>185431041.59</v>
      </c>
      <c r="O44" s="83">
        <f t="shared" si="15"/>
        <v>54675.91</v>
      </c>
      <c r="P44" s="83">
        <f t="shared" si="15"/>
        <v>1084772.72</v>
      </c>
      <c r="Q44" s="90">
        <f t="shared" ref="Q44" si="16">SUBTOTAL(9,Q39:Q43)</f>
        <v>0</v>
      </c>
    </row>
    <row r="45" spans="2:17">
      <c r="B45" s="1408">
        <v>2030</v>
      </c>
      <c r="C45" s="788" t="s">
        <v>18</v>
      </c>
      <c r="D45" s="775">
        <f>+'7.3 PA PY budget_savings'!AM16</f>
        <v>112829663.83918422</v>
      </c>
      <c r="E45" s="775">
        <f>+'7.3 PA PY budget_savings'!AM17</f>
        <v>194339454</v>
      </c>
      <c r="F45" s="789">
        <f>+'7.3 PA PY budget_savings'!AM18</f>
        <v>1.36</v>
      </c>
      <c r="G45" s="789">
        <f>+'7.3 PA PY budget_savings'!AM19</f>
        <v>1.77</v>
      </c>
      <c r="H45" s="775">
        <f>+'7.3 PA PY budget_savings'!AN16</f>
        <v>21136121</v>
      </c>
      <c r="I45" s="775">
        <f>+'7.3 PA PY budget_savings'!AO16</f>
        <v>5158</v>
      </c>
      <c r="J45" s="775">
        <f>+'7.3 PA PY budget_savings'!AP16</f>
        <v>31458660</v>
      </c>
      <c r="K45" s="775">
        <f>+'7.3 PA PY budget_savings'!AQ16</f>
        <v>4110</v>
      </c>
      <c r="L45" s="775">
        <f>+'7.3 PA PY budget_savings'!AR16</f>
        <v>184033</v>
      </c>
      <c r="M45" s="775">
        <f>SUMIF('4.2 Program Budget 2028-2031'!$F:$F,$C45,'4.2 Program Budget 2028-2031'!AK:AK)</f>
        <v>183295513</v>
      </c>
      <c r="N45" s="775">
        <f>SUMIF('4.2 Program Budget 2028-2031'!$F:$F,$C45,'4.2 Program Budget 2028-2031'!AL:AL)</f>
        <v>177716572</v>
      </c>
      <c r="O45" s="775">
        <f>SUMIF('4.2 Program Budget 2028-2031'!$F:$F,$C45,'4.2 Program Budget 2028-2031'!AM:AM)</f>
        <v>42846</v>
      </c>
      <c r="P45" s="775">
        <f>SUMIF('4.2 Program Budget 2028-2031'!$F:$F,$C45,'4.2 Program Budget 2028-2031'!AN:AN)</f>
        <v>1039642</v>
      </c>
      <c r="Q45" s="776">
        <f>SUMIF('4.2 Program Budget 2028-2031'!$F:$F,$C45,'4.2 Program Budget 2028-2031'!AO:AO)</f>
        <v>0</v>
      </c>
    </row>
    <row r="46" spans="2:17">
      <c r="B46" s="1406"/>
      <c r="C46" s="788" t="s">
        <v>23</v>
      </c>
      <c r="D46" s="775">
        <f>+'7.3 PA PY budget_savings'!AM30</f>
        <v>25047471.339317556</v>
      </c>
      <c r="E46" s="775">
        <f>+'7.3 PA PY budget_savings'!AM31</f>
        <v>5895043</v>
      </c>
      <c r="F46" s="789">
        <f>+'7.3 PA PY budget_savings'!AM32</f>
        <v>0.28999999999999998</v>
      </c>
      <c r="G46" s="789">
        <f>+'7.3 PA PY budget_savings'!AM33</f>
        <v>0.33</v>
      </c>
      <c r="H46" s="775">
        <f>+'7.3 PA PY budget_savings'!AN30</f>
        <v>3031245</v>
      </c>
      <c r="I46" s="775">
        <f>+'7.3 PA PY budget_savings'!AO30</f>
        <v>607</v>
      </c>
      <c r="J46" s="775">
        <f>+'7.3 PA PY budget_savings'!AP30</f>
        <v>178995</v>
      </c>
      <c r="K46" s="775">
        <f>+'7.3 PA PY budget_savings'!AQ30</f>
        <v>551</v>
      </c>
      <c r="L46" s="775">
        <f>+'7.3 PA PY budget_savings'!AR30</f>
        <v>1047</v>
      </c>
      <c r="M46" s="775">
        <f>SUMIF('4.2 Program Budget 2028-2031'!$F:$F,$C46,'4.2 Program Budget 2028-2031'!AK:AK)</f>
        <v>40254301</v>
      </c>
      <c r="N46" s="775">
        <f>SUMIF('4.2 Program Budget 2028-2031'!$F:$F,$C46,'4.2 Program Budget 2028-2031'!AL:AL)</f>
        <v>2519337</v>
      </c>
      <c r="O46" s="775">
        <f>SUMIF('4.2 Program Budget 2028-2031'!$F:$F,$C46,'4.2 Program Budget 2028-2031'!AM:AM)</f>
        <v>8745</v>
      </c>
      <c r="P46" s="775">
        <f>SUMIF('4.2 Program Budget 2028-2031'!$F:$F,$C46,'4.2 Program Budget 2028-2031'!AN:AN)</f>
        <v>14739</v>
      </c>
      <c r="Q46" s="776">
        <f>SUMIF('4.2 Program Budget 2028-2031'!$F:$F,$C46,'4.2 Program Budget 2028-2031'!AO:AO)</f>
        <v>0</v>
      </c>
    </row>
    <row r="47" spans="2:17">
      <c r="B47" s="1406"/>
      <c r="C47" s="788" t="s">
        <v>26</v>
      </c>
      <c r="D47" s="775">
        <f>+'7.3 PA PY budget_savings'!AM44</f>
        <v>23669929.63892946</v>
      </c>
      <c r="E47" s="775">
        <f>+'7.3 PA PY budget_savings'!AM45</f>
        <v>12580219.02</v>
      </c>
      <c r="F47" s="789">
        <f>+'7.3 PA PY budget_savings'!AM46</f>
        <v>0.49</v>
      </c>
      <c r="G47" s="789">
        <f>+'7.3 PA PY budget_savings'!AM47</f>
        <v>0.55000000000000004</v>
      </c>
      <c r="H47" s="775">
        <f>+'7.3 PA PY budget_savings'!AN44</f>
        <v>821728.96</v>
      </c>
      <c r="I47" s="775">
        <f>+'7.3 PA PY budget_savings'!AO44</f>
        <v>117.94</v>
      </c>
      <c r="J47" s="775">
        <f>+'7.3 PA PY budget_savings'!AP44</f>
        <v>768177.56</v>
      </c>
      <c r="K47" s="775">
        <f>+'7.3 PA PY budget_savings'!AQ44</f>
        <v>361.72</v>
      </c>
      <c r="L47" s="775">
        <f>+'7.3 PA PY budget_savings'!AR44</f>
        <v>4493.84</v>
      </c>
      <c r="M47" s="775">
        <f>SUMIF('4.2 Program Budget 2028-2031'!$F:$F,$C47,'4.2 Program Budget 2028-2031'!AK:AK)</f>
        <v>9987985.7599999998</v>
      </c>
      <c r="N47" s="775">
        <f>SUMIF('4.2 Program Budget 2028-2031'!$F:$F,$C47,'4.2 Program Budget 2028-2031'!AL:AL)</f>
        <v>10625493.25</v>
      </c>
      <c r="O47" s="775">
        <f>SUMIF('4.2 Program Budget 2028-2031'!$F:$F,$C47,'4.2 Program Budget 2028-2031'!AM:AM)</f>
        <v>5163.84</v>
      </c>
      <c r="P47" s="775">
        <f>SUMIF('4.2 Program Budget 2028-2031'!$F:$F,$C47,'4.2 Program Budget 2028-2031'!AN:AN)</f>
        <v>62159.14</v>
      </c>
      <c r="Q47" s="776">
        <f>SUMIF('4.2 Program Budget 2028-2031'!$F:$F,$C47,'4.2 Program Budget 2028-2031'!AO:AO)</f>
        <v>0</v>
      </c>
    </row>
    <row r="48" spans="2:17">
      <c r="B48" s="1406"/>
      <c r="C48" s="778" t="s">
        <v>28</v>
      </c>
      <c r="D48" s="790">
        <f>+'7.3 PA PY budget_savings'!AM68</f>
        <v>1606782.7208296156</v>
      </c>
      <c r="E48" s="791"/>
      <c r="F48" s="792"/>
      <c r="G48" s="792"/>
      <c r="H48" s="791"/>
      <c r="I48" s="791"/>
      <c r="J48" s="793"/>
      <c r="K48" s="791"/>
      <c r="L48" s="791"/>
      <c r="M48" s="791"/>
      <c r="N48" s="791"/>
      <c r="O48" s="791"/>
      <c r="P48" s="791"/>
      <c r="Q48" s="794"/>
    </row>
    <row r="49" spans="2:17" ht="14.65" thickBot="1">
      <c r="B49" s="1406"/>
      <c r="C49" s="795" t="s">
        <v>679</v>
      </c>
      <c r="D49" s="796">
        <f>+'7.3 PA PY budget_savings'!AM61</f>
        <v>6798076.9807608668</v>
      </c>
      <c r="E49" s="791"/>
      <c r="F49" s="792"/>
      <c r="G49" s="792"/>
      <c r="H49" s="791"/>
      <c r="I49" s="791"/>
      <c r="J49" s="793"/>
      <c r="K49" s="791"/>
      <c r="L49" s="791"/>
      <c r="M49" s="791"/>
      <c r="N49" s="791"/>
      <c r="O49" s="791"/>
      <c r="P49" s="791"/>
      <c r="Q49" s="794"/>
    </row>
    <row r="50" spans="2:17" ht="14.65" thickBot="1">
      <c r="B50" s="1407"/>
      <c r="C50" s="80" t="s">
        <v>925</v>
      </c>
      <c r="D50" s="83">
        <f>SUBTOTAL(9,D45:D49)</f>
        <v>169951924.51902172</v>
      </c>
      <c r="E50" s="83">
        <f t="shared" ref="E50:J50" si="17">SUBTOTAL(9,E45:E49)</f>
        <v>212814716.02000001</v>
      </c>
      <c r="F50" s="149">
        <v>1</v>
      </c>
      <c r="G50" s="149">
        <v>1.22</v>
      </c>
      <c r="H50" s="83">
        <f t="shared" si="17"/>
        <v>24989094.960000001</v>
      </c>
      <c r="I50" s="83">
        <f t="shared" si="17"/>
        <v>5882.94</v>
      </c>
      <c r="J50" s="83">
        <f t="shared" si="17"/>
        <v>32405832.559999999</v>
      </c>
      <c r="K50" s="83">
        <f t="shared" ref="K50:Q50" si="18">SUBTOTAL(9,K45:K49)</f>
        <v>5022.72</v>
      </c>
      <c r="L50" s="83">
        <f t="shared" si="18"/>
        <v>189573.84</v>
      </c>
      <c r="M50" s="83">
        <f t="shared" si="18"/>
        <v>233537799.75999999</v>
      </c>
      <c r="N50" s="83">
        <f t="shared" si="18"/>
        <v>190861402.25</v>
      </c>
      <c r="O50" s="83">
        <f t="shared" si="18"/>
        <v>56754.84</v>
      </c>
      <c r="P50" s="83">
        <f t="shared" si="18"/>
        <v>1116540.1399999999</v>
      </c>
      <c r="Q50" s="83">
        <f t="shared" si="18"/>
        <v>0</v>
      </c>
    </row>
    <row r="51" spans="2:17">
      <c r="B51" s="1408">
        <v>2031</v>
      </c>
      <c r="C51" s="788" t="s">
        <v>18</v>
      </c>
      <c r="D51" s="775">
        <f>+'7.3 PA PY budget_savings'!AS16</f>
        <v>116440213.08203813</v>
      </c>
      <c r="E51" s="775">
        <f>+'7.3 PA PY budget_savings'!AS17</f>
        <v>209254871</v>
      </c>
      <c r="F51" s="789">
        <f>+'7.3 PA PY budget_savings'!AS18</f>
        <v>1.42</v>
      </c>
      <c r="G51" s="789">
        <f>+'7.3 PA PY budget_savings'!AS19</f>
        <v>1.84</v>
      </c>
      <c r="H51" s="775">
        <f>+'7.3 PA PY budget_savings'!AT16</f>
        <v>21543853</v>
      </c>
      <c r="I51" s="775">
        <f>+'7.3 PA PY budget_savings'!AU16</f>
        <v>5256</v>
      </c>
      <c r="J51" s="775">
        <f>+'7.3 PA PY budget_savings'!AV16</f>
        <v>32433741</v>
      </c>
      <c r="K51" s="775">
        <f>+'7.3 PA PY budget_savings'!AW16</f>
        <v>4384</v>
      </c>
      <c r="L51" s="775">
        <f>+'7.3 PA PY budget_savings'!AX16</f>
        <v>189738</v>
      </c>
      <c r="M51" s="775">
        <f>SUMIF('4.2 Program Budget 2028-2031'!$F:$F,$C51,'4.2 Program Budget 2028-2031'!AV:AV)</f>
        <v>185900700</v>
      </c>
      <c r="N51" s="775">
        <f>SUMIF('4.2 Program Budget 2028-2031'!$F:$F,$C51,'4.2 Program Budget 2028-2031'!AW:AW)</f>
        <v>182942011</v>
      </c>
      <c r="O51" s="775">
        <f>SUMIF('4.2 Program Budget 2028-2031'!$F:$F,$C51,'4.2 Program Budget 2028-2031'!AX:AX)</f>
        <v>44236</v>
      </c>
      <c r="P51" s="775">
        <f>SUMIF('4.2 Program Budget 2028-2031'!$F:$F,$C51,'4.2 Program Budget 2028-2031'!AY:AY)</f>
        <v>1070211</v>
      </c>
      <c r="Q51" s="776">
        <f>SUMIF('4.2 Program Budget 2028-2031'!$F:$F,$C51,'4.2 Program Budget 2028-2031'!AZ:AZ)</f>
        <v>0</v>
      </c>
    </row>
    <row r="52" spans="2:17">
      <c r="B52" s="1406"/>
      <c r="C52" s="788" t="s">
        <v>23</v>
      </c>
      <c r="D52" s="775">
        <f>+'7.3 PA PY budget_savings'!AS30</f>
        <v>25848990.42217572</v>
      </c>
      <c r="E52" s="775">
        <f>+'7.3 PA PY budget_savings'!AS31</f>
        <v>6267572</v>
      </c>
      <c r="F52" s="789">
        <f>+'7.3 PA PY budget_savings'!AS32</f>
        <v>0.3</v>
      </c>
      <c r="G52" s="789">
        <f>+'7.3 PA PY budget_savings'!AS33</f>
        <v>0.34</v>
      </c>
      <c r="H52" s="775">
        <f>+'7.3 PA PY budget_savings'!AT30</f>
        <v>3059451</v>
      </c>
      <c r="I52" s="775">
        <f>+'7.3 PA PY budget_savings'!AU30</f>
        <v>607</v>
      </c>
      <c r="J52" s="775">
        <f>+'7.3 PA PY budget_savings'!AV30</f>
        <v>181878</v>
      </c>
      <c r="K52" s="775">
        <f>+'7.3 PA PY budget_savings'!AW30</f>
        <v>592</v>
      </c>
      <c r="L52" s="775">
        <f>+'7.3 PA PY budget_savings'!AX30</f>
        <v>1064</v>
      </c>
      <c r="M52" s="775">
        <f>SUMIF('4.2 Program Budget 2028-2031'!$F:$F,$C52,'4.2 Program Budget 2028-2031'!AV:AV)</f>
        <v>40512268</v>
      </c>
      <c r="N52" s="775">
        <f>SUMIF('4.2 Program Budget 2028-2031'!$F:$F,$C52,'4.2 Program Budget 2028-2031'!AW:AW)</f>
        <v>2558011</v>
      </c>
      <c r="O52" s="775">
        <f>SUMIF('4.2 Program Budget 2028-2031'!$F:$F,$C52,'4.2 Program Budget 2028-2031'!AX:AX)</f>
        <v>9043</v>
      </c>
      <c r="P52" s="775">
        <f>SUMIF('4.2 Program Budget 2028-2031'!$F:$F,$C52,'4.2 Program Budget 2028-2031'!AY:AY)</f>
        <v>14965</v>
      </c>
      <c r="Q52" s="776">
        <f>SUMIF('4.2 Program Budget 2028-2031'!$F:$F,$C52,'4.2 Program Budget 2028-2031'!AZ:AZ)</f>
        <v>0</v>
      </c>
    </row>
    <row r="53" spans="2:17">
      <c r="B53" s="1406"/>
      <c r="C53" s="788" t="s">
        <v>26</v>
      </c>
      <c r="D53" s="775">
        <f>+'7.3 PA PY budget_savings'!AS44</f>
        <v>24427367.387375206</v>
      </c>
      <c r="E53" s="775">
        <f>+'7.3 PA PY budget_savings'!AS45</f>
        <v>13604231.92</v>
      </c>
      <c r="F53" s="789">
        <f>+'7.3 PA PY budget_savings'!AS46</f>
        <v>0.51</v>
      </c>
      <c r="G53" s="789">
        <f>+'7.3 PA PY budget_savings'!AS47</f>
        <v>0.56999999999999995</v>
      </c>
      <c r="H53" s="775">
        <f>+'7.3 PA PY budget_savings'!AT44</f>
        <v>848024.29</v>
      </c>
      <c r="I53" s="775">
        <f>+'7.3 PA PY budget_savings'!AU44</f>
        <v>121.71</v>
      </c>
      <c r="J53" s="775">
        <f>+'7.3 PA PY budget_savings'!AV44</f>
        <v>792759.24</v>
      </c>
      <c r="K53" s="775">
        <f>+'7.3 PA PY budget_savings'!AW44</f>
        <v>388.71</v>
      </c>
      <c r="L53" s="775">
        <f>+'7.3 PA PY budget_savings'!AX44</f>
        <v>4637.6400000000003</v>
      </c>
      <c r="M53" s="775">
        <f>SUMIF('4.2 Program Budget 2028-2031'!$F:$F,$C53,'4.2 Program Budget 2028-2031'!AV:AV)</f>
        <v>10307601.300000001</v>
      </c>
      <c r="N53" s="775">
        <f>SUMIF('4.2 Program Budget 2028-2031'!$F:$F,$C53,'4.2 Program Budget 2028-2031'!AW:AW)</f>
        <v>10965509.029999999</v>
      </c>
      <c r="O53" s="775">
        <f>SUMIF('4.2 Program Budget 2028-2031'!$F:$F,$C53,'4.2 Program Budget 2028-2031'!AX:AX)</f>
        <v>5442.39</v>
      </c>
      <c r="P53" s="775">
        <f>SUMIF('4.2 Program Budget 2028-2031'!$F:$F,$C53,'4.2 Program Budget 2028-2031'!AY:AY)</f>
        <v>64148.23</v>
      </c>
      <c r="Q53" s="776">
        <f>SUMIF('4.2 Program Budget 2028-2031'!$F:$F,$C53,'4.2 Program Budget 2028-2031'!AZ:AZ)</f>
        <v>0</v>
      </c>
    </row>
    <row r="54" spans="2:17">
      <c r="B54" s="1406"/>
      <c r="C54" s="778" t="s">
        <v>28</v>
      </c>
      <c r="D54" s="790">
        <f>+'7.3 PA PY budget_savings'!AS68</f>
        <v>1658199.7678961633</v>
      </c>
      <c r="E54" s="791"/>
      <c r="F54" s="792"/>
      <c r="G54" s="792"/>
      <c r="H54" s="791"/>
      <c r="I54" s="791"/>
      <c r="J54" s="793"/>
      <c r="K54" s="791"/>
      <c r="L54" s="791"/>
      <c r="M54" s="791"/>
      <c r="N54" s="791"/>
      <c r="O54" s="791"/>
      <c r="P54" s="791"/>
      <c r="Q54" s="794"/>
    </row>
    <row r="55" spans="2:17" ht="14.65" thickBot="1">
      <c r="B55" s="1406"/>
      <c r="C55" s="795" t="s">
        <v>679</v>
      </c>
      <c r="D55" s="796">
        <f>+'7.3 PA PY budget_savings'!AS61</f>
        <v>7015615.4441452175</v>
      </c>
      <c r="E55" s="791"/>
      <c r="F55" s="792"/>
      <c r="G55" s="792"/>
      <c r="H55" s="791"/>
      <c r="I55" s="791"/>
      <c r="J55" s="793"/>
      <c r="K55" s="791"/>
      <c r="L55" s="791"/>
      <c r="M55" s="791"/>
      <c r="N55" s="791"/>
      <c r="O55" s="791"/>
      <c r="P55" s="791"/>
      <c r="Q55" s="794"/>
    </row>
    <row r="56" spans="2:17" ht="14.65" thickBot="1">
      <c r="B56" s="1409"/>
      <c r="C56" s="80" t="s">
        <v>925</v>
      </c>
      <c r="D56" s="83">
        <f>SUBTOTAL(9,D51:D55)</f>
        <v>175390386.10363048</v>
      </c>
      <c r="E56" s="83">
        <f t="shared" ref="E56:J56" si="19">SUBTOTAL(9,E51:E55)</f>
        <v>229126674.91999999</v>
      </c>
      <c r="F56" s="149">
        <v>1.04</v>
      </c>
      <c r="G56" s="149">
        <v>1.27</v>
      </c>
      <c r="H56" s="83">
        <f t="shared" si="19"/>
        <v>25451328.289999999</v>
      </c>
      <c r="I56" s="83">
        <f t="shared" si="19"/>
        <v>5984.71</v>
      </c>
      <c r="J56" s="83">
        <f t="shared" si="19"/>
        <v>33408378.239999998</v>
      </c>
      <c r="K56" s="83">
        <f t="shared" ref="K56:L56" si="20">SUBTOTAL(9,K51:K55)</f>
        <v>5364.71</v>
      </c>
      <c r="L56" s="83">
        <f t="shared" si="20"/>
        <v>195439.64</v>
      </c>
      <c r="M56" s="83">
        <f t="shared" ref="M56:P56" si="21">SUBTOTAL(9,M51:M55)</f>
        <v>236720569.30000001</v>
      </c>
      <c r="N56" s="83">
        <f t="shared" si="21"/>
        <v>196465531.03</v>
      </c>
      <c r="O56" s="83">
        <f t="shared" si="21"/>
        <v>58721.39</v>
      </c>
      <c r="P56" s="83">
        <f t="shared" si="21"/>
        <v>1149324.23</v>
      </c>
      <c r="Q56" s="90">
        <f t="shared" ref="Q56" si="22">SUBTOTAL(9,Q51:Q55)</f>
        <v>0</v>
      </c>
    </row>
    <row r="57" spans="2:17" ht="14.65" thickBot="1">
      <c r="B57" s="71" t="s">
        <v>926</v>
      </c>
      <c r="C57" s="81"/>
      <c r="D57" s="83">
        <f>SUBTOTAL(9,D9:D56)</f>
        <v>1281304086.6422405</v>
      </c>
      <c r="E57" s="83">
        <f>SUBTOTAL(9,E9:E56)</f>
        <v>1451770068.5</v>
      </c>
      <c r="F57" s="149">
        <v>0.9</v>
      </c>
      <c r="G57" s="149">
        <v>1.1000000000000001</v>
      </c>
      <c r="H57" s="83">
        <f t="shared" ref="H57:P57" si="23">SUBTOTAL(9,H9:H56)</f>
        <v>151656192.39096996</v>
      </c>
      <c r="I57" s="83">
        <f t="shared" si="23"/>
        <v>35043.609233809992</v>
      </c>
      <c r="J57" s="83">
        <f t="shared" si="23"/>
        <v>251510615.89208996</v>
      </c>
      <c r="K57" s="83">
        <f t="shared" si="23"/>
        <v>34745.802735758996</v>
      </c>
      <c r="L57" s="83">
        <f t="shared" si="23"/>
        <v>1477915.6608726999</v>
      </c>
      <c r="M57" s="83">
        <f t="shared" si="23"/>
        <v>1290278077.8995998</v>
      </c>
      <c r="N57" s="83">
        <f t="shared" si="23"/>
        <v>1539992599.4716001</v>
      </c>
      <c r="O57" s="83">
        <f t="shared" si="23"/>
        <v>328895.17676933802</v>
      </c>
      <c r="P57" s="83">
        <f t="shared" si="23"/>
        <v>9100921.2631030008</v>
      </c>
      <c r="Q57" s="90">
        <f t="shared" ref="Q57" si="24">SUBTOTAL(9,Q9:Q56)</f>
        <v>0</v>
      </c>
    </row>
    <row r="58" spans="2:17">
      <c r="F58" s="797"/>
      <c r="G58" s="797"/>
    </row>
    <row r="59" spans="2:17" ht="15.6" customHeight="1">
      <c r="B59" s="1403" t="s">
        <v>927</v>
      </c>
      <c r="C59" s="778" t="s">
        <v>18</v>
      </c>
      <c r="D59" s="784">
        <f>D9+D15+D21+D27</f>
        <v>404933006.27010411</v>
      </c>
      <c r="E59" s="784">
        <f t="shared" ref="E59:Q59" si="25">E9+E15+E21+E27</f>
        <v>567679018</v>
      </c>
      <c r="F59" s="798">
        <v>1.1000000000000001</v>
      </c>
      <c r="G59" s="798">
        <v>1.46</v>
      </c>
      <c r="H59" s="784">
        <f t="shared" si="25"/>
        <v>46369081.11564</v>
      </c>
      <c r="I59" s="784">
        <f t="shared" si="25"/>
        <v>11244.17449381</v>
      </c>
      <c r="J59" s="784">
        <f t="shared" si="25"/>
        <v>118245475.35619</v>
      </c>
      <c r="K59" s="784">
        <f t="shared" si="25"/>
        <v>12159.083115599</v>
      </c>
      <c r="L59" s="784">
        <f t="shared" si="25"/>
        <v>691927.65733429999</v>
      </c>
      <c r="M59" s="784">
        <f t="shared" si="25"/>
        <v>296412788.32589996</v>
      </c>
      <c r="N59" s="784">
        <f t="shared" si="25"/>
        <v>708094511.13920021</v>
      </c>
      <c r="O59" s="784">
        <f t="shared" si="25"/>
        <v>81017.092170137999</v>
      </c>
      <c r="P59" s="784">
        <f t="shared" si="25"/>
        <v>4144235.0279380004</v>
      </c>
      <c r="Q59" s="784">
        <f t="shared" si="25"/>
        <v>0</v>
      </c>
    </row>
    <row r="60" spans="2:17">
      <c r="B60" s="1403"/>
      <c r="C60" s="778" t="s">
        <v>23</v>
      </c>
      <c r="D60" s="784">
        <f>D10+D16+D22+D28</f>
        <v>90554118.619445533</v>
      </c>
      <c r="E60" s="784">
        <f t="shared" ref="E60:Q60" si="26">E10+E16+E22+E28</f>
        <v>23755290</v>
      </c>
      <c r="F60" s="798">
        <v>0.23</v>
      </c>
      <c r="G60" s="798">
        <v>0.26</v>
      </c>
      <c r="H60" s="784">
        <f t="shared" si="26"/>
        <v>3207760.4280000003</v>
      </c>
      <c r="I60" s="784">
        <f t="shared" si="26"/>
        <v>34.200900000000004</v>
      </c>
      <c r="J60" s="784">
        <f t="shared" si="26"/>
        <v>2727870.6148999999</v>
      </c>
      <c r="K60" s="784">
        <f t="shared" si="26"/>
        <v>724.23493860000008</v>
      </c>
      <c r="L60" s="784">
        <f t="shared" si="26"/>
        <v>22344.957287399997</v>
      </c>
      <c r="M60" s="784">
        <f t="shared" si="26"/>
        <v>29338396.120000001</v>
      </c>
      <c r="N60" s="784">
        <f t="shared" si="26"/>
        <v>40301420.359999999</v>
      </c>
      <c r="O60" s="784">
        <f t="shared" si="26"/>
        <v>7205.616771</v>
      </c>
      <c r="P60" s="784">
        <f t="shared" si="26"/>
        <v>325842.65035600006</v>
      </c>
      <c r="Q60" s="784">
        <f t="shared" si="26"/>
        <v>0</v>
      </c>
    </row>
    <row r="61" spans="2:17">
      <c r="B61" s="1403"/>
      <c r="C61" s="778" t="s">
        <v>26</v>
      </c>
      <c r="D61" s="784">
        <f t="shared" ref="D61:Q62" si="27">D11+D17+D23+D29</f>
        <v>85901112.521799892</v>
      </c>
      <c r="E61" s="784">
        <f t="shared" si="27"/>
        <v>37036777</v>
      </c>
      <c r="F61" s="798">
        <v>0.59</v>
      </c>
      <c r="G61" s="798">
        <v>0.65</v>
      </c>
      <c r="H61" s="784">
        <f t="shared" si="27"/>
        <v>2990539.06733</v>
      </c>
      <c r="I61" s="784">
        <f t="shared" si="27"/>
        <v>429.20384000000001</v>
      </c>
      <c r="J61" s="784">
        <f t="shared" si="27"/>
        <v>2795648.1510000001</v>
      </c>
      <c r="K61" s="784">
        <f t="shared" si="27"/>
        <v>1247.0346815600001</v>
      </c>
      <c r="L61" s="784">
        <f t="shared" si="27"/>
        <v>16354.536251000001</v>
      </c>
      <c r="M61" s="784">
        <f t="shared" si="27"/>
        <v>36349530.473700002</v>
      </c>
      <c r="N61" s="784">
        <f t="shared" si="27"/>
        <v>38669628.452399999</v>
      </c>
      <c r="O61" s="784">
        <f t="shared" si="27"/>
        <v>17284.637828200001</v>
      </c>
      <c r="P61" s="784">
        <f t="shared" si="27"/>
        <v>226217.32480900001</v>
      </c>
      <c r="Q61" s="784">
        <f t="shared" si="27"/>
        <v>0</v>
      </c>
    </row>
    <row r="62" spans="2:17">
      <c r="B62" s="1403"/>
      <c r="C62" s="778" t="s">
        <v>28</v>
      </c>
      <c r="D62" s="784">
        <f t="shared" si="27"/>
        <v>5847605.3152000001</v>
      </c>
      <c r="E62" s="799">
        <f t="shared" si="27"/>
        <v>0</v>
      </c>
      <c r="F62" s="800"/>
      <c r="G62" s="800"/>
      <c r="H62" s="799">
        <f t="shared" si="27"/>
        <v>0</v>
      </c>
      <c r="I62" s="799">
        <f t="shared" si="27"/>
        <v>0</v>
      </c>
      <c r="J62" s="799">
        <f t="shared" si="27"/>
        <v>0</v>
      </c>
      <c r="K62" s="799">
        <f t="shared" si="27"/>
        <v>0</v>
      </c>
      <c r="L62" s="799">
        <f t="shared" si="27"/>
        <v>0</v>
      </c>
      <c r="M62" s="799">
        <f t="shared" si="27"/>
        <v>0</v>
      </c>
      <c r="N62" s="799">
        <f t="shared" si="27"/>
        <v>0</v>
      </c>
      <c r="O62" s="799">
        <f t="shared" si="27"/>
        <v>0</v>
      </c>
      <c r="P62" s="799">
        <f t="shared" si="27"/>
        <v>0</v>
      </c>
      <c r="Q62" s="799">
        <f t="shared" si="27"/>
        <v>0</v>
      </c>
    </row>
    <row r="63" spans="2:17">
      <c r="B63" s="1403"/>
      <c r="C63" s="778" t="s">
        <v>679</v>
      </c>
      <c r="D63" s="784">
        <f>D13+D19+D25+D31</f>
        <v>24468160.113606233</v>
      </c>
      <c r="E63" s="799">
        <f t="shared" ref="E63:Q63" si="28">E13+E19+E25+E31</f>
        <v>0</v>
      </c>
      <c r="F63" s="800"/>
      <c r="G63" s="800"/>
      <c r="H63" s="799">
        <f t="shared" si="28"/>
        <v>0</v>
      </c>
      <c r="I63" s="799">
        <f t="shared" si="28"/>
        <v>0</v>
      </c>
      <c r="J63" s="799">
        <f t="shared" si="28"/>
        <v>0</v>
      </c>
      <c r="K63" s="799">
        <f t="shared" si="28"/>
        <v>0</v>
      </c>
      <c r="L63" s="799">
        <f t="shared" si="28"/>
        <v>0</v>
      </c>
      <c r="M63" s="799">
        <f t="shared" si="28"/>
        <v>0</v>
      </c>
      <c r="N63" s="799">
        <f t="shared" si="28"/>
        <v>0</v>
      </c>
      <c r="O63" s="799">
        <f t="shared" si="28"/>
        <v>0</v>
      </c>
      <c r="P63" s="799">
        <f t="shared" si="28"/>
        <v>0</v>
      </c>
      <c r="Q63" s="799">
        <f t="shared" si="28"/>
        <v>0</v>
      </c>
    </row>
    <row r="64" spans="2:17">
      <c r="B64" s="1403"/>
      <c r="C64" s="138" t="s">
        <v>925</v>
      </c>
      <c r="D64" s="139">
        <f>SUBTOTAL(9,D9:D32)</f>
        <v>611704002.84015572</v>
      </c>
      <c r="E64" s="139">
        <f>SUBTOTAL(9,E9:E32)</f>
        <v>628471085</v>
      </c>
      <c r="F64" s="150">
        <v>0.82</v>
      </c>
      <c r="G64" s="150">
        <v>1</v>
      </c>
      <c r="H64" s="139">
        <f t="shared" ref="H64:Q64" si="29">SUBTOTAL(9,H9:H32)</f>
        <v>52567380.610970005</v>
      </c>
      <c r="I64" s="139">
        <f t="shared" si="29"/>
        <v>11707.57923381</v>
      </c>
      <c r="J64" s="139">
        <f t="shared" si="29"/>
        <v>123768994.12209</v>
      </c>
      <c r="K64" s="139">
        <f t="shared" si="29"/>
        <v>14130.352735758997</v>
      </c>
      <c r="L64" s="139">
        <f t="shared" si="29"/>
        <v>730627.15087270003</v>
      </c>
      <c r="M64" s="139">
        <f t="shared" si="29"/>
        <v>362100714.91959995</v>
      </c>
      <c r="N64" s="139">
        <f t="shared" si="29"/>
        <v>787065559.95160031</v>
      </c>
      <c r="O64" s="139">
        <f t="shared" si="29"/>
        <v>105507.34676933799</v>
      </c>
      <c r="P64" s="139">
        <f t="shared" si="29"/>
        <v>4696295.003103001</v>
      </c>
      <c r="Q64" s="139">
        <f t="shared" si="29"/>
        <v>0</v>
      </c>
    </row>
    <row r="65" spans="4:17">
      <c r="D65" s="787"/>
      <c r="E65" s="787"/>
      <c r="F65" s="787"/>
      <c r="G65" s="787"/>
      <c r="H65" s="787"/>
      <c r="I65" s="787"/>
      <c r="J65" s="787"/>
      <c r="K65" s="787"/>
      <c r="L65" s="787"/>
      <c r="M65" s="787"/>
      <c r="N65" s="787"/>
      <c r="O65" s="787"/>
      <c r="P65" s="787"/>
      <c r="Q65" s="787"/>
    </row>
  </sheetData>
  <mergeCells count="11">
    <mergeCell ref="B59:B64"/>
    <mergeCell ref="B5:J5"/>
    <mergeCell ref="B6:J6"/>
    <mergeCell ref="B9:B14"/>
    <mergeCell ref="B51:B56"/>
    <mergeCell ref="B45:B50"/>
    <mergeCell ref="B39:B44"/>
    <mergeCell ref="B33:B38"/>
    <mergeCell ref="B27:B32"/>
    <mergeCell ref="B21:B26"/>
    <mergeCell ref="B15:B20"/>
  </mergeCells>
  <phoneticPr fontId="176" type="noConversion"/>
  <pageMargins left="0.7" right="0.7" top="0.75" bottom="0.75" header="0.3" footer="0.3"/>
  <pageSetup paperSize="3" scale="7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DAB78-8E48-414C-9B7A-049AC86E5E9A}">
  <dimension ref="A1:AN119"/>
  <sheetViews>
    <sheetView showGridLines="0" view="pageBreakPreview" zoomScaleNormal="85" zoomScaleSheetLayoutView="100" workbookViewId="0">
      <pane xSplit="3" ySplit="8" topLeftCell="F9" activePane="bottomRight" state="frozen"/>
      <selection activeCell="A26" sqref="A26"/>
      <selection pane="topRight" activeCell="A26" sqref="A26"/>
      <selection pane="bottomLeft" activeCell="A26" sqref="A26"/>
      <selection pane="bottomRight"/>
    </sheetView>
  </sheetViews>
  <sheetFormatPr defaultColWidth="8.625" defaultRowHeight="14.25"/>
  <cols>
    <col min="1" max="1" width="11.375" style="248" customWidth="1"/>
    <col min="2" max="2" width="14" style="248" customWidth="1"/>
    <col min="3" max="3" width="19" style="248" customWidth="1"/>
    <col min="4" max="4" width="14.125" style="248" customWidth="1"/>
    <col min="5" max="5" width="14.375" style="248" customWidth="1"/>
    <col min="6" max="7" width="8.625" style="248"/>
    <col min="8" max="17" width="14.125" style="248" customWidth="1"/>
    <col min="18" max="16384" width="8.625" style="248"/>
  </cols>
  <sheetData>
    <row r="1" spans="1:40" s="245" customFormat="1">
      <c r="A1" s="175" t="s">
        <v>98</v>
      </c>
      <c r="B1" s="176" t="str">
        <f>PA_NAME</f>
        <v>SoCalGas</v>
      </c>
      <c r="D1" s="106"/>
      <c r="H1" s="246"/>
      <c r="R1" s="246"/>
      <c r="V1" s="246"/>
      <c r="Z1" s="246"/>
      <c r="AD1" s="246"/>
      <c r="AH1" s="246"/>
      <c r="AL1" s="247"/>
      <c r="AN1" s="253"/>
    </row>
    <row r="2" spans="1:40" s="245" customFormat="1">
      <c r="A2" s="175" t="s">
        <v>99</v>
      </c>
      <c r="B2" s="176" t="str">
        <f>RPT_YEAR</f>
        <v>2024-2031</v>
      </c>
      <c r="D2" s="246"/>
      <c r="H2" s="246"/>
      <c r="R2" s="246"/>
      <c r="V2" s="246"/>
      <c r="Z2" s="246"/>
      <c r="AD2" s="246"/>
      <c r="AH2" s="246"/>
      <c r="AL2" s="247"/>
      <c r="AN2" s="253"/>
    </row>
    <row r="3" spans="1:40" s="245" customFormat="1">
      <c r="A3" s="254" t="s">
        <v>928</v>
      </c>
      <c r="B3" s="254"/>
      <c r="C3" s="254"/>
      <c r="D3" s="254"/>
      <c r="H3" s="246"/>
      <c r="R3" s="246"/>
      <c r="V3" s="246"/>
      <c r="Z3" s="246"/>
      <c r="AD3" s="246"/>
      <c r="AH3" s="246"/>
      <c r="AL3" s="247"/>
      <c r="AN3" s="253"/>
    </row>
    <row r="5" spans="1:40" hidden="1">
      <c r="B5" s="1355"/>
      <c r="C5" s="1355"/>
      <c r="D5" s="1355"/>
      <c r="E5" s="1355"/>
      <c r="F5" s="1355"/>
      <c r="G5" s="1355"/>
      <c r="H5" s="1355"/>
      <c r="I5" s="1355"/>
      <c r="J5" s="1355"/>
      <c r="K5" s="93"/>
      <c r="L5" s="93"/>
      <c r="M5" s="93"/>
      <c r="N5" s="93"/>
      <c r="O5" s="93"/>
      <c r="P5" s="93"/>
      <c r="Q5" s="93"/>
    </row>
    <row r="6" spans="1:40" hidden="1">
      <c r="B6" s="1356"/>
      <c r="C6" s="1356"/>
      <c r="D6" s="1356"/>
      <c r="E6" s="1356"/>
      <c r="F6" s="1356"/>
      <c r="G6" s="1356"/>
      <c r="H6" s="1356"/>
      <c r="I6" s="1356"/>
      <c r="J6" s="1356"/>
      <c r="K6" s="91"/>
      <c r="L6" s="91"/>
      <c r="M6" s="91"/>
      <c r="N6" s="91"/>
      <c r="O6" s="91"/>
      <c r="P6" s="91"/>
      <c r="Q6" s="91"/>
    </row>
    <row r="7" spans="1:40" ht="14.65" thickBot="1">
      <c r="B7" s="91"/>
      <c r="C7" s="91"/>
      <c r="D7" s="91"/>
      <c r="E7" s="91"/>
      <c r="F7" s="91"/>
      <c r="G7" s="91"/>
      <c r="H7" s="91"/>
      <c r="I7" s="91"/>
      <c r="J7" s="91"/>
      <c r="K7" s="91"/>
      <c r="L7" s="91"/>
      <c r="M7" s="91"/>
      <c r="N7" s="91"/>
      <c r="O7" s="91"/>
      <c r="P7" s="91"/>
      <c r="Q7" s="91"/>
    </row>
    <row r="8" spans="1:40" ht="43.15" thickBot="1">
      <c r="B8" s="71"/>
      <c r="C8" s="78" t="s">
        <v>929</v>
      </c>
      <c r="D8" s="68" t="s">
        <v>917</v>
      </c>
      <c r="E8" s="68" t="s">
        <v>918</v>
      </c>
      <c r="F8" s="68" t="s">
        <v>919</v>
      </c>
      <c r="G8" s="68" t="s">
        <v>920</v>
      </c>
      <c r="H8" s="68" t="s">
        <v>921</v>
      </c>
      <c r="I8" s="68" t="s">
        <v>922</v>
      </c>
      <c r="J8" s="68" t="s">
        <v>923</v>
      </c>
      <c r="K8" s="68" t="s">
        <v>924</v>
      </c>
      <c r="L8" s="68" t="s">
        <v>327</v>
      </c>
      <c r="M8" s="68" t="s">
        <v>328</v>
      </c>
      <c r="N8" s="68" t="s">
        <v>329</v>
      </c>
      <c r="O8" s="68" t="s">
        <v>330</v>
      </c>
      <c r="P8" s="68" t="s">
        <v>331</v>
      </c>
      <c r="Q8" s="79" t="s">
        <v>332</v>
      </c>
    </row>
    <row r="9" spans="1:40">
      <c r="B9" s="1410">
        <v>2024</v>
      </c>
      <c r="C9" s="774" t="s">
        <v>17</v>
      </c>
      <c r="D9" s="775">
        <f>+'7.3 PA PY budget_savings'!C49</f>
        <v>61034252.75148081</v>
      </c>
      <c r="E9" s="163">
        <v>46902518</v>
      </c>
      <c r="F9" s="159">
        <v>0.56999999999999995</v>
      </c>
      <c r="G9" s="159">
        <v>0.73</v>
      </c>
      <c r="H9" s="775">
        <f>+'7.3 PA PY budget_savings'!D49</f>
        <v>1880177.25</v>
      </c>
      <c r="I9" s="775">
        <f>+'7.3 PA PY budget_savings'!E49</f>
        <v>613.09</v>
      </c>
      <c r="J9" s="775">
        <f>+'7.3 PA PY budget_savings'!F49</f>
        <v>14823859.75</v>
      </c>
      <c r="K9" s="775">
        <f>+'7.3 PA PY budget_savings'!G49</f>
        <v>574.20999999999992</v>
      </c>
      <c r="L9" s="775">
        <f>+'7.3 PA PY budget_savings'!H49</f>
        <v>88174.77</v>
      </c>
      <c r="M9" s="775">
        <f>SUMIF('4.1 Program Budget - 2024-2027'!$G:$G,$C9,'4.1 Program Budget - 2024-2027'!AB:AB)</f>
        <v>21011550.400000002</v>
      </c>
      <c r="N9" s="775">
        <f>SUMIF('4.1 Program Budget - 2024-2027'!$G:$G,$C9,'4.1 Program Budget - 2024-2027'!AC:AC)</f>
        <v>51489004.31000001</v>
      </c>
      <c r="O9" s="775">
        <f>SUMIF('4.1 Program Budget - 2024-2027'!$G:$G,$C9,'4.1 Program Budget - 2024-2027'!AD:AD)</f>
        <v>10400.920000000002</v>
      </c>
      <c r="P9" s="775">
        <f>SUMIF('4.1 Program Budget - 2024-2027'!$G:$G,$C9,'4.1 Program Budget - 2024-2027'!AE:AE)</f>
        <v>322316.34000000003</v>
      </c>
      <c r="Q9" s="776">
        <f>SUMIF('4.1 Program Budget - 2024-2027'!$G:$G,$C9,'4.1 Program Budget - 2024-2027'!AF:AF)</f>
        <v>0</v>
      </c>
    </row>
    <row r="10" spans="1:40">
      <c r="B10" s="1411"/>
      <c r="C10" s="777" t="s">
        <v>22</v>
      </c>
      <c r="D10" s="775">
        <f>+'7.3 PA PY budget_savings'!C50</f>
        <v>35681634.665620446</v>
      </c>
      <c r="E10" s="163">
        <v>44277645</v>
      </c>
      <c r="F10" s="159">
        <v>1.0900000000000001</v>
      </c>
      <c r="G10" s="159">
        <v>1.31</v>
      </c>
      <c r="H10" s="775">
        <f>+'7.3 PA PY budget_savings'!D50</f>
        <v>11211163</v>
      </c>
      <c r="I10" s="775">
        <f>+'7.3 PA PY budget_savings'!E50</f>
        <v>2312.2099999999996</v>
      </c>
      <c r="J10" s="775">
        <f>+'7.3 PA PY budget_savings'!F50</f>
        <v>6945718.8700000001</v>
      </c>
      <c r="K10" s="775">
        <f>+'7.3 PA PY budget_savings'!G50</f>
        <v>3284.81</v>
      </c>
      <c r="L10" s="775">
        <f>+'7.3 PA PY budget_savings'!H50</f>
        <v>40844.009999999995</v>
      </c>
      <c r="M10" s="775">
        <f>SUMIF('4.1 Program Budget - 2024-2027'!$G:$G,$C10,'4.1 Program Budget - 2024-2027'!AB:AB)</f>
        <v>68969845.100000009</v>
      </c>
      <c r="N10" s="775">
        <f>SUMIF('4.1 Program Budget - 2024-2027'!$G:$G,$C10,'4.1 Program Budget - 2024-2027'!AC:AC)</f>
        <v>60251101.929999992</v>
      </c>
      <c r="O10" s="775">
        <f>SUMIF('4.1 Program Budget - 2024-2027'!$G:$G,$C10,'4.1 Program Budget - 2024-2027'!AD:AD)</f>
        <v>16662.150000000001</v>
      </c>
      <c r="P10" s="775">
        <f>SUMIF('4.1 Program Budget - 2024-2027'!$G:$G,$C10,'4.1 Program Budget - 2024-2027'!AE:AE)</f>
        <v>354590.38</v>
      </c>
      <c r="Q10" s="776">
        <f>SUMIF('4.1 Program Budget - 2024-2027'!$G:$G,$C10,'4.1 Program Budget - 2024-2027'!AF:AF)</f>
        <v>0</v>
      </c>
    </row>
    <row r="11" spans="1:40">
      <c r="B11" s="1411"/>
      <c r="C11" s="777" t="s">
        <v>25</v>
      </c>
      <c r="D11" s="775">
        <f>+'7.3 PA PY budget_savings'!C51</f>
        <v>19434308.43060768</v>
      </c>
      <c r="E11" s="163">
        <v>36617804</v>
      </c>
      <c r="F11" s="161">
        <v>1.1000000000000001</v>
      </c>
      <c r="G11" s="159">
        <v>1.35</v>
      </c>
      <c r="H11" s="775">
        <f>+'7.3 PA PY budget_savings'!D51</f>
        <v>1857.38</v>
      </c>
      <c r="I11" s="775">
        <f>+'7.3 PA PY budget_savings'!E51</f>
        <v>0</v>
      </c>
      <c r="J11" s="775">
        <f>+'7.3 PA PY budget_savings'!F51</f>
        <v>5047161.8308999995</v>
      </c>
      <c r="K11" s="775">
        <f>+'7.3 PA PY budget_savings'!G51</f>
        <v>0.3</v>
      </c>
      <c r="L11" s="775">
        <f>+'7.3 PA PY budget_savings'!H51</f>
        <v>29526.030000000002</v>
      </c>
      <c r="M11" s="775">
        <f>SUMIF('4.1 Program Budget - 2024-2027'!$G:$G,$C11,'4.1 Program Budget - 2024-2027'!AB:AB)</f>
        <v>28786.799999999999</v>
      </c>
      <c r="N11" s="775">
        <f>SUMIF('4.1 Program Budget - 2024-2027'!$G:$G,$C11,'4.1 Program Budget - 2024-2027'!AC:AC)</f>
        <v>50177327.649999999</v>
      </c>
      <c r="O11" s="775">
        <f>SUMIF('4.1 Program Budget - 2024-2027'!$G:$G,$C11,'4.1 Program Budget - 2024-2027'!AD:AD)</f>
        <v>13.97</v>
      </c>
      <c r="P11" s="775">
        <f>SUMIF('4.1 Program Budget - 2024-2027'!$G:$G,$C11,'4.1 Program Budget - 2024-2027'!AE:AE)</f>
        <v>293537.36</v>
      </c>
      <c r="Q11" s="776">
        <f>SUMIF('4.1 Program Budget - 2024-2027'!$G:$G,$C11,'4.1 Program Budget - 2024-2027'!AF:AF)</f>
        <v>0</v>
      </c>
    </row>
    <row r="12" spans="1:40">
      <c r="B12" s="1411"/>
      <c r="C12" s="777" t="s">
        <v>27</v>
      </c>
      <c r="D12" s="775">
        <f>+'7.3 PA PY budget_savings'!C52</f>
        <v>5451575.662324803</v>
      </c>
      <c r="E12" s="163">
        <v>4948706</v>
      </c>
      <c r="F12" s="159">
        <v>0.91</v>
      </c>
      <c r="G12" s="159">
        <v>1.1100000000000001</v>
      </c>
      <c r="H12" s="775">
        <f>+'7.3 PA PY budget_savings'!D52</f>
        <v>35516.42</v>
      </c>
      <c r="I12" s="775">
        <f>+'7.3 PA PY budget_savings'!E52</f>
        <v>0</v>
      </c>
      <c r="J12" s="775">
        <f>+'7.3 PA PY budget_savings'!F52</f>
        <v>605436.41999999993</v>
      </c>
      <c r="K12" s="775">
        <f>+'7.3 PA PY budget_savings'!G52</f>
        <v>2.6300000000000003</v>
      </c>
      <c r="L12" s="775">
        <f>+'7.3 PA PY budget_savings'!H52</f>
        <v>3541.65</v>
      </c>
      <c r="M12" s="775">
        <f>SUMIF('4.1 Program Budget - 2024-2027'!$G:$G,$C12,'4.1 Program Budget - 2024-2027'!AB:AB)</f>
        <v>430528.45</v>
      </c>
      <c r="N12" s="775">
        <f>SUMIF('4.1 Program Budget - 2024-2027'!$G:$G,$C12,'4.1 Program Budget - 2024-2027'!AC:AC)</f>
        <v>7061261.4399999995</v>
      </c>
      <c r="O12" s="775">
        <f>SUMIF('4.1 Program Budget - 2024-2027'!$G:$G,$C12,'4.1 Program Budget - 2024-2027'!AD:AD)</f>
        <v>53.84</v>
      </c>
      <c r="P12" s="775">
        <f>SUMIF('4.1 Program Budget - 2024-2027'!$G:$G,$C12,'4.1 Program Budget - 2024-2027'!AE:AE)</f>
        <v>41308.009999999995</v>
      </c>
      <c r="Q12" s="776">
        <f>SUMIF('4.1 Program Budget - 2024-2027'!$G:$G,$C12,'4.1 Program Budget - 2024-2027'!AF:AF)</f>
        <v>0</v>
      </c>
    </row>
    <row r="13" spans="1:40">
      <c r="B13" s="1411"/>
      <c r="C13" s="777" t="s">
        <v>29</v>
      </c>
      <c r="D13" s="775">
        <f>+'7.3 PA PY budget_savings'!C53</f>
        <v>1645389.7508036585</v>
      </c>
      <c r="E13" s="163" t="s">
        <v>930</v>
      </c>
      <c r="F13" s="162" t="s">
        <v>930</v>
      </c>
      <c r="G13" s="162" t="s">
        <v>930</v>
      </c>
      <c r="H13" s="775">
        <f>+'7.3 PA PY budget_savings'!D53</f>
        <v>0</v>
      </c>
      <c r="I13" s="775">
        <f>+'7.3 PA PY budget_savings'!E53</f>
        <v>0</v>
      </c>
      <c r="J13" s="775">
        <f>+'7.3 PA PY budget_savings'!F53</f>
        <v>0</v>
      </c>
      <c r="K13" s="775">
        <f>+'7.3 PA PY budget_savings'!G53</f>
        <v>0</v>
      </c>
      <c r="L13" s="775">
        <f>+'7.3 PA PY budget_savings'!H53</f>
        <v>0</v>
      </c>
      <c r="M13" s="775">
        <f>SUMIF('4.1 Program Budget - 2024-2027'!$G:$G,$C13,'4.1 Program Budget - 2024-2027'!AB:AB)</f>
        <v>0</v>
      </c>
      <c r="N13" s="775">
        <f>SUMIF('4.1 Program Budget - 2024-2027'!$G:$G,$C13,'4.1 Program Budget - 2024-2027'!AC:AC)</f>
        <v>0</v>
      </c>
      <c r="O13" s="775">
        <f>SUMIF('4.1 Program Budget - 2024-2027'!$G:$G,$C13,'4.1 Program Budget - 2024-2027'!AD:AD)</f>
        <v>0</v>
      </c>
      <c r="P13" s="775">
        <f>SUMIF('4.1 Program Budget - 2024-2027'!$G:$G,$C13,'4.1 Program Budget - 2024-2027'!AE:AE)</f>
        <v>0</v>
      </c>
      <c r="Q13" s="776">
        <f>SUMIF('4.1 Program Budget - 2024-2027'!$G:$G,$C13,'4.1 Program Budget - 2024-2027'!AF:AF)</f>
        <v>0</v>
      </c>
    </row>
    <row r="14" spans="1:40">
      <c r="B14" s="1411"/>
      <c r="C14" s="777" t="s">
        <v>30</v>
      </c>
      <c r="D14" s="775">
        <f>+'7.3 PA PY budget_savings'!C54</f>
        <v>11837519.458088361</v>
      </c>
      <c r="E14" s="163">
        <v>12310397</v>
      </c>
      <c r="F14" s="159">
        <v>0.97</v>
      </c>
      <c r="G14" s="159">
        <v>1.28</v>
      </c>
      <c r="H14" s="775">
        <f>+'7.3 PA PY budget_savings'!D54</f>
        <v>7399.53</v>
      </c>
      <c r="I14" s="775">
        <f>+'7.3 PA PY budget_savings'!E54</f>
        <v>0</v>
      </c>
      <c r="J14" s="775">
        <f>+'7.3 PA PY budget_savings'!F54</f>
        <v>2304976.96</v>
      </c>
      <c r="K14" s="775">
        <f>+'7.3 PA PY budget_savings'!G54</f>
        <v>0.75</v>
      </c>
      <c r="L14" s="775">
        <f>+'7.3 PA PY budget_savings'!H54</f>
        <v>13485</v>
      </c>
      <c r="M14" s="775">
        <f>SUMIF('4.1 Program Budget - 2024-2027'!$G:$G,$C14,'4.1 Program Budget - 2024-2027'!AB:AB)</f>
        <v>65454.880000000005</v>
      </c>
      <c r="N14" s="775">
        <f>SUMIF('4.1 Program Budget - 2024-2027'!$G:$G,$C14,'4.1 Program Budget - 2024-2027'!AC:AC)</f>
        <v>19989598.66</v>
      </c>
      <c r="O14" s="775">
        <f>SUMIF('4.1 Program Budget - 2024-2027'!$G:$G,$C14,'4.1 Program Budget - 2024-2027'!AD:AD)</f>
        <v>21.549999999999997</v>
      </c>
      <c r="P14" s="775">
        <f>SUMIF('4.1 Program Budget - 2024-2027'!$G:$G,$C14,'4.1 Program Budget - 2024-2027'!AE:AE)</f>
        <v>116939.67</v>
      </c>
      <c r="Q14" s="776">
        <f>SUMIF('4.1 Program Budget - 2024-2027'!$G:$G,$C14,'4.1 Program Budget - 2024-2027'!AF:AF)</f>
        <v>0</v>
      </c>
    </row>
    <row r="15" spans="1:40">
      <c r="B15" s="1411"/>
      <c r="C15" s="777" t="s">
        <v>32</v>
      </c>
      <c r="D15" s="775">
        <f>+'7.3 PA PY budget_savings'!C55</f>
        <v>8548008.3210205808</v>
      </c>
      <c r="E15" s="163" t="s">
        <v>931</v>
      </c>
      <c r="F15" s="162" t="s">
        <v>931</v>
      </c>
      <c r="G15" s="162" t="s">
        <v>931</v>
      </c>
      <c r="H15" s="775">
        <f>+'7.3 PA PY budget_savings'!D55</f>
        <v>0</v>
      </c>
      <c r="I15" s="775">
        <f>+'7.3 PA PY budget_savings'!E55</f>
        <v>0</v>
      </c>
      <c r="J15" s="775">
        <f>+'7.3 PA PY budget_savings'!F55</f>
        <v>1330133</v>
      </c>
      <c r="K15" s="775">
        <f>+'7.3 PA PY budget_savings'!G55</f>
        <v>0</v>
      </c>
      <c r="L15" s="775">
        <f>+'7.3 PA PY budget_savings'!H55</f>
        <v>7781.28</v>
      </c>
      <c r="M15" s="775">
        <f>SUMIF('4.1 Program Budget - 2024-2027'!$G:$G,$C15,'4.1 Program Budget - 2024-2027'!AB:AB)</f>
        <v>0</v>
      </c>
      <c r="N15" s="775">
        <f>SUMIF('4.1 Program Budget - 2024-2027'!$G:$G,$C15,'4.1 Program Budget - 2024-2027'!AC:AC)</f>
        <v>10382360.32</v>
      </c>
      <c r="O15" s="775">
        <f>SUMIF('4.1 Program Budget - 2024-2027'!$G:$G,$C15,'4.1 Program Budget - 2024-2027'!AD:AD)</f>
        <v>0</v>
      </c>
      <c r="P15" s="775">
        <f>SUMIF('4.1 Program Budget - 2024-2027'!$G:$G,$C15,'4.1 Program Budget - 2024-2027'!AE:AE)</f>
        <v>60736.81</v>
      </c>
      <c r="Q15" s="776">
        <f>SUMIF('4.1 Program Budget - 2024-2027'!$G:$G,$C15,'4.1 Program Budget - 2024-2027'!AF:AF)</f>
        <v>0</v>
      </c>
    </row>
    <row r="16" spans="1:40">
      <c r="B16" s="1411"/>
      <c r="C16" s="777" t="s">
        <v>34</v>
      </c>
      <c r="D16" s="775">
        <f>+'7.3 PA PY budget_savings'!C56</f>
        <v>525447.51849025069</v>
      </c>
      <c r="E16" s="163" t="s">
        <v>931</v>
      </c>
      <c r="F16" s="162" t="s">
        <v>931</v>
      </c>
      <c r="G16" s="162" t="s">
        <v>931</v>
      </c>
      <c r="H16" s="775">
        <f>+'7.3 PA PY budget_savings'!D56</f>
        <v>0</v>
      </c>
      <c r="I16" s="775">
        <f>+'7.3 PA PY budget_savings'!E56</f>
        <v>0</v>
      </c>
      <c r="J16" s="775">
        <f>+'7.3 PA PY budget_savings'!F56</f>
        <v>0</v>
      </c>
      <c r="K16" s="775">
        <f>+'7.3 PA PY budget_savings'!G56</f>
        <v>0</v>
      </c>
      <c r="L16" s="775">
        <f>+'7.3 PA PY budget_savings'!H56</f>
        <v>0</v>
      </c>
      <c r="M16" s="775">
        <f>SUMIF('4.1 Program Budget - 2024-2027'!$G:$G,$C16,'4.1 Program Budget - 2024-2027'!AB:AB)</f>
        <v>0</v>
      </c>
      <c r="N16" s="775">
        <f>SUMIF('4.1 Program Budget - 2024-2027'!$G:$G,$C16,'4.1 Program Budget - 2024-2027'!AC:AC)</f>
        <v>0</v>
      </c>
      <c r="O16" s="775">
        <f>SUMIF('4.1 Program Budget - 2024-2027'!$G:$G,$C16,'4.1 Program Budget - 2024-2027'!AD:AD)</f>
        <v>0</v>
      </c>
      <c r="P16" s="775">
        <f>SUMIF('4.1 Program Budget - 2024-2027'!$G:$G,$C16,'4.1 Program Budget - 2024-2027'!AE:AE)</f>
        <v>0</v>
      </c>
      <c r="Q16" s="776">
        <f>SUMIF('4.1 Program Budget - 2024-2027'!$G:$G,$C16,'4.1 Program Budget - 2024-2027'!AF:AF)</f>
        <v>0</v>
      </c>
    </row>
    <row r="17" spans="2:17">
      <c r="B17" s="1411"/>
      <c r="C17" s="777" t="s">
        <v>36</v>
      </c>
      <c r="D17" s="775">
        <f>+'7.3 PA PY budget_savings'!C57</f>
        <v>0</v>
      </c>
      <c r="E17" s="163" t="s">
        <v>931</v>
      </c>
      <c r="F17" s="162" t="s">
        <v>931</v>
      </c>
      <c r="G17" s="162" t="s">
        <v>931</v>
      </c>
      <c r="H17" s="775">
        <f>+'7.3 PA PY budget_savings'!D57</f>
        <v>0</v>
      </c>
      <c r="I17" s="775">
        <f>+'7.3 PA PY budget_savings'!E57</f>
        <v>0</v>
      </c>
      <c r="J17" s="775">
        <f>+'7.3 PA PY budget_savings'!F57</f>
        <v>0</v>
      </c>
      <c r="K17" s="775">
        <f>+'7.3 PA PY budget_savings'!G57</f>
        <v>0</v>
      </c>
      <c r="L17" s="775">
        <f>+'7.3 PA PY budget_savings'!H57</f>
        <v>0</v>
      </c>
      <c r="M17" s="775">
        <f>SUMIF('4.1 Program Budget - 2024-2027'!$G:$G,$C17,'4.1 Program Budget - 2024-2027'!AB:AB)</f>
        <v>0</v>
      </c>
      <c r="N17" s="775">
        <f>SUMIF('4.1 Program Budget - 2024-2027'!$G:$G,$C17,'4.1 Program Budget - 2024-2027'!AC:AC)</f>
        <v>0</v>
      </c>
      <c r="O17" s="775">
        <f>SUMIF('4.1 Program Budget - 2024-2027'!$G:$G,$C17,'4.1 Program Budget - 2024-2027'!AD:AD)</f>
        <v>0</v>
      </c>
      <c r="P17" s="775">
        <f>SUMIF('4.1 Program Budget - 2024-2027'!$G:$G,$C17,'4.1 Program Budget - 2024-2027'!AE:AE)</f>
        <v>0</v>
      </c>
      <c r="Q17" s="776">
        <f>SUMIF('4.1 Program Budget - 2024-2027'!$G:$G,$C17,'4.1 Program Budget - 2024-2027'!AF:AF)</f>
        <v>0</v>
      </c>
    </row>
    <row r="18" spans="2:17">
      <c r="B18" s="1411"/>
      <c r="C18" s="778" t="s">
        <v>932</v>
      </c>
      <c r="D18" s="775">
        <f>+'7.3 PA PY budget_savings'!C68</f>
        <v>1461901.3288</v>
      </c>
      <c r="E18" s="163">
        <v>159114867</v>
      </c>
      <c r="F18" s="159">
        <v>1.63</v>
      </c>
      <c r="G18" s="159">
        <v>108.84</v>
      </c>
      <c r="H18" s="775">
        <f>+'7.3 PA PY budget_savings'!D68</f>
        <v>0</v>
      </c>
      <c r="I18" s="775">
        <f>+'7.3 PA PY budget_savings'!E68</f>
        <v>0</v>
      </c>
      <c r="J18" s="775">
        <f>+'7.3 PA PY budget_savings'!F68</f>
        <v>20701171.920000002</v>
      </c>
      <c r="K18" s="775">
        <f>+'7.3 PA PY budget_savings'!G68</f>
        <v>0</v>
      </c>
      <c r="L18" s="775">
        <f>+'7.3 PA PY budget_savings'!H68</f>
        <v>121101.8557</v>
      </c>
      <c r="M18" s="775">
        <f>SUMIF('4.1 Program Budget - 2024-2027'!$G:$G,"Codes &amp; Standards",'4.1 Program Budget - 2024-2027'!AB:AB)</f>
        <v>0</v>
      </c>
      <c r="N18" s="775">
        <f>SUMIF('4.1 Program Budget - 2024-2027'!$G:$G,"Codes &amp; Standards",'4.1 Program Budget - 2024-2027'!AC:AC)</f>
        <v>319270193</v>
      </c>
      <c r="O18" s="775">
        <f>SUMIF('4.1 Program Budget - 2024-2027'!$G:$G,"Codes &amp; Standards",'4.1 Program Budget - 2024-2027'!AD:AD)</f>
        <v>0</v>
      </c>
      <c r="P18" s="775">
        <f>SUMIF('4.1 Program Budget - 2024-2027'!$G:$G,"Codes &amp; Standards",'4.1 Program Budget - 2024-2027'!AE:AE)</f>
        <v>1867731</v>
      </c>
      <c r="Q18" s="776">
        <f>SUMIF('4.1 Program Budget - 2024-2027'!$G:$G,$C18,'4.1 Program Budget - 2024-2027'!AF:AF)</f>
        <v>0</v>
      </c>
    </row>
    <row r="19" spans="2:17" ht="14.65" thickBot="1">
      <c r="B19" s="1411"/>
      <c r="C19" s="779" t="s">
        <v>679</v>
      </c>
      <c r="D19" s="775">
        <f>+'7.3 PA PY budget_savings'!C61</f>
        <v>6067501.5786348581</v>
      </c>
      <c r="E19" s="164"/>
      <c r="F19" s="156"/>
      <c r="G19" s="156"/>
      <c r="H19" s="780">
        <f>+'7.3 PA PY budget_savings'!D61</f>
        <v>0</v>
      </c>
      <c r="I19" s="780">
        <f>+'7.3 PA PY budget_savings'!E61</f>
        <v>0</v>
      </c>
      <c r="J19" s="780">
        <f>+'7.3 PA PY budget_savings'!F61</f>
        <v>0</v>
      </c>
      <c r="K19" s="780">
        <f>+'7.3 PA PY budget_savings'!G61</f>
        <v>0</v>
      </c>
      <c r="L19" s="780">
        <f>+'7.3 PA PY budget_savings'!H61</f>
        <v>0</v>
      </c>
      <c r="M19" s="780">
        <f>SUMIF('4.1 Program Budget - 2024-2027'!$G:$G,$C19,'4.1 Program Budget - 2024-2027'!AB:AB)</f>
        <v>0</v>
      </c>
      <c r="N19" s="780">
        <f>SUMIF('4.1 Program Budget - 2024-2027'!$G:$G,$C19,'4.1 Program Budget - 2024-2027'!AC:AC)</f>
        <v>0</v>
      </c>
      <c r="O19" s="780">
        <f>SUMIF('4.1 Program Budget - 2024-2027'!$G:$G,$C19,'4.1 Program Budget - 2024-2027'!AD:AD)</f>
        <v>0</v>
      </c>
      <c r="P19" s="780">
        <f>SUMIF('4.1 Program Budget - 2024-2027'!$G:$G,$C19,'4.1 Program Budget - 2024-2027'!AE:AE)</f>
        <v>0</v>
      </c>
      <c r="Q19" s="781">
        <f>SUMIF('4.1 Program Budget - 2024-2027'!$G:$G,$C19,'4.1 Program Budget - 2024-2027'!AF:AF)</f>
        <v>0</v>
      </c>
    </row>
    <row r="20" spans="2:17" ht="14.65" thickBot="1">
      <c r="B20" s="1407"/>
      <c r="C20" s="80" t="s">
        <v>925</v>
      </c>
      <c r="D20" s="83">
        <f>SUBTOTAL(9,D9:D19)</f>
        <v>151687539.46587145</v>
      </c>
      <c r="E20" s="77">
        <f t="shared" ref="E20:J20" si="0">SUBTOTAL(9,E9:E19)</f>
        <v>304171937</v>
      </c>
      <c r="F20" s="152">
        <v>1.1200000000000001</v>
      </c>
      <c r="G20" s="152">
        <v>2.16</v>
      </c>
      <c r="H20" s="83">
        <f t="shared" si="0"/>
        <v>13136113.58</v>
      </c>
      <c r="I20" s="83">
        <f t="shared" si="0"/>
        <v>2925.2999999999997</v>
      </c>
      <c r="J20" s="83">
        <f t="shared" si="0"/>
        <v>51758458.7509</v>
      </c>
      <c r="K20" s="83">
        <f t="shared" ref="K20:P20" si="1">SUBTOTAL(9,K9:K19)</f>
        <v>3862.7000000000003</v>
      </c>
      <c r="L20" s="83">
        <f t="shared" si="1"/>
        <v>304454.59570000001</v>
      </c>
      <c r="M20" s="83">
        <f t="shared" si="1"/>
        <v>90506165.63000001</v>
      </c>
      <c r="N20" s="83">
        <f>SUBTOTAL(9,N9:N19)</f>
        <v>518620847.31</v>
      </c>
      <c r="O20" s="83">
        <f t="shared" si="1"/>
        <v>27152.430000000004</v>
      </c>
      <c r="P20" s="83">
        <f t="shared" si="1"/>
        <v>3057159.5700000003</v>
      </c>
      <c r="Q20" s="90">
        <f t="shared" ref="Q20" si="2">SUBTOTAL(9,Q9:Q19)</f>
        <v>0</v>
      </c>
    </row>
    <row r="21" spans="2:17">
      <c r="B21" s="1410">
        <v>2025</v>
      </c>
      <c r="C21" s="774" t="s">
        <v>17</v>
      </c>
      <c r="D21" s="775">
        <f>+'7.3 PA PY budget_savings'!I49</f>
        <v>60892372.424332015</v>
      </c>
      <c r="E21" s="163">
        <v>49477333</v>
      </c>
      <c r="F21" s="159">
        <v>0.6</v>
      </c>
      <c r="G21" s="159">
        <v>0.77</v>
      </c>
      <c r="H21" s="775">
        <f>+'7.3 PA PY budget_savings'!J49</f>
        <v>1887816.5233900002</v>
      </c>
      <c r="I21" s="775">
        <f>+'7.3 PA PY budget_savings'!K49</f>
        <v>614.85518973400008</v>
      </c>
      <c r="J21" s="775">
        <f>+'7.3 PA PY budget_savings'!L49</f>
        <v>14665388.433289999</v>
      </c>
      <c r="K21" s="775">
        <f>+'7.3 PA PY budget_savings'!M49</f>
        <v>638.67796633</v>
      </c>
      <c r="L21" s="775">
        <f>+'7.3 PA PY budget_savings'!N49</f>
        <v>87248.167836000008</v>
      </c>
      <c r="M21" s="775">
        <f>SUMIF('4.1 Program Budget - 2024-2027'!$G:$G,$C21,'4.1 Program Budget - 2024-2027'!AT:AT)</f>
        <v>21086431.576400001</v>
      </c>
      <c r="N21" s="775">
        <f>SUMIF('4.1 Program Budget - 2024-2027'!$G:$G,$C21,'4.1 Program Budget - 2024-2027'!AU:AU)</f>
        <v>49140955.98870001</v>
      </c>
      <c r="O21" s="775">
        <f>SUMIF('4.1 Program Budget - 2024-2027'!$G:$G,$C21,'4.1 Program Budget - 2024-2027'!AV:AV)</f>
        <v>10771.187179609999</v>
      </c>
      <c r="P21" s="775">
        <f>SUMIF('4.1 Program Budget - 2024-2027'!$G:$G,$C21,'4.1 Program Budget - 2024-2027'!AW:AW)</f>
        <v>308581.51293299999</v>
      </c>
      <c r="Q21" s="776">
        <f>SUMIF('4.1 Program Budget - 2024-2027'!$G:$G,$C21,'4.1 Program Budget - 2024-2027'!AX:AX)</f>
        <v>0</v>
      </c>
    </row>
    <row r="22" spans="2:17">
      <c r="B22" s="1411"/>
      <c r="C22" s="777" t="s">
        <v>22</v>
      </c>
      <c r="D22" s="775">
        <f>+'7.3 PA PY budget_savings'!I50</f>
        <v>35914638.496203959</v>
      </c>
      <c r="E22" s="163">
        <v>46941642</v>
      </c>
      <c r="F22" s="159">
        <v>1.1499999999999999</v>
      </c>
      <c r="G22" s="159">
        <v>1.39</v>
      </c>
      <c r="H22" s="775">
        <f>+'7.3 PA PY budget_savings'!J50</f>
        <v>11211284.595100001</v>
      </c>
      <c r="I22" s="775">
        <f>+'7.3 PA PY budget_savings'!K50</f>
        <v>2312.4652000000001</v>
      </c>
      <c r="J22" s="775">
        <f>+'7.3 PA PY budget_savings'!L50</f>
        <v>6965256.55614</v>
      </c>
      <c r="K22" s="775">
        <f>+'7.3 PA PY budget_savings'!M50</f>
        <v>2993.5612780900001</v>
      </c>
      <c r="L22" s="775">
        <f>+'7.3 PA PY budget_savings'!N50</f>
        <v>40963.175281899996</v>
      </c>
      <c r="M22" s="775">
        <f>SUMIF('4.1 Program Budget - 2024-2027'!$G:$G,$C22,'4.1 Program Budget - 2024-2027'!AT:AT)</f>
        <v>68953998.086499989</v>
      </c>
      <c r="N22" s="775">
        <f>SUMIF('4.1 Program Budget - 2024-2027'!$G:$G,$C22,'4.1 Program Budget - 2024-2027'!AU:AU)</f>
        <v>61371915.358499996</v>
      </c>
      <c r="O22" s="775">
        <f>SUMIF('4.1 Program Budget - 2024-2027'!$G:$G,$C22,'4.1 Program Budget - 2024-2027'!AV:AV)</f>
        <v>15639.66997479</v>
      </c>
      <c r="P22" s="775">
        <f>SUMIF('4.1 Program Budget - 2024-2027'!$G:$G,$C22,'4.1 Program Budget - 2024-2027'!AW:AW)</f>
        <v>361194.34515800001</v>
      </c>
      <c r="Q22" s="776">
        <f>SUMIF('4.1 Program Budget - 2024-2027'!$G:$G,$C22,'4.1 Program Budget - 2024-2027'!AX:AX)</f>
        <v>0</v>
      </c>
    </row>
    <row r="23" spans="2:17">
      <c r="B23" s="1411"/>
      <c r="C23" s="777" t="s">
        <v>25</v>
      </c>
      <c r="D23" s="775">
        <f>+'7.3 PA PY budget_savings'!I51</f>
        <v>19257847.933097176</v>
      </c>
      <c r="E23" s="163">
        <v>38076340</v>
      </c>
      <c r="F23" s="159">
        <v>1.1499999999999999</v>
      </c>
      <c r="G23" s="159">
        <v>1.4</v>
      </c>
      <c r="H23" s="775">
        <f>+'7.3 PA PY budget_savings'!J51</f>
        <v>1890.4</v>
      </c>
      <c r="I23" s="775">
        <f>+'7.3 PA PY budget_savings'!K51</f>
        <v>7.0000000000000007E-2</v>
      </c>
      <c r="J23" s="775">
        <f>+'7.3 PA PY budget_savings'!L51</f>
        <v>5063623.34</v>
      </c>
      <c r="K23" s="775">
        <f>+'7.3 PA PY budget_savings'!M51</f>
        <v>0.34</v>
      </c>
      <c r="L23" s="775">
        <f>+'7.3 PA PY budget_savings'!N51</f>
        <v>29621.95</v>
      </c>
      <c r="M23" s="775">
        <f>SUMIF('4.1 Program Budget - 2024-2027'!$G:$G,$C23,'4.1 Program Budget - 2024-2027'!AT:AT)</f>
        <v>24462.58</v>
      </c>
      <c r="N23" s="775">
        <f>SUMIF('4.1 Program Budget - 2024-2027'!$G:$G,$C23,'4.1 Program Budget - 2024-2027'!AU:AU)</f>
        <v>50616354.609999999</v>
      </c>
      <c r="O23" s="775">
        <f>SUMIF('4.1 Program Budget - 2024-2027'!$G:$G,$C23,'4.1 Program Budget - 2024-2027'!AV:AV)</f>
        <v>12.29</v>
      </c>
      <c r="P23" s="775">
        <f>SUMIF('4.1 Program Budget - 2024-2027'!$G:$G,$C23,'4.1 Program Budget - 2024-2027'!AW:AW)</f>
        <v>296105.87</v>
      </c>
      <c r="Q23" s="776">
        <f>SUMIF('4.1 Program Budget - 2024-2027'!$G:$G,$C23,'4.1 Program Budget - 2024-2027'!AX:AX)</f>
        <v>0</v>
      </c>
    </row>
    <row r="24" spans="2:17">
      <c r="B24" s="1411"/>
      <c r="C24" s="777" t="s">
        <v>27</v>
      </c>
      <c r="D24" s="775">
        <f>+'7.3 PA PY budget_savings'!I52</f>
        <v>5472232.3281165045</v>
      </c>
      <c r="E24" s="163">
        <v>5247428</v>
      </c>
      <c r="F24" s="159">
        <v>0.96</v>
      </c>
      <c r="G24" s="159">
        <v>1.18</v>
      </c>
      <c r="H24" s="775">
        <f>+'7.3 PA PY budget_savings'!J52</f>
        <v>35538.555</v>
      </c>
      <c r="I24" s="775">
        <f>+'7.3 PA PY budget_savings'!K52</f>
        <v>0.04</v>
      </c>
      <c r="J24" s="775">
        <f>+'7.3 PA PY budget_savings'!L52</f>
        <v>592078.16</v>
      </c>
      <c r="K24" s="775">
        <f>+'7.3 PA PY budget_savings'!M52</f>
        <v>3.7133427399999999</v>
      </c>
      <c r="L24" s="775">
        <f>+'7.3 PA PY budget_savings'!N52</f>
        <v>3463.65625</v>
      </c>
      <c r="M24" s="775">
        <f>SUMIF('4.1 Program Budget - 2024-2027'!$G:$G,$C24,'4.1 Program Budget - 2024-2027'!AT:AT)</f>
        <v>427647.75</v>
      </c>
      <c r="N24" s="775">
        <f>SUMIF('4.1 Program Budget - 2024-2027'!$G:$G,$C24,'4.1 Program Budget - 2024-2027'!AU:AU)</f>
        <v>6866762.7200000007</v>
      </c>
      <c r="O24" s="775">
        <f>SUMIF('4.1 Program Budget - 2024-2027'!$G:$G,$C24,'4.1 Program Budget - 2024-2027'!AV:AV)</f>
        <v>54.654378600000001</v>
      </c>
      <c r="P24" s="775">
        <f>SUMIF('4.1 Program Budget - 2024-2027'!$G:$G,$C24,'4.1 Program Budget - 2024-2027'!AW:AW)</f>
        <v>40170.595000000001</v>
      </c>
      <c r="Q24" s="776">
        <f>SUMIF('4.1 Program Budget - 2024-2027'!$G:$G,$C24,'4.1 Program Budget - 2024-2027'!AX:AX)</f>
        <v>0</v>
      </c>
    </row>
    <row r="25" spans="2:17">
      <c r="B25" s="1411"/>
      <c r="C25" s="777" t="s">
        <v>29</v>
      </c>
      <c r="D25" s="775">
        <f>+'7.3 PA PY budget_savings'!I53</f>
        <v>1652861.4233807516</v>
      </c>
      <c r="E25" s="163" t="s">
        <v>933</v>
      </c>
      <c r="F25" s="160" t="s">
        <v>933</v>
      </c>
      <c r="G25" s="160" t="s">
        <v>933</v>
      </c>
      <c r="H25" s="775">
        <f>+'7.3 PA PY budget_savings'!J53</f>
        <v>0</v>
      </c>
      <c r="I25" s="775">
        <f>+'7.3 PA PY budget_savings'!K53</f>
        <v>0</v>
      </c>
      <c r="J25" s="775">
        <f>+'7.3 PA PY budget_savings'!L53</f>
        <v>0</v>
      </c>
      <c r="K25" s="775">
        <f>+'7.3 PA PY budget_savings'!M53</f>
        <v>0</v>
      </c>
      <c r="L25" s="775">
        <f>+'7.3 PA PY budget_savings'!N53</f>
        <v>0</v>
      </c>
      <c r="M25" s="775">
        <f>SUMIF('4.1 Program Budget - 2024-2027'!$G:$G,$C25,'4.1 Program Budget - 2024-2027'!AT:AT)</f>
        <v>0</v>
      </c>
      <c r="N25" s="775">
        <f>SUMIF('4.1 Program Budget - 2024-2027'!$G:$G,$C25,'4.1 Program Budget - 2024-2027'!AU:AU)</f>
        <v>0</v>
      </c>
      <c r="O25" s="775">
        <f>SUMIF('4.1 Program Budget - 2024-2027'!$G:$G,$C25,'4.1 Program Budget - 2024-2027'!AV:AV)</f>
        <v>0</v>
      </c>
      <c r="P25" s="775">
        <f>SUMIF('4.1 Program Budget - 2024-2027'!$G:$G,$C25,'4.1 Program Budget - 2024-2027'!AW:AW)</f>
        <v>0</v>
      </c>
      <c r="Q25" s="776">
        <f>SUMIF('4.1 Program Budget - 2024-2027'!$G:$G,$C25,'4.1 Program Budget - 2024-2027'!AX:AX)</f>
        <v>0</v>
      </c>
    </row>
    <row r="26" spans="2:17">
      <c r="B26" s="1411"/>
      <c r="C26" s="777" t="s">
        <v>30</v>
      </c>
      <c r="D26" s="775">
        <f>+'7.3 PA PY budget_savings'!I54</f>
        <v>12414832.004593186</v>
      </c>
      <c r="E26" s="163">
        <v>13845003</v>
      </c>
      <c r="F26" s="159">
        <v>1.03</v>
      </c>
      <c r="G26" s="159">
        <v>1.36</v>
      </c>
      <c r="H26" s="775">
        <f>+'7.3 PA PY budget_savings'!J54</f>
        <v>8193.8106000000007</v>
      </c>
      <c r="I26" s="775">
        <f>+'7.3 PA PY budget_savings'!K54</f>
        <v>0.09</v>
      </c>
      <c r="J26" s="775">
        <f>+'7.3 PA PY budget_savings'!L54</f>
        <v>2440988.39</v>
      </c>
      <c r="K26" s="775">
        <f>+'7.3 PA PY budget_savings'!M54</f>
        <v>1.0265317920000001</v>
      </c>
      <c r="L26" s="775">
        <f>+'7.3 PA PY budget_savings'!N54</f>
        <v>14280.245780000001</v>
      </c>
      <c r="M26" s="775">
        <f>SUMIF('4.1 Program Budget - 2024-2027'!$G:$G,$C26,'4.1 Program Budget - 2024-2027'!AT:AT)</f>
        <v>63818.488299999997</v>
      </c>
      <c r="N26" s="775">
        <f>SUMIF('4.1 Program Budget - 2024-2027'!$G:$G,$C26,'4.1 Program Budget - 2024-2027'!AU:AU)</f>
        <v>20368450.640000001</v>
      </c>
      <c r="O26" s="775">
        <f>SUMIF('4.1 Program Budget - 2024-2027'!$G:$G,$C26,'4.1 Program Budget - 2024-2027'!AV:AV)</f>
        <v>19.885925737999997</v>
      </c>
      <c r="P26" s="775">
        <f>SUMIF('4.1 Program Budget - 2024-2027'!$G:$G,$C26,'4.1 Program Budget - 2024-2027'!AW:AW)</f>
        <v>119155.82179</v>
      </c>
      <c r="Q26" s="776">
        <f>SUMIF('4.1 Program Budget - 2024-2027'!$G:$G,$C26,'4.1 Program Budget - 2024-2027'!AX:AX)</f>
        <v>0</v>
      </c>
    </row>
    <row r="27" spans="2:17">
      <c r="B27" s="1411"/>
      <c r="C27" s="777" t="s">
        <v>32</v>
      </c>
      <c r="D27" s="775">
        <f>+'7.3 PA PY budget_savings'!I55</f>
        <v>8607036.8892864399</v>
      </c>
      <c r="E27" s="163" t="s">
        <v>933</v>
      </c>
      <c r="F27" s="160" t="s">
        <v>933</v>
      </c>
      <c r="G27" s="160" t="s">
        <v>933</v>
      </c>
      <c r="H27" s="775">
        <f>+'7.3 PA PY budget_savings'!J55</f>
        <v>0</v>
      </c>
      <c r="I27" s="775">
        <f>+'7.3 PA PY budget_savings'!K55</f>
        <v>0</v>
      </c>
      <c r="J27" s="775">
        <f>+'7.3 PA PY budget_savings'!L55</f>
        <v>1330133.077</v>
      </c>
      <c r="K27" s="775">
        <f>+'7.3 PA PY budget_savings'!M55</f>
        <v>0</v>
      </c>
      <c r="L27" s="775">
        <f>+'7.3 PA PY budget_savings'!N55</f>
        <v>7781.2785000000003</v>
      </c>
      <c r="M27" s="775">
        <f>SUMIF('4.1 Program Budget - 2024-2027'!$G:$G,$C27,'4.1 Program Budget - 2024-2027'!AT:AT)</f>
        <v>0</v>
      </c>
      <c r="N27" s="775">
        <f>SUMIF('4.1 Program Budget - 2024-2027'!$G:$G,$C27,'4.1 Program Budget - 2024-2027'!AU:AU)</f>
        <v>10382360.32</v>
      </c>
      <c r="O27" s="775">
        <f>SUMIF('4.1 Program Budget - 2024-2027'!$G:$G,$C27,'4.1 Program Budget - 2024-2027'!AV:AV)</f>
        <v>0</v>
      </c>
      <c r="P27" s="775">
        <f>SUMIF('4.1 Program Budget - 2024-2027'!$G:$G,$C27,'4.1 Program Budget - 2024-2027'!AW:AW)</f>
        <v>60736.807849999997</v>
      </c>
      <c r="Q27" s="776">
        <f>SUMIF('4.1 Program Budget - 2024-2027'!$G:$G,$C27,'4.1 Program Budget - 2024-2027'!AX:AX)</f>
        <v>0</v>
      </c>
    </row>
    <row r="28" spans="2:17">
      <c r="B28" s="1411"/>
      <c r="C28" s="777" t="s">
        <v>34</v>
      </c>
      <c r="D28" s="775">
        <f>+'7.3 PA PY budget_savings'!I56</f>
        <v>532117.84258812142</v>
      </c>
      <c r="E28" s="163" t="s">
        <v>933</v>
      </c>
      <c r="F28" s="160" t="s">
        <v>933</v>
      </c>
      <c r="G28" s="160" t="s">
        <v>933</v>
      </c>
      <c r="H28" s="775">
        <f>+'7.3 PA PY budget_savings'!J56</f>
        <v>0</v>
      </c>
      <c r="I28" s="775">
        <f>+'7.3 PA PY budget_savings'!K56</f>
        <v>0</v>
      </c>
      <c r="J28" s="775">
        <f>+'7.3 PA PY budget_savings'!L56</f>
        <v>0</v>
      </c>
      <c r="K28" s="775">
        <f>+'7.3 PA PY budget_savings'!M56</f>
        <v>0</v>
      </c>
      <c r="L28" s="775">
        <f>+'7.3 PA PY budget_savings'!N56</f>
        <v>0</v>
      </c>
      <c r="M28" s="775">
        <f>SUMIF('4.1 Program Budget - 2024-2027'!$G:$G,$C28,'4.1 Program Budget - 2024-2027'!AT:AT)</f>
        <v>0</v>
      </c>
      <c r="N28" s="775">
        <f>SUMIF('4.1 Program Budget - 2024-2027'!$G:$G,$C28,'4.1 Program Budget - 2024-2027'!AU:AU)</f>
        <v>0</v>
      </c>
      <c r="O28" s="775">
        <f>SUMIF('4.1 Program Budget - 2024-2027'!$G:$G,$C28,'4.1 Program Budget - 2024-2027'!AV:AV)</f>
        <v>0</v>
      </c>
      <c r="P28" s="775">
        <f>SUMIF('4.1 Program Budget - 2024-2027'!$G:$G,$C28,'4.1 Program Budget - 2024-2027'!AW:AW)</f>
        <v>0</v>
      </c>
      <c r="Q28" s="776">
        <f>SUMIF('4.1 Program Budget - 2024-2027'!$G:$G,$C28,'4.1 Program Budget - 2024-2027'!AX:AX)</f>
        <v>0</v>
      </c>
    </row>
    <row r="29" spans="2:17">
      <c r="B29" s="1411"/>
      <c r="C29" s="777" t="s">
        <v>36</v>
      </c>
      <c r="D29" s="775">
        <f>+'7.3 PA PY budget_savings'!I57</f>
        <v>0</v>
      </c>
      <c r="E29" s="163" t="s">
        <v>933</v>
      </c>
      <c r="F29" s="160" t="s">
        <v>933</v>
      </c>
      <c r="G29" s="160" t="s">
        <v>933</v>
      </c>
      <c r="H29" s="775">
        <f>+'7.3 PA PY budget_savings'!J57</f>
        <v>0</v>
      </c>
      <c r="I29" s="775">
        <f>+'7.3 PA PY budget_savings'!K57</f>
        <v>0</v>
      </c>
      <c r="J29" s="775">
        <f>+'7.3 PA PY budget_savings'!L57</f>
        <v>0</v>
      </c>
      <c r="K29" s="775">
        <f>+'7.3 PA PY budget_savings'!M57</f>
        <v>0</v>
      </c>
      <c r="L29" s="775">
        <f>+'7.3 PA PY budget_savings'!N57</f>
        <v>0</v>
      </c>
      <c r="M29" s="775">
        <f>SUMIF('4.1 Program Budget - 2024-2027'!$G:$G,$C29,'4.1 Program Budget - 2024-2027'!AT:AT)</f>
        <v>0</v>
      </c>
      <c r="N29" s="775">
        <f>SUMIF('4.1 Program Budget - 2024-2027'!$G:$G,$C29,'4.1 Program Budget - 2024-2027'!AU:AU)</f>
        <v>0</v>
      </c>
      <c r="O29" s="775">
        <f>SUMIF('4.1 Program Budget - 2024-2027'!$G:$G,$C29,'4.1 Program Budget - 2024-2027'!AV:AV)</f>
        <v>0</v>
      </c>
      <c r="P29" s="775">
        <f>SUMIF('4.1 Program Budget - 2024-2027'!$G:$G,$C29,'4.1 Program Budget - 2024-2027'!AW:AW)</f>
        <v>0</v>
      </c>
      <c r="Q29" s="776">
        <f>SUMIF('4.1 Program Budget - 2024-2027'!$G:$G,$C29,'4.1 Program Budget - 2024-2027'!AX:AX)</f>
        <v>0</v>
      </c>
    </row>
    <row r="30" spans="2:17">
      <c r="B30" s="1411"/>
      <c r="C30" s="778" t="s">
        <v>932</v>
      </c>
      <c r="D30" s="775">
        <f>+'7.3 PA PY budget_savings'!I68</f>
        <v>1461901.3288</v>
      </c>
      <c r="E30" s="163">
        <v>149901040</v>
      </c>
      <c r="F30" s="159">
        <v>1.59</v>
      </c>
      <c r="G30" s="159">
        <v>102.54</v>
      </c>
      <c r="H30" s="775">
        <f>+'7.3 PA PY budget_savings'!J68</f>
        <v>0</v>
      </c>
      <c r="I30" s="775">
        <f>+'7.3 PA PY budget_savings'!K68</f>
        <v>0</v>
      </c>
      <c r="J30" s="775">
        <f>+'7.3 PA PY budget_savings'!L68</f>
        <v>20193514.800000001</v>
      </c>
      <c r="K30" s="775">
        <f>+'7.3 PA PY budget_savings'!M68</f>
        <v>0</v>
      </c>
      <c r="L30" s="775">
        <f>+'7.3 PA PY budget_savings'!N68</f>
        <v>118132.0616</v>
      </c>
      <c r="M30" s="775">
        <f>SUMIF('4.1 Program Budget - 2024-2027'!$G:$G,"Codes &amp; Standards",'4.1 Program Budget - 2024-2027'!AT:AT)</f>
        <v>0</v>
      </c>
      <c r="N30" s="775">
        <f>SUMIF('4.1 Program Budget - 2024-2027'!$G:$G,"Codes &amp; Standards",'4.1 Program Budget - 2024-2027'!AU:AU)</f>
        <v>311250604</v>
      </c>
      <c r="O30" s="775">
        <f>SUMIF('4.1 Program Budget - 2024-2027'!$G:$G,"Codes &amp; Standards",'4.1 Program Budget - 2024-2027'!AV:AV)</f>
        <v>0</v>
      </c>
      <c r="P30" s="775">
        <f>SUMIF('4.1 Program Budget - 2024-2027'!$G:$G,"Codes &amp; Standards",'4.1 Program Budget - 2024-2027'!AW:AW)</f>
        <v>1820815</v>
      </c>
      <c r="Q30" s="776">
        <f>SUMIF('4.1 Program Budget - 2024-2027'!$G:$G,$C30,'4.1 Program Budget - 2024-2027'!AX:AX)</f>
        <v>0</v>
      </c>
    </row>
    <row r="31" spans="2:17" ht="14.65" thickBot="1">
      <c r="B31" s="1411"/>
      <c r="C31" s="779" t="s">
        <v>679</v>
      </c>
      <c r="D31" s="775">
        <f>+'7.3 PA PY budget_savings'!I61</f>
        <v>6091910.0279332595</v>
      </c>
      <c r="E31" s="164"/>
      <c r="F31" s="156"/>
      <c r="G31" s="156"/>
      <c r="H31" s="780">
        <f>+'7.3 PA PY budget_savings'!D73</f>
        <v>0</v>
      </c>
      <c r="I31" s="780">
        <f>+'7.3 PA PY budget_savings'!E73</f>
        <v>0</v>
      </c>
      <c r="J31" s="780">
        <f>+'7.3 PA PY budget_savings'!F73</f>
        <v>0</v>
      </c>
      <c r="K31" s="780">
        <f>+'7.3 PA PY budget_savings'!G73</f>
        <v>0</v>
      </c>
      <c r="L31" s="780">
        <f>+'7.3 PA PY budget_savings'!H73</f>
        <v>0</v>
      </c>
      <c r="M31" s="780">
        <f>SUMIF('4.1 Program Budget - 2024-2027'!$G:$G,$C31,'4.1 Program Budget - 2024-2027'!AB:AB)</f>
        <v>0</v>
      </c>
      <c r="N31" s="780">
        <f>SUMIF('4.1 Program Budget - 2024-2027'!$G:$G,$C31,'4.1 Program Budget - 2024-2027'!AC:AC)</f>
        <v>0</v>
      </c>
      <c r="O31" s="780">
        <f>SUMIF('4.1 Program Budget - 2024-2027'!$G:$G,$C31,'4.1 Program Budget - 2024-2027'!AD:AD)</f>
        <v>0</v>
      </c>
      <c r="P31" s="780">
        <f>SUMIF('4.1 Program Budget - 2024-2027'!$G:$G,$C31,'4.1 Program Budget - 2024-2027'!AE:AE)</f>
        <v>0</v>
      </c>
      <c r="Q31" s="781">
        <f>SUMIF('4.1 Program Budget - 2024-2027'!$G:$G,$C31,'4.1 Program Budget - 2024-2027'!AF:AF)</f>
        <v>0</v>
      </c>
    </row>
    <row r="32" spans="2:17" ht="14.65" thickBot="1">
      <c r="B32" s="1407"/>
      <c r="C32" s="80" t="s">
        <v>925</v>
      </c>
      <c r="D32" s="83">
        <f>SUBTOTAL(9,D21:D31)</f>
        <v>152297750.69833142</v>
      </c>
      <c r="E32" s="77">
        <f t="shared" ref="E32" si="3">SUBTOTAL(9,E21:E31)</f>
        <v>303488786</v>
      </c>
      <c r="F32" s="152">
        <v>1.1200000000000001</v>
      </c>
      <c r="G32" s="152">
        <v>2.14</v>
      </c>
      <c r="H32" s="83">
        <f t="shared" ref="H32" si="4">SUBTOTAL(9,H21:H31)</f>
        <v>13144723.884090001</v>
      </c>
      <c r="I32" s="83">
        <f t="shared" ref="I32" si="5">SUBTOTAL(9,I21:I31)</f>
        <v>2927.5203897340002</v>
      </c>
      <c r="J32" s="83">
        <f t="shared" ref="J32:K32" si="6">SUBTOTAL(9,J21:J31)</f>
        <v>51250982.75643</v>
      </c>
      <c r="K32" s="83">
        <f t="shared" si="6"/>
        <v>3637.3191189519998</v>
      </c>
      <c r="L32" s="83">
        <f t="shared" ref="L32:P32" si="7">SUBTOTAL(9,L21:L31)</f>
        <v>301490.5352479</v>
      </c>
      <c r="M32" s="83">
        <f t="shared" si="7"/>
        <v>90556358.48119998</v>
      </c>
      <c r="N32" s="83">
        <f t="shared" si="7"/>
        <v>509997403.6372</v>
      </c>
      <c r="O32" s="83">
        <f t="shared" si="7"/>
        <v>26497.687458738001</v>
      </c>
      <c r="P32" s="83">
        <f t="shared" si="7"/>
        <v>3006759.9527310003</v>
      </c>
      <c r="Q32" s="90">
        <f t="shared" ref="Q32" si="8">SUBTOTAL(9,Q21:Q31)</f>
        <v>0</v>
      </c>
    </row>
    <row r="33" spans="2:17">
      <c r="B33" s="1410">
        <v>2026</v>
      </c>
      <c r="C33" s="774" t="s">
        <v>17</v>
      </c>
      <c r="D33" s="775">
        <f>+'7.3 PA PY budget_savings'!O49</f>
        <v>61473012.389687508</v>
      </c>
      <c r="E33" s="163">
        <v>52664434</v>
      </c>
      <c r="F33" s="159">
        <v>0.63</v>
      </c>
      <c r="G33" s="161">
        <v>0.81</v>
      </c>
      <c r="H33" s="775">
        <f>+'7.3 PA PY budget_savings'!P49</f>
        <v>1887123.4683900003</v>
      </c>
      <c r="I33" s="775">
        <f>+'7.3 PA PY budget_savings'!Q49</f>
        <v>614.75288973400006</v>
      </c>
      <c r="J33" s="775">
        <f>+'7.3 PA PY budget_savings'!R49</f>
        <v>14626745.48329</v>
      </c>
      <c r="K33" s="775">
        <f>+'7.3 PA PY budget_savings'!S49</f>
        <v>667.26903835300004</v>
      </c>
      <c r="L33" s="775">
        <f>+'7.3 PA PY budget_savings'!T49</f>
        <v>87021.192828000014</v>
      </c>
      <c r="M33" s="775">
        <f>SUMIF('4.1 Program Budget - 2024-2027'!$G:$G,$C33,'4.1 Program Budget - 2024-2027'!BL:BL)</f>
        <v>21072570.476400003</v>
      </c>
      <c r="N33" s="775">
        <f>SUMIF('4.1 Program Budget - 2024-2027'!$G:$G,$C33,'4.1 Program Budget - 2024-2027'!BM:BM)</f>
        <v>48691969.23870001</v>
      </c>
      <c r="O33" s="775">
        <f>SUMIF('4.1 Program Budget - 2024-2027'!$G:$G,$C33,'4.1 Program Budget - 2024-2027'!BN:BN)</f>
        <v>10954.41924144</v>
      </c>
      <c r="P33" s="775">
        <f>SUMIF('4.1 Program Budget - 2024-2027'!$G:$G,$C33,'4.1 Program Budget - 2024-2027'!BO:BO)</f>
        <v>305954.46649300004</v>
      </c>
      <c r="Q33" s="776">
        <f>SUMIF('4.1 Program Budget - 2024-2027'!$G:$G,$C33,'4.1 Program Budget - 2024-2027'!BP:BP)</f>
        <v>0</v>
      </c>
    </row>
    <row r="34" spans="2:17">
      <c r="B34" s="1411"/>
      <c r="C34" s="777" t="s">
        <v>22</v>
      </c>
      <c r="D34" s="775">
        <f>+'7.3 PA PY budget_savings'!O50</f>
        <v>36107658.440373875</v>
      </c>
      <c r="E34" s="163">
        <v>48585928</v>
      </c>
      <c r="F34" s="159">
        <v>1.2</v>
      </c>
      <c r="G34" s="159">
        <v>1.44</v>
      </c>
      <c r="H34" s="775">
        <f>+'7.3 PA PY budget_savings'!P50</f>
        <v>11211513.4651</v>
      </c>
      <c r="I34" s="775">
        <f>+'7.3 PA PY budget_savings'!Q50</f>
        <v>2312.4151999999999</v>
      </c>
      <c r="J34" s="775">
        <f>+'7.3 PA PY budget_savings'!R50</f>
        <v>6937667.76614</v>
      </c>
      <c r="K34" s="775">
        <f>+'7.3 PA PY budget_savings'!S50</f>
        <v>2716.5448605369997</v>
      </c>
      <c r="L34" s="775">
        <f>+'7.3 PA PY budget_savings'!T50</f>
        <v>40762.8052819</v>
      </c>
      <c r="M34" s="775">
        <f>SUMIF('4.1 Program Budget - 2024-2027'!$G:$G,$C34,'4.1 Program Budget - 2024-2027'!BL:BL)</f>
        <v>68956454.496499985</v>
      </c>
      <c r="N34" s="775">
        <f>SUMIF('4.1 Program Budget - 2024-2027'!$G:$G,$C34,'4.1 Program Budget - 2024-2027'!BM:BM)</f>
        <v>60826363.318499997</v>
      </c>
      <c r="O34" s="775">
        <f>SUMIF('4.1 Program Budget - 2024-2027'!$G:$G,$C34,'4.1 Program Budget - 2024-2027'!BN:BN)</f>
        <v>14989.47794191</v>
      </c>
      <c r="P34" s="775">
        <f>SUMIF('4.1 Program Budget - 2024-2027'!$G:$G,$C34,'4.1 Program Budget - 2024-2027'!BO:BO)</f>
        <v>357599.76515799999</v>
      </c>
      <c r="Q34" s="776">
        <f>SUMIF('4.1 Program Budget - 2024-2027'!$G:$G,$C34,'4.1 Program Budget - 2024-2027'!BP:BP)</f>
        <v>0</v>
      </c>
    </row>
    <row r="35" spans="2:17">
      <c r="B35" s="1411"/>
      <c r="C35" s="777" t="s">
        <v>25</v>
      </c>
      <c r="D35" s="775">
        <f>+'7.3 PA PY budget_savings'!O51</f>
        <v>18958555.974243689</v>
      </c>
      <c r="E35" s="163">
        <v>38367401</v>
      </c>
      <c r="F35" s="159">
        <v>1.17</v>
      </c>
      <c r="G35" s="159">
        <v>1.42</v>
      </c>
      <c r="H35" s="775">
        <f>+'7.3 PA PY budget_savings'!P51</f>
        <v>1901</v>
      </c>
      <c r="I35" s="775">
        <f>+'7.3 PA PY budget_savings'!Q51</f>
        <v>0.05</v>
      </c>
      <c r="J35" s="775">
        <f>+'7.3 PA PY budget_savings'!R51</f>
        <v>4854184.5</v>
      </c>
      <c r="K35" s="775">
        <f>+'7.3 PA PY budget_savings'!S51</f>
        <v>0.37816946200000001</v>
      </c>
      <c r="L35" s="775">
        <f>+'7.3 PA PY budget_savings'!T51</f>
        <v>28397.420000000002</v>
      </c>
      <c r="M35" s="775">
        <f>SUMIF('4.1 Program Budget - 2024-2027'!$G:$G,$C35,'4.1 Program Budget - 2024-2027'!BL:BL)</f>
        <v>24471.02</v>
      </c>
      <c r="N35" s="775">
        <f>SUMIF('4.1 Program Budget - 2024-2027'!$G:$G,$C35,'4.1 Program Budget - 2024-2027'!BM:BM)</f>
        <v>47454678.369999997</v>
      </c>
      <c r="O35" s="775">
        <f>SUMIF('4.1 Program Budget - 2024-2027'!$G:$G,$C35,'4.1 Program Budget - 2024-2027'!BN:BN)</f>
        <v>12.47</v>
      </c>
      <c r="P35" s="775">
        <f>SUMIF('4.1 Program Budget - 2024-2027'!$G:$G,$C35,'4.1 Program Budget - 2024-2027'!BO:BO)</f>
        <v>277609.44</v>
      </c>
      <c r="Q35" s="776">
        <f>SUMIF('4.1 Program Budget - 2024-2027'!$G:$G,$C35,'4.1 Program Budget - 2024-2027'!BP:BP)</f>
        <v>0</v>
      </c>
    </row>
    <row r="36" spans="2:17">
      <c r="B36" s="1411"/>
      <c r="C36" s="777" t="s">
        <v>27</v>
      </c>
      <c r="D36" s="775">
        <f>+'7.3 PA PY budget_savings'!O52</f>
        <v>5579365.7340623653</v>
      </c>
      <c r="E36" s="163">
        <v>5333310</v>
      </c>
      <c r="F36" s="159">
        <v>0.97</v>
      </c>
      <c r="G36" s="159">
        <v>1.18</v>
      </c>
      <c r="H36" s="775">
        <f>+'7.3 PA PY budget_savings'!P52</f>
        <v>35545.375</v>
      </c>
      <c r="I36" s="775">
        <f>+'7.3 PA PY budget_savings'!Q52</f>
        <v>0.04</v>
      </c>
      <c r="J36" s="775">
        <f>+'7.3 PA PY budget_savings'!R52</f>
        <v>573343.41</v>
      </c>
      <c r="K36" s="775">
        <f>+'7.3 PA PY budget_savings'!S52</f>
        <v>4.024559343</v>
      </c>
      <c r="L36" s="775">
        <f>+'7.3 PA PY budget_savings'!T52</f>
        <v>3354.5362500000001</v>
      </c>
      <c r="M36" s="775">
        <f>SUMIF('4.1 Program Budget - 2024-2027'!$G:$G,$C36,'4.1 Program Budget - 2024-2027'!BL:BL)</f>
        <v>427653.39</v>
      </c>
      <c r="N36" s="775">
        <f>SUMIF('4.1 Program Budget - 2024-2027'!$G:$G,$C36,'4.1 Program Budget - 2024-2027'!BM:BM)</f>
        <v>6572346.04</v>
      </c>
      <c r="O36" s="775">
        <f>SUMIF('4.1 Program Budget - 2024-2027'!$G:$G,$C36,'4.1 Program Budget - 2024-2027'!BN:BN)</f>
        <v>55.842047039999997</v>
      </c>
      <c r="P36" s="775">
        <f>SUMIF('4.1 Program Budget - 2024-2027'!$G:$G,$C36,'4.1 Program Budget - 2024-2027'!BO:BO)</f>
        <v>38448.375</v>
      </c>
      <c r="Q36" s="776">
        <f>SUMIF('4.1 Program Budget - 2024-2027'!$G:$G,$C36,'4.1 Program Budget - 2024-2027'!BP:BP)</f>
        <v>0</v>
      </c>
    </row>
    <row r="37" spans="2:17">
      <c r="B37" s="1411"/>
      <c r="C37" s="777" t="s">
        <v>29</v>
      </c>
      <c r="D37" s="775">
        <f>+'7.3 PA PY budget_savings'!O53</f>
        <v>1661486.8566789813</v>
      </c>
      <c r="E37" s="163" t="s">
        <v>933</v>
      </c>
      <c r="F37" s="160" t="s">
        <v>933</v>
      </c>
      <c r="G37" s="160" t="s">
        <v>933</v>
      </c>
      <c r="H37" s="775">
        <f>+'7.3 PA PY budget_savings'!P53</f>
        <v>0</v>
      </c>
      <c r="I37" s="775">
        <f>+'7.3 PA PY budget_savings'!Q53</f>
        <v>0</v>
      </c>
      <c r="J37" s="775">
        <f>+'7.3 PA PY budget_savings'!R53</f>
        <v>0</v>
      </c>
      <c r="K37" s="775">
        <f>+'7.3 PA PY budget_savings'!S53</f>
        <v>0</v>
      </c>
      <c r="L37" s="775">
        <f>+'7.3 PA PY budget_savings'!T53</f>
        <v>0</v>
      </c>
      <c r="M37" s="775">
        <f>SUMIF('4.1 Program Budget - 2024-2027'!$G:$G,$C37,'4.1 Program Budget - 2024-2027'!BL:BL)</f>
        <v>0</v>
      </c>
      <c r="N37" s="775">
        <f>SUMIF('4.1 Program Budget - 2024-2027'!$G:$G,$C37,'4.1 Program Budget - 2024-2027'!BM:BM)</f>
        <v>0</v>
      </c>
      <c r="O37" s="775">
        <f>SUMIF('4.1 Program Budget - 2024-2027'!$G:$G,$C37,'4.1 Program Budget - 2024-2027'!BN:BN)</f>
        <v>0</v>
      </c>
      <c r="P37" s="775">
        <f>SUMIF('4.1 Program Budget - 2024-2027'!$G:$G,$C37,'4.1 Program Budget - 2024-2027'!BO:BO)</f>
        <v>0</v>
      </c>
      <c r="Q37" s="776">
        <f>SUMIF('4.1 Program Budget - 2024-2027'!$G:$G,$C37,'4.1 Program Budget - 2024-2027'!BP:BP)</f>
        <v>0</v>
      </c>
    </row>
    <row r="38" spans="2:17">
      <c r="B38" s="1411"/>
      <c r="C38" s="777" t="s">
        <v>30</v>
      </c>
      <c r="D38" s="775">
        <f>+'7.3 PA PY budget_savings'!O54</f>
        <v>12514013.998096727</v>
      </c>
      <c r="E38" s="163">
        <v>14336389</v>
      </c>
      <c r="F38" s="159">
        <v>1.05</v>
      </c>
      <c r="G38" s="159">
        <v>1.4</v>
      </c>
      <c r="H38" s="775">
        <f>+'7.3 PA PY budget_savings'!P54</f>
        <v>8208.4506000000001</v>
      </c>
      <c r="I38" s="775">
        <f>+'7.3 PA PY budget_savings'!Q54</f>
        <v>7.0000000000000007E-2</v>
      </c>
      <c r="J38" s="775">
        <f>+'7.3 PA PY budget_savings'!R54</f>
        <v>2385857.46</v>
      </c>
      <c r="K38" s="775">
        <f>+'7.3 PA PY budget_savings'!S54</f>
        <v>1.128575804</v>
      </c>
      <c r="L38" s="775">
        <f>+'7.3 PA PY budget_savings'!T54</f>
        <v>13957.61578</v>
      </c>
      <c r="M38" s="775">
        <f>SUMIF('4.1 Program Budget - 2024-2027'!$G:$G,$C38,'4.1 Program Budget - 2024-2027'!BL:BL)</f>
        <v>63829.768299999996</v>
      </c>
      <c r="N38" s="775">
        <f>SUMIF('4.1 Program Budget - 2024-2027'!$G:$G,$C38,'4.1 Program Budget - 2024-2027'!BM:BM)</f>
        <v>19431733.950000003</v>
      </c>
      <c r="O38" s="775">
        <f>SUMIF('4.1 Program Budget - 2024-2027'!$G:$G,$C38,'4.1 Program Budget - 2024-2027'!BN:BN)</f>
        <v>20.088517906</v>
      </c>
      <c r="P38" s="775">
        <f>SUMIF('4.1 Program Budget - 2024-2027'!$G:$G,$C38,'4.1 Program Budget - 2024-2027'!BO:BO)</f>
        <v>113674.67178999999</v>
      </c>
      <c r="Q38" s="776">
        <f>SUMIF('4.1 Program Budget - 2024-2027'!$G:$G,$C38,'4.1 Program Budget - 2024-2027'!BP:BP)</f>
        <v>0</v>
      </c>
    </row>
    <row r="39" spans="2:17">
      <c r="B39" s="1411"/>
      <c r="C39" s="777" t="s">
        <v>32</v>
      </c>
      <c r="D39" s="775">
        <f>+'7.3 PA PY budget_savings'!O55</f>
        <v>8670652.4601491131</v>
      </c>
      <c r="E39" s="163" t="s">
        <v>933</v>
      </c>
      <c r="F39" s="160" t="s">
        <v>933</v>
      </c>
      <c r="G39" s="160" t="s">
        <v>933</v>
      </c>
      <c r="H39" s="775">
        <f>+'7.3 PA PY budget_savings'!P55</f>
        <v>0</v>
      </c>
      <c r="I39" s="775">
        <f>+'7.3 PA PY budget_savings'!Q55</f>
        <v>0</v>
      </c>
      <c r="J39" s="775">
        <f>+'7.3 PA PY budget_savings'!R55</f>
        <v>1330133.077</v>
      </c>
      <c r="K39" s="775">
        <f>+'7.3 PA PY budget_savings'!S55</f>
        <v>0</v>
      </c>
      <c r="L39" s="775">
        <f>+'7.3 PA PY budget_savings'!T55</f>
        <v>7781.2785000000003</v>
      </c>
      <c r="M39" s="775">
        <f>SUMIF('4.1 Program Budget - 2024-2027'!$G:$G,$C39,'4.1 Program Budget - 2024-2027'!BL:BL)</f>
        <v>0</v>
      </c>
      <c r="N39" s="775">
        <f>SUMIF('4.1 Program Budget - 2024-2027'!$G:$G,$C39,'4.1 Program Budget - 2024-2027'!BM:BM)</f>
        <v>10382360.32</v>
      </c>
      <c r="O39" s="775">
        <f>SUMIF('4.1 Program Budget - 2024-2027'!$G:$G,$C39,'4.1 Program Budget - 2024-2027'!BN:BN)</f>
        <v>0</v>
      </c>
      <c r="P39" s="775">
        <f>SUMIF('4.1 Program Budget - 2024-2027'!$G:$G,$C39,'4.1 Program Budget - 2024-2027'!BO:BO)</f>
        <v>60736.807849999997</v>
      </c>
      <c r="Q39" s="776">
        <f>SUMIF('4.1 Program Budget - 2024-2027'!$G:$G,$C39,'4.1 Program Budget - 2024-2027'!BP:BP)</f>
        <v>0</v>
      </c>
    </row>
    <row r="40" spans="2:17">
      <c r="B40" s="1411"/>
      <c r="C40" s="777" t="s">
        <v>34</v>
      </c>
      <c r="D40" s="775">
        <f>+'7.3 PA PY budget_savings'!O56</f>
        <v>540827.89167846448</v>
      </c>
      <c r="E40" s="163" t="s">
        <v>933</v>
      </c>
      <c r="F40" s="160" t="s">
        <v>933</v>
      </c>
      <c r="G40" s="160" t="s">
        <v>933</v>
      </c>
      <c r="H40" s="775">
        <f>+'7.3 PA PY budget_savings'!P56</f>
        <v>0</v>
      </c>
      <c r="I40" s="775">
        <f>+'7.3 PA PY budget_savings'!Q56</f>
        <v>0</v>
      </c>
      <c r="J40" s="775">
        <f>+'7.3 PA PY budget_savings'!R56</f>
        <v>0</v>
      </c>
      <c r="K40" s="775">
        <f>+'7.3 PA PY budget_savings'!S56</f>
        <v>0</v>
      </c>
      <c r="L40" s="775">
        <f>+'7.3 PA PY budget_savings'!T56</f>
        <v>0</v>
      </c>
      <c r="M40" s="775">
        <f>SUMIF('4.1 Program Budget - 2024-2027'!$G:$G,$C40,'4.1 Program Budget - 2024-2027'!BL:BL)</f>
        <v>0</v>
      </c>
      <c r="N40" s="775">
        <f>SUMIF('4.1 Program Budget - 2024-2027'!$G:$G,$C40,'4.1 Program Budget - 2024-2027'!BM:BM)</f>
        <v>0</v>
      </c>
      <c r="O40" s="775">
        <f>SUMIF('4.1 Program Budget - 2024-2027'!$G:$G,$C40,'4.1 Program Budget - 2024-2027'!BN:BN)</f>
        <v>0</v>
      </c>
      <c r="P40" s="775">
        <f>SUMIF('4.1 Program Budget - 2024-2027'!$G:$G,$C40,'4.1 Program Budget - 2024-2027'!BO:BO)</f>
        <v>0</v>
      </c>
      <c r="Q40" s="776">
        <f>SUMIF('4.1 Program Budget - 2024-2027'!$G:$G,$C40,'4.1 Program Budget - 2024-2027'!BP:BP)</f>
        <v>0</v>
      </c>
    </row>
    <row r="41" spans="2:17">
      <c r="B41" s="1411"/>
      <c r="C41" s="777" t="s">
        <v>36</v>
      </c>
      <c r="D41" s="775">
        <f>+'7.3 PA PY budget_savings'!O57</f>
        <v>0</v>
      </c>
      <c r="E41" s="163" t="s">
        <v>933</v>
      </c>
      <c r="F41" s="160" t="s">
        <v>933</v>
      </c>
      <c r="G41" s="160" t="s">
        <v>933</v>
      </c>
      <c r="H41" s="775">
        <f>+'7.3 PA PY budget_savings'!P57</f>
        <v>0</v>
      </c>
      <c r="I41" s="775">
        <f>+'7.3 PA PY budget_savings'!Q57</f>
        <v>0</v>
      </c>
      <c r="J41" s="775">
        <f>+'7.3 PA PY budget_savings'!R57</f>
        <v>0</v>
      </c>
      <c r="K41" s="775">
        <f>+'7.3 PA PY budget_savings'!S57</f>
        <v>0</v>
      </c>
      <c r="L41" s="775">
        <f>+'7.3 PA PY budget_savings'!T57</f>
        <v>0</v>
      </c>
      <c r="M41" s="775">
        <f>SUMIF('4.1 Program Budget - 2024-2027'!$G:$G,$C41,'4.1 Program Budget - 2024-2027'!BL:BL)</f>
        <v>0</v>
      </c>
      <c r="N41" s="775">
        <f>SUMIF('4.1 Program Budget - 2024-2027'!$G:$G,$C41,'4.1 Program Budget - 2024-2027'!BM:BM)</f>
        <v>0</v>
      </c>
      <c r="O41" s="775">
        <f>SUMIF('4.1 Program Budget - 2024-2027'!$G:$G,$C41,'4.1 Program Budget - 2024-2027'!BN:BN)</f>
        <v>0</v>
      </c>
      <c r="P41" s="775">
        <f>SUMIF('4.1 Program Budget - 2024-2027'!$G:$G,$C41,'4.1 Program Budget - 2024-2027'!BO:BO)</f>
        <v>0</v>
      </c>
      <c r="Q41" s="776">
        <f>SUMIF('4.1 Program Budget - 2024-2027'!$G:$G,$C41,'4.1 Program Budget - 2024-2027'!BP:BP)</f>
        <v>0</v>
      </c>
    </row>
    <row r="42" spans="2:17">
      <c r="B42" s="1411"/>
      <c r="C42" s="778" t="s">
        <v>932</v>
      </c>
      <c r="D42" s="775">
        <f>+'7.3 PA PY budget_savings'!O68</f>
        <v>1461901.3288</v>
      </c>
      <c r="E42" s="163">
        <v>142011991</v>
      </c>
      <c r="F42" s="159">
        <v>1.56</v>
      </c>
      <c r="G42" s="159">
        <v>97.14</v>
      </c>
      <c r="H42" s="775">
        <f>+'7.3 PA PY budget_savings'!P68</f>
        <v>0</v>
      </c>
      <c r="I42" s="775">
        <f>+'7.3 PA PY budget_savings'!Q68</f>
        <v>0</v>
      </c>
      <c r="J42" s="775">
        <f>+'7.3 PA PY budget_savings'!R68</f>
        <v>17307157.719999999</v>
      </c>
      <c r="K42" s="775">
        <f>+'7.3 PA PY budget_savings'!S68</f>
        <v>0</v>
      </c>
      <c r="L42" s="775">
        <f>+'7.3 PA PY budget_savings'!T68</f>
        <v>101246.87270000001</v>
      </c>
      <c r="M42" s="775">
        <f>SUMIF('4.1 Program Budget - 2024-2027'!$G:$G,"Codes &amp; Standards",'4.1 Program Budget - 2024-2027'!BL:BL)</f>
        <v>0</v>
      </c>
      <c r="N42" s="775">
        <f>SUMIF('4.1 Program Budget - 2024-2027'!$G:$G,"Codes &amp; Standards",'4.1 Program Budget - 2024-2027'!BM:BM)</f>
        <v>277886395</v>
      </c>
      <c r="O42" s="775">
        <f>SUMIF('4.1 Program Budget - 2024-2027'!$G:$G,"Codes &amp; Standards",'4.1 Program Budget - 2024-2027'!BN:BN)</f>
        <v>0</v>
      </c>
      <c r="P42" s="775">
        <f>SUMIF('4.1 Program Budget - 2024-2027'!$G:$G,"Codes &amp; Standards",'4.1 Program Budget - 2024-2027'!BO:BO)</f>
        <v>1625635</v>
      </c>
      <c r="Q42" s="776">
        <f>SUMIF('4.1 Program Budget - 2024-2027'!$G:$G,$C42,'4.1 Program Budget - 2024-2027'!BP:BP)</f>
        <v>0</v>
      </c>
    </row>
    <row r="43" spans="2:17" ht="14.65" thickBot="1">
      <c r="B43" s="1411"/>
      <c r="C43" s="779" t="s">
        <v>679</v>
      </c>
      <c r="D43" s="775">
        <f>+'7.3 PA PY budget_savings'!O61</f>
        <v>6123644.7947404468</v>
      </c>
      <c r="E43" s="164"/>
      <c r="F43" s="156"/>
      <c r="G43" s="156"/>
      <c r="H43" s="780">
        <f>+'7.3 PA PY budget_savings'!D85</f>
        <v>0</v>
      </c>
      <c r="I43" s="780">
        <f>+'7.3 PA PY budget_savings'!E85</f>
        <v>0</v>
      </c>
      <c r="J43" s="780">
        <f>+'7.3 PA PY budget_savings'!F85</f>
        <v>0</v>
      </c>
      <c r="K43" s="780">
        <f>+'7.3 PA PY budget_savings'!G85</f>
        <v>0</v>
      </c>
      <c r="L43" s="780">
        <f>+'7.3 PA PY budget_savings'!H85</f>
        <v>0</v>
      </c>
      <c r="M43" s="780">
        <f>SUMIF('4.1 Program Budget - 2024-2027'!$G:$G,$C43,'4.1 Program Budget - 2024-2027'!AB:AB)</f>
        <v>0</v>
      </c>
      <c r="N43" s="780">
        <f>SUMIF('4.1 Program Budget - 2024-2027'!$G:$G,$C43,'4.1 Program Budget - 2024-2027'!AC:AC)</f>
        <v>0</v>
      </c>
      <c r="O43" s="780">
        <f>SUMIF('4.1 Program Budget - 2024-2027'!$G:$G,$C43,'4.1 Program Budget - 2024-2027'!AD:AD)</f>
        <v>0</v>
      </c>
      <c r="P43" s="780">
        <f>SUMIF('4.1 Program Budget - 2024-2027'!$G:$G,$C43,'4.1 Program Budget - 2024-2027'!AE:AE)</f>
        <v>0</v>
      </c>
      <c r="Q43" s="781">
        <f>SUMIF('4.1 Program Budget - 2024-2027'!$G:$G,$C43,'4.1 Program Budget - 2024-2027'!AF:AF)</f>
        <v>0</v>
      </c>
    </row>
    <row r="44" spans="2:17" ht="14.65" thickBot="1">
      <c r="B44" s="1407"/>
      <c r="C44" s="80" t="s">
        <v>925</v>
      </c>
      <c r="D44" s="83">
        <f>SUBTOTAL(9,D33:D43)</f>
        <v>153091119.86851111</v>
      </c>
      <c r="E44" s="77">
        <f t="shared" ref="E44" si="9">SUBTOTAL(9,E33:E43)</f>
        <v>301299453</v>
      </c>
      <c r="F44" s="152">
        <v>1.1299999999999999</v>
      </c>
      <c r="G44" s="152">
        <v>2.11</v>
      </c>
      <c r="H44" s="83">
        <f t="shared" ref="H44" si="10">SUBTOTAL(9,H33:H43)</f>
        <v>13144291.759090001</v>
      </c>
      <c r="I44" s="83">
        <f t="shared" ref="I44" si="11">SUBTOTAL(9,I33:I43)</f>
        <v>2927.3280897340005</v>
      </c>
      <c r="J44" s="83">
        <f t="shared" ref="J44:K44" si="12">SUBTOTAL(9,J33:J43)</f>
        <v>48015089.416429996</v>
      </c>
      <c r="K44" s="83">
        <f t="shared" si="12"/>
        <v>3389.345203499</v>
      </c>
      <c r="L44" s="83">
        <f t="shared" ref="L44:P44" si="13">SUBTOTAL(9,L33:L43)</f>
        <v>282521.72133990005</v>
      </c>
      <c r="M44" s="83">
        <f t="shared" si="13"/>
        <v>90544979.151199982</v>
      </c>
      <c r="N44" s="83">
        <f t="shared" si="13"/>
        <v>471245846.23720002</v>
      </c>
      <c r="O44" s="83">
        <f t="shared" si="13"/>
        <v>26032.297748296001</v>
      </c>
      <c r="P44" s="83">
        <f t="shared" si="13"/>
        <v>2779658.5262909997</v>
      </c>
      <c r="Q44" s="90">
        <f t="shared" ref="Q44" si="14">SUBTOTAL(9,Q33:Q43)</f>
        <v>0</v>
      </c>
    </row>
    <row r="45" spans="2:17">
      <c r="B45" s="1410">
        <v>2027</v>
      </c>
      <c r="C45" s="774" t="s">
        <v>17</v>
      </c>
      <c r="D45" s="775">
        <f>+'7.3 PA PY budget_savings'!U49</f>
        <v>62376246.516654924</v>
      </c>
      <c r="E45" s="163">
        <v>56074352</v>
      </c>
      <c r="F45" s="159">
        <v>0.66</v>
      </c>
      <c r="G45" s="159">
        <v>0.85</v>
      </c>
      <c r="H45" s="775">
        <f>+'7.3 PA PY budget_savings'!V49</f>
        <v>1884565.0970900003</v>
      </c>
      <c r="I45" s="775">
        <f>+'7.3 PA PY budget_savings'!W49</f>
        <v>615.21555434200002</v>
      </c>
      <c r="J45" s="775">
        <f>+'7.3 PA PY budget_savings'!X49</f>
        <v>14619251.055189999</v>
      </c>
      <c r="K45" s="775">
        <f>+'7.3 PA PY budget_savings'!Y49</f>
        <v>690.14278789899993</v>
      </c>
      <c r="L45" s="775">
        <f>+'7.3 PA PY budget_savings'!Z49</f>
        <v>86977.462773000007</v>
      </c>
      <c r="M45" s="775">
        <f>SUMIF('4.1 Program Budget - 2024-2027'!$G:$G,$C45,'4.1 Program Budget - 2024-2027'!CD:CD)</f>
        <v>21013466.692400001</v>
      </c>
      <c r="N45" s="775">
        <f>SUMIF('4.1 Program Budget - 2024-2027'!$G:$G,$C45,'4.1 Program Budget - 2024-2027'!CE:CE)</f>
        <v>48719715.868700005</v>
      </c>
      <c r="O45" s="775">
        <f>SUMIF('4.1 Program Budget - 2024-2027'!$G:$G,$C45,'4.1 Program Budget - 2024-2027'!CF:CF)</f>
        <v>11050.523503639999</v>
      </c>
      <c r="P45" s="775">
        <f>SUMIF('4.1 Program Budget - 2024-2027'!$G:$G,$C45,'4.1 Program Budget - 2024-2027'!CG:CG)</f>
        <v>306117.50428300002</v>
      </c>
      <c r="Q45" s="776">
        <f>SUMIF('4.1 Program Budget - 2024-2027'!$G:$G,$C45,'4.1 Program Budget - 2024-2027'!CH:CH)</f>
        <v>0</v>
      </c>
    </row>
    <row r="46" spans="2:17">
      <c r="B46" s="1411"/>
      <c r="C46" s="777" t="s">
        <v>22</v>
      </c>
      <c r="D46" s="775">
        <f>+'7.3 PA PY budget_savings'!U50</f>
        <v>36407749.010287039</v>
      </c>
      <c r="E46" s="163">
        <v>52723481</v>
      </c>
      <c r="F46" s="159">
        <v>1.29</v>
      </c>
      <c r="G46" s="161">
        <v>1.55</v>
      </c>
      <c r="H46" s="775">
        <f>+'7.3 PA PY budget_savings'!V50</f>
        <v>11211800.4651</v>
      </c>
      <c r="I46" s="775">
        <f>+'7.3 PA PY budget_savings'!W50</f>
        <v>2312.2152000000001</v>
      </c>
      <c r="J46" s="775">
        <f>+'7.3 PA PY budget_savings'!X50</f>
        <v>7128833.7061400004</v>
      </c>
      <c r="K46" s="775">
        <f>+'7.3 PA PY budget_savings'!Y50</f>
        <v>2545.4389813099997</v>
      </c>
      <c r="L46" s="775">
        <f>+'7.3 PA PY budget_savings'!Z50</f>
        <v>41852.135281900002</v>
      </c>
      <c r="M46" s="775">
        <f>SUMIF('4.1 Program Budget - 2024-2027'!$G:$G,$C46,'4.1 Program Budget - 2024-2027'!CD:CD)</f>
        <v>68960526.486499995</v>
      </c>
      <c r="N46" s="775">
        <f>SUMIF('4.1 Program Budget - 2024-2027'!$G:$G,$C46,'4.1 Program Budget - 2024-2027'!CE:CE)</f>
        <v>62986232.178499997</v>
      </c>
      <c r="O46" s="775">
        <f>SUMIF('4.1 Program Budget - 2024-2027'!$G:$G,$C46,'4.1 Program Budget - 2024-2027'!CF:CF)</f>
        <v>14682.534453170001</v>
      </c>
      <c r="P46" s="775">
        <f>SUMIF('4.1 Program Budget - 2024-2027'!$G:$G,$C46,'4.1 Program Budget - 2024-2027'!CG:CG)</f>
        <v>369949.30515800003</v>
      </c>
      <c r="Q46" s="776">
        <f>SUMIF('4.1 Program Budget - 2024-2027'!$G:$G,$C46,'4.1 Program Budget - 2024-2027'!CH:CH)</f>
        <v>0</v>
      </c>
    </row>
    <row r="47" spans="2:17">
      <c r="B47" s="1411"/>
      <c r="C47" s="777" t="s">
        <v>25</v>
      </c>
      <c r="D47" s="775">
        <f>+'7.3 PA PY budget_savings'!U51</f>
        <v>18954389.649610624</v>
      </c>
      <c r="E47" s="163">
        <v>40425356</v>
      </c>
      <c r="F47" s="159">
        <v>1.23</v>
      </c>
      <c r="G47" s="159">
        <v>1.48</v>
      </c>
      <c r="H47" s="775">
        <f>+'7.3 PA PY budget_savings'!V51</f>
        <v>1978</v>
      </c>
      <c r="I47" s="775">
        <f>+'7.3 PA PY budget_savings'!W51</f>
        <v>0</v>
      </c>
      <c r="J47" s="775">
        <f>+'7.3 PA PY budget_savings'!X51</f>
        <v>4824906</v>
      </c>
      <c r="K47" s="775">
        <f>+'7.3 PA PY budget_savings'!Y51</f>
        <v>0</v>
      </c>
      <c r="L47" s="775">
        <f>+'7.3 PA PY budget_savings'!Z51</f>
        <v>28226.65</v>
      </c>
      <c r="M47" s="775">
        <f>SUMIF('4.1 Program Budget - 2024-2027'!$G:$G,$C47,'4.1 Program Budget - 2024-2027'!CD:CD)</f>
        <v>25559</v>
      </c>
      <c r="N47" s="775">
        <f>SUMIF('4.1 Program Budget - 2024-2027'!$G:$G,$C47,'4.1 Program Budget - 2024-2027'!CE:CE)</f>
        <v>46805924</v>
      </c>
      <c r="O47" s="775">
        <f>SUMIF('4.1 Program Budget - 2024-2027'!$G:$G,$C47,'4.1 Program Budget - 2024-2027'!CF:CF)</f>
        <v>13</v>
      </c>
      <c r="P47" s="775">
        <f>SUMIF('4.1 Program Budget - 2024-2027'!$G:$G,$C47,'4.1 Program Budget - 2024-2027'!CG:CG)</f>
        <v>273814.75</v>
      </c>
      <c r="Q47" s="776">
        <f>SUMIF('4.1 Program Budget - 2024-2027'!$G:$G,$C47,'4.1 Program Budget - 2024-2027'!CH:CH)</f>
        <v>0</v>
      </c>
    </row>
    <row r="48" spans="2:17">
      <c r="B48" s="1411"/>
      <c r="C48" s="777" t="s">
        <v>27</v>
      </c>
      <c r="D48" s="775">
        <f>+'7.3 PA PY budget_savings'!U52</f>
        <v>5619129.7379603097</v>
      </c>
      <c r="E48" s="163">
        <v>5839715</v>
      </c>
      <c r="F48" s="159">
        <v>1.06</v>
      </c>
      <c r="G48" s="159">
        <v>1.29</v>
      </c>
      <c r="H48" s="775">
        <f>+'7.3 PA PY budget_savings'!V52</f>
        <v>35597.375</v>
      </c>
      <c r="I48" s="775">
        <f>+'7.3 PA PY budget_savings'!W52</f>
        <v>0</v>
      </c>
      <c r="J48" s="775">
        <f>+'7.3 PA PY budget_savings'!X52</f>
        <v>601498</v>
      </c>
      <c r="K48" s="775">
        <f>+'7.3 PA PY budget_savings'!Y52</f>
        <v>4.6388612069999997</v>
      </c>
      <c r="L48" s="775">
        <f>+'7.3 PA PY budget_savings'!Z52</f>
        <v>3518.8262500000001</v>
      </c>
      <c r="M48" s="775">
        <f>SUMIF('4.1 Program Budget - 2024-2027'!$G:$G,$C48,'4.1 Program Budget - 2024-2027'!CD:CD)</f>
        <v>428378.5</v>
      </c>
      <c r="N48" s="775">
        <f>SUMIF('4.1 Program Budget - 2024-2027'!$G:$G,$C48,'4.1 Program Budget - 2024-2027'!CE:CE)</f>
        <v>6854961</v>
      </c>
      <c r="O48" s="775">
        <f>SUMIF('4.1 Program Budget - 2024-2027'!$G:$G,$C48,'4.1 Program Budget - 2024-2027'!CF:CF)</f>
        <v>57.473941019999998</v>
      </c>
      <c r="P48" s="775">
        <f>SUMIF('4.1 Program Budget - 2024-2027'!$G:$G,$C48,'4.1 Program Budget - 2024-2027'!CG:CG)</f>
        <v>40101.915000000001</v>
      </c>
      <c r="Q48" s="776">
        <f>SUMIF('4.1 Program Budget - 2024-2027'!$G:$G,$C48,'4.1 Program Budget - 2024-2027'!CH:CH)</f>
        <v>0</v>
      </c>
    </row>
    <row r="49" spans="2:17">
      <c r="B49" s="1411"/>
      <c r="C49" s="777" t="s">
        <v>29</v>
      </c>
      <c r="D49" s="775">
        <f>+'7.3 PA PY budget_savings'!U53</f>
        <v>1671307.6332180835</v>
      </c>
      <c r="E49" s="163" t="s">
        <v>933</v>
      </c>
      <c r="F49" s="160" t="s">
        <v>933</v>
      </c>
      <c r="G49" s="160" t="s">
        <v>933</v>
      </c>
      <c r="H49" s="775">
        <f>+'7.3 PA PY budget_savings'!V53</f>
        <v>0</v>
      </c>
      <c r="I49" s="775">
        <f>+'7.3 PA PY budget_savings'!W53</f>
        <v>0</v>
      </c>
      <c r="J49" s="775">
        <f>+'7.3 PA PY budget_savings'!X53</f>
        <v>0</v>
      </c>
      <c r="K49" s="775">
        <f>+'7.3 PA PY budget_savings'!Y53</f>
        <v>0</v>
      </c>
      <c r="L49" s="775">
        <f>+'7.3 PA PY budget_savings'!Z53</f>
        <v>0</v>
      </c>
      <c r="M49" s="775">
        <f>SUMIF('4.1 Program Budget - 2024-2027'!$G:$G,$C49,'4.1 Program Budget - 2024-2027'!CD:CD)</f>
        <v>0</v>
      </c>
      <c r="N49" s="775">
        <f>SUMIF('4.1 Program Budget - 2024-2027'!$G:$G,$C49,'4.1 Program Budget - 2024-2027'!CE:CE)</f>
        <v>0</v>
      </c>
      <c r="O49" s="775">
        <f>SUMIF('4.1 Program Budget - 2024-2027'!$G:$G,$C49,'4.1 Program Budget - 2024-2027'!CF:CF)</f>
        <v>0</v>
      </c>
      <c r="P49" s="775">
        <f>SUMIF('4.1 Program Budget - 2024-2027'!$G:$G,$C49,'4.1 Program Budget - 2024-2027'!CG:CG)</f>
        <v>0</v>
      </c>
      <c r="Q49" s="776">
        <f>SUMIF('4.1 Program Budget - 2024-2027'!$G:$G,$C49,'4.1 Program Budget - 2024-2027'!CH:CH)</f>
        <v>0</v>
      </c>
    </row>
    <row r="50" spans="2:17">
      <c r="B50" s="1411"/>
      <c r="C50" s="777" t="s">
        <v>30</v>
      </c>
      <c r="D50" s="775">
        <f>+'7.3 PA PY budget_savings'!U54</f>
        <v>12659265.696089795</v>
      </c>
      <c r="E50" s="163">
        <v>15475902</v>
      </c>
      <c r="F50" s="161">
        <v>1.1200000000000001</v>
      </c>
      <c r="G50" s="159">
        <v>1.49</v>
      </c>
      <c r="H50" s="775">
        <f>+'7.3 PA PY budget_savings'!V54</f>
        <v>8310.4506000000001</v>
      </c>
      <c r="I50" s="775">
        <f>+'7.3 PA PY budget_savings'!W54</f>
        <v>0</v>
      </c>
      <c r="J50" s="775">
        <f>+'7.3 PA PY budget_savings'!X54</f>
        <v>2441685.7999999998</v>
      </c>
      <c r="K50" s="775">
        <f>+'7.3 PA PY budget_savings'!Y54</f>
        <v>0.76778289200000005</v>
      </c>
      <c r="L50" s="775">
        <f>+'7.3 PA PY budget_savings'!Z54</f>
        <v>14284.735779999999</v>
      </c>
      <c r="M50" s="775">
        <f>SUMIF('4.1 Program Budget - 2024-2027'!$G:$G,$C50,'4.1 Program Budget - 2024-2027'!CD:CD)</f>
        <v>65280.978300000002</v>
      </c>
      <c r="N50" s="775">
        <f>SUMIF('4.1 Program Budget - 2024-2027'!$G:$G,$C50,'4.1 Program Budget - 2024-2027'!CE:CE)</f>
        <v>19859461.399999999</v>
      </c>
      <c r="O50" s="775">
        <f>SUMIF('4.1 Program Budget - 2024-2027'!$G:$G,$C50,'4.1 Program Budget - 2024-2027'!CF:CF)</f>
        <v>21.399664474000001</v>
      </c>
      <c r="P50" s="775">
        <f>SUMIF('4.1 Program Budget - 2024-2027'!$G:$G,$C50,'4.1 Program Budget - 2024-2027'!CG:CG)</f>
        <v>116177.67178999999</v>
      </c>
      <c r="Q50" s="776">
        <f>SUMIF('4.1 Program Budget - 2024-2027'!$G:$G,$C50,'4.1 Program Budget - 2024-2027'!CH:CH)</f>
        <v>0</v>
      </c>
    </row>
    <row r="51" spans="2:17">
      <c r="B51" s="1411"/>
      <c r="C51" s="777" t="s">
        <v>32</v>
      </c>
      <c r="D51" s="775">
        <f>+'7.3 PA PY budget_savings'!U55</f>
        <v>8741190.6084083207</v>
      </c>
      <c r="E51" s="163" t="s">
        <v>933</v>
      </c>
      <c r="F51" s="160" t="s">
        <v>933</v>
      </c>
      <c r="G51" s="160" t="s">
        <v>933</v>
      </c>
      <c r="H51" s="775">
        <f>+'7.3 PA PY budget_savings'!V55</f>
        <v>0</v>
      </c>
      <c r="I51" s="775">
        <f>+'7.3 PA PY budget_savings'!W55</f>
        <v>0</v>
      </c>
      <c r="J51" s="775">
        <f>+'7.3 PA PY budget_savings'!X55</f>
        <v>1330133.077</v>
      </c>
      <c r="K51" s="775">
        <f>+'7.3 PA PY budget_savings'!Y55</f>
        <v>0</v>
      </c>
      <c r="L51" s="775">
        <f>+'7.3 PA PY budget_savings'!Z55</f>
        <v>7781.2785000000003</v>
      </c>
      <c r="M51" s="775">
        <f>SUMIF('4.1 Program Budget - 2024-2027'!$G:$G,$C51,'4.1 Program Budget - 2024-2027'!CD:CD)</f>
        <v>0</v>
      </c>
      <c r="N51" s="775">
        <f>SUMIF('4.1 Program Budget - 2024-2027'!$G:$G,$C51,'4.1 Program Budget - 2024-2027'!CE:CE)</f>
        <v>10382360.32</v>
      </c>
      <c r="O51" s="775">
        <f>SUMIF('4.1 Program Budget - 2024-2027'!$G:$G,$C51,'4.1 Program Budget - 2024-2027'!CF:CF)</f>
        <v>0</v>
      </c>
      <c r="P51" s="775">
        <f>SUMIF('4.1 Program Budget - 2024-2027'!$G:$G,$C51,'4.1 Program Budget - 2024-2027'!CG:CG)</f>
        <v>60736.807849999997</v>
      </c>
      <c r="Q51" s="776">
        <f>SUMIF('4.1 Program Budget - 2024-2027'!$G:$G,$C51,'4.1 Program Budget - 2024-2027'!CH:CH)</f>
        <v>0</v>
      </c>
    </row>
    <row r="52" spans="2:17">
      <c r="B52" s="1411"/>
      <c r="C52" s="777" t="s">
        <v>34</v>
      </c>
      <c r="D52" s="775">
        <f>+'7.3 PA PY budget_savings'!U56</f>
        <v>551308.91411495325</v>
      </c>
      <c r="E52" s="163" t="s">
        <v>933</v>
      </c>
      <c r="F52" s="160" t="s">
        <v>933</v>
      </c>
      <c r="G52" s="160" t="s">
        <v>933</v>
      </c>
      <c r="H52" s="775">
        <f>+'7.3 PA PY budget_savings'!V56</f>
        <v>0</v>
      </c>
      <c r="I52" s="775">
        <f>+'7.3 PA PY budget_savings'!W56</f>
        <v>0</v>
      </c>
      <c r="J52" s="775">
        <f>+'7.3 PA PY budget_savings'!X56</f>
        <v>0</v>
      </c>
      <c r="K52" s="775">
        <f>+'7.3 PA PY budget_savings'!Y56</f>
        <v>0</v>
      </c>
      <c r="L52" s="775">
        <f>+'7.3 PA PY budget_savings'!Z56</f>
        <v>0</v>
      </c>
      <c r="M52" s="775">
        <f>SUMIF('4.1 Program Budget - 2024-2027'!$G:$G,$C52,'4.1 Program Budget - 2024-2027'!CD:CD)</f>
        <v>0</v>
      </c>
      <c r="N52" s="775">
        <f>SUMIF('4.1 Program Budget - 2024-2027'!$G:$G,$C52,'4.1 Program Budget - 2024-2027'!CE:CE)</f>
        <v>0</v>
      </c>
      <c r="O52" s="775">
        <f>SUMIF('4.1 Program Budget - 2024-2027'!$G:$G,$C52,'4.1 Program Budget - 2024-2027'!CF:CF)</f>
        <v>0</v>
      </c>
      <c r="P52" s="775">
        <f>SUMIF('4.1 Program Budget - 2024-2027'!$G:$G,$C52,'4.1 Program Budget - 2024-2027'!CG:CG)</f>
        <v>0</v>
      </c>
      <c r="Q52" s="776">
        <f>SUMIF('4.1 Program Budget - 2024-2027'!$G:$G,$C52,'4.1 Program Budget - 2024-2027'!CH:CH)</f>
        <v>0</v>
      </c>
    </row>
    <row r="53" spans="2:17">
      <c r="B53" s="1411"/>
      <c r="C53" s="777" t="s">
        <v>36</v>
      </c>
      <c r="D53" s="775">
        <f>+'7.3 PA PY budget_savings'!U57</f>
        <v>0</v>
      </c>
      <c r="E53" s="163" t="s">
        <v>933</v>
      </c>
      <c r="F53" s="160" t="s">
        <v>933</v>
      </c>
      <c r="G53" s="160" t="s">
        <v>933</v>
      </c>
      <c r="H53" s="775">
        <f>+'7.3 PA PY budget_savings'!V57</f>
        <v>0</v>
      </c>
      <c r="I53" s="775">
        <f>+'7.3 PA PY budget_savings'!W57</f>
        <v>0</v>
      </c>
      <c r="J53" s="775">
        <f>+'7.3 PA PY budget_savings'!X57</f>
        <v>0</v>
      </c>
      <c r="K53" s="775">
        <f>+'7.3 PA PY budget_savings'!Y57</f>
        <v>0</v>
      </c>
      <c r="L53" s="775">
        <f>+'7.3 PA PY budget_savings'!Z57</f>
        <v>0</v>
      </c>
      <c r="M53" s="775">
        <f>SUMIF('4.1 Program Budget - 2024-2027'!$G:$G,$C53,'4.1 Program Budget - 2024-2027'!CD:CD)</f>
        <v>0</v>
      </c>
      <c r="N53" s="775">
        <f>SUMIF('4.1 Program Budget - 2024-2027'!$G:$G,$C53,'4.1 Program Budget - 2024-2027'!CE:CE)</f>
        <v>0</v>
      </c>
      <c r="O53" s="775">
        <f>SUMIF('4.1 Program Budget - 2024-2027'!$G:$G,$C53,'4.1 Program Budget - 2024-2027'!CF:CF)</f>
        <v>0</v>
      </c>
      <c r="P53" s="775">
        <f>SUMIF('4.1 Program Budget - 2024-2027'!$G:$G,$C53,'4.1 Program Budget - 2024-2027'!CG:CG)</f>
        <v>0</v>
      </c>
      <c r="Q53" s="776">
        <f>SUMIF('4.1 Program Budget - 2024-2027'!$G:$G,$C53,'4.1 Program Budget - 2024-2027'!CH:CH)</f>
        <v>0</v>
      </c>
    </row>
    <row r="54" spans="2:17">
      <c r="B54" s="1411"/>
      <c r="C54" s="778" t="s">
        <v>932</v>
      </c>
      <c r="D54" s="775">
        <f>+'7.3 PA PY budget_savings'!U68</f>
        <v>1461901.3288</v>
      </c>
      <c r="E54" s="163">
        <v>135086837</v>
      </c>
      <c r="F54" s="159">
        <v>1.54</v>
      </c>
      <c r="G54" s="159">
        <v>92.4</v>
      </c>
      <c r="H54" s="775">
        <f>+'7.3 PA PY budget_savings'!V68</f>
        <v>0</v>
      </c>
      <c r="I54" s="775">
        <f>+'7.3 PA PY budget_savings'!W68</f>
        <v>0</v>
      </c>
      <c r="J54" s="775">
        <f>+'7.3 PA PY budget_savings'!X68</f>
        <v>14565298.67</v>
      </c>
      <c r="K54" s="775">
        <f>+'7.3 PA PY budget_savings'!Y68</f>
        <v>0</v>
      </c>
      <c r="L54" s="775">
        <f>+'7.3 PA PY budget_savings'!Z68</f>
        <v>85206.997239999997</v>
      </c>
      <c r="M54" s="775">
        <f>SUMIF('4.1 Program Budget - 2024-2027'!$G:$G,"Codes &amp; Standards",'4.1 Program Budget - 2024-2027'!CD:CD)</f>
        <v>0</v>
      </c>
      <c r="N54" s="775">
        <f>SUMIF('4.1 Program Budget - 2024-2027'!$G:$G,"Codes &amp; Standards",'4.1 Program Budget - 2024-2027'!CE:CE)</f>
        <v>245731284</v>
      </c>
      <c r="O54" s="775">
        <f>SUMIF('4.1 Program Budget - 2024-2027'!$G:$G,"Codes &amp; Standards",'4.1 Program Budget - 2024-2027'!CF:CF)</f>
        <v>0</v>
      </c>
      <c r="P54" s="775">
        <f>SUMIF('4.1 Program Budget - 2024-2027'!$G:$G,"Codes &amp; Standards",'4.1 Program Budget - 2024-2027'!CG:CG)</f>
        <v>1437528</v>
      </c>
      <c r="Q54" s="776">
        <f>SUMIF('4.1 Program Budget - 2024-2027'!$G:$G,$C54,'4.1 Program Budget - 2024-2027'!CH:CH)</f>
        <v>0</v>
      </c>
    </row>
    <row r="55" spans="2:17" ht="14.65" thickBot="1">
      <c r="B55" s="1411"/>
      <c r="C55" s="779" t="s">
        <v>679</v>
      </c>
      <c r="D55" s="775">
        <f>+'7.3 PA PY budget_savings'!U61</f>
        <v>6185103.7122976705</v>
      </c>
      <c r="E55" s="164"/>
      <c r="F55" s="156"/>
      <c r="G55" s="156"/>
      <c r="H55" s="780">
        <f>+'7.3 PA PY budget_savings'!D97</f>
        <v>0</v>
      </c>
      <c r="I55" s="780">
        <f>+'7.3 PA PY budget_savings'!E97</f>
        <v>0</v>
      </c>
      <c r="J55" s="780">
        <f>+'7.3 PA PY budget_savings'!F97</f>
        <v>0</v>
      </c>
      <c r="K55" s="780">
        <f>+'7.3 PA PY budget_savings'!G97</f>
        <v>0</v>
      </c>
      <c r="L55" s="780">
        <f>+'7.3 PA PY budget_savings'!H97</f>
        <v>0</v>
      </c>
      <c r="M55" s="780">
        <f>SUMIF('4.1 Program Budget - 2024-2027'!$G:$G,$C55,'4.1 Program Budget - 2024-2027'!AB:AB)</f>
        <v>0</v>
      </c>
      <c r="N55" s="780">
        <f>SUMIF('4.1 Program Budget - 2024-2027'!$G:$G,$C55,'4.1 Program Budget - 2024-2027'!AC:AC)</f>
        <v>0</v>
      </c>
      <c r="O55" s="780">
        <f>SUMIF('4.1 Program Budget - 2024-2027'!$G:$G,$C55,'4.1 Program Budget - 2024-2027'!AD:AD)</f>
        <v>0</v>
      </c>
      <c r="P55" s="780">
        <f>SUMIF('4.1 Program Budget - 2024-2027'!$G:$G,$C55,'4.1 Program Budget - 2024-2027'!AE:AE)</f>
        <v>0</v>
      </c>
      <c r="Q55" s="781">
        <f>SUMIF('4.1 Program Budget - 2024-2027'!$G:$G,$C55,'4.1 Program Budget - 2024-2027'!AF:AF)</f>
        <v>0</v>
      </c>
    </row>
    <row r="56" spans="2:17" ht="14.65" thickBot="1">
      <c r="B56" s="1407"/>
      <c r="C56" s="80" t="s">
        <v>925</v>
      </c>
      <c r="D56" s="83">
        <f>SUBTOTAL(9,D45:D55)</f>
        <v>154627592.80744171</v>
      </c>
      <c r="E56" s="77">
        <f t="shared" ref="E56" si="15">SUBTOTAL(9,E45:E55)</f>
        <v>305625643</v>
      </c>
      <c r="F56" s="152">
        <v>1.1499999999999999</v>
      </c>
      <c r="G56" s="152">
        <v>2.12</v>
      </c>
      <c r="H56" s="83">
        <f t="shared" ref="H56" si="16">SUBTOTAL(9,H45:H55)</f>
        <v>13142251.38779</v>
      </c>
      <c r="I56" s="83">
        <f t="shared" ref="I56" si="17">SUBTOTAL(9,I45:I55)</f>
        <v>2927.430754342</v>
      </c>
      <c r="J56" s="83">
        <f t="shared" ref="J56:K56" si="18">SUBTOTAL(9,J45:J55)</f>
        <v>45511606.308329999</v>
      </c>
      <c r="K56" s="83">
        <f t="shared" si="18"/>
        <v>3240.9884133079995</v>
      </c>
      <c r="L56" s="83">
        <f t="shared" ref="L56:P56" si="19">SUBTOTAL(9,L45:L55)</f>
        <v>267848.08582490002</v>
      </c>
      <c r="M56" s="83">
        <f t="shared" si="19"/>
        <v>90493211.657200009</v>
      </c>
      <c r="N56" s="83">
        <f t="shared" si="19"/>
        <v>441339938.76719999</v>
      </c>
      <c r="O56" s="83">
        <f t="shared" si="19"/>
        <v>25824.931562304002</v>
      </c>
      <c r="P56" s="83">
        <f t="shared" si="19"/>
        <v>2604425.9540809998</v>
      </c>
      <c r="Q56" s="90">
        <f t="shared" ref="Q56" si="20">SUBTOTAL(9,Q45:Q55)</f>
        <v>0</v>
      </c>
    </row>
    <row r="57" spans="2:17">
      <c r="B57" s="1410">
        <v>2028</v>
      </c>
      <c r="C57" s="774" t="s">
        <v>17</v>
      </c>
      <c r="D57" s="775">
        <f>+'7.3 PA PY budget_savings'!AA49</f>
        <v>64372286.40518789</v>
      </c>
      <c r="E57" s="163">
        <v>60263712</v>
      </c>
      <c r="F57" s="159">
        <v>0.69</v>
      </c>
      <c r="G57" s="159">
        <v>0.88</v>
      </c>
      <c r="H57" s="775">
        <f>+'7.3 PA PY budget_savings'!AB49</f>
        <v>5866988.5399999991</v>
      </c>
      <c r="I57" s="775">
        <f>+'7.3 PA PY budget_savings'!AC49</f>
        <v>1280.0999999999999</v>
      </c>
      <c r="J57" s="775">
        <f>+'7.3 PA PY budget_savings'!AD49</f>
        <v>16216338.870000001</v>
      </c>
      <c r="K57" s="775">
        <f>+'7.3 PA PY budget_savings'!AE49</f>
        <v>1603.04</v>
      </c>
      <c r="L57" s="775">
        <f>+'7.3 PA PY budget_savings'!AF49</f>
        <v>94865.540000000008</v>
      </c>
      <c r="M57" s="775">
        <f>SUMIF('4.2 Program Budget 2028-2031'!$D:$D,$C57,'4.2 Program Budget 2028-2031'!O:O)</f>
        <v>66404425.150000006</v>
      </c>
      <c r="N57" s="775">
        <f>SUMIF('4.2 Program Budget 2028-2031'!$D:$D,$C57,'4.2 Program Budget 2028-2031'!P:P)</f>
        <v>57223384.650000006</v>
      </c>
      <c r="O57" s="775">
        <f>SUMIF('4.2 Program Budget 2028-2031'!$D:$D,$C57,'4.2 Program Budget 2028-2031'!Q:Q)</f>
        <v>21901.69</v>
      </c>
      <c r="P57" s="775">
        <f>SUMIF('4.2 Program Budget 2028-2031'!$D:$D,$C57,'4.2 Program Budget 2028-2031'!R:R)</f>
        <v>334757.17</v>
      </c>
      <c r="Q57" s="776">
        <f>SUMIF('4.2 Program Budget 2028-2031'!$D:$D,$C57,'4.2 Program Budget 2028-2031'!S:S)</f>
        <v>0</v>
      </c>
    </row>
    <row r="58" spans="2:17">
      <c r="B58" s="1411"/>
      <c r="C58" s="777" t="s">
        <v>22</v>
      </c>
      <c r="D58" s="775">
        <f>+'7.3 PA PY budget_savings'!AA50</f>
        <v>37572796.97861623</v>
      </c>
      <c r="E58" s="163">
        <v>55597001</v>
      </c>
      <c r="F58" s="159">
        <v>1.35</v>
      </c>
      <c r="G58" s="159">
        <v>1.62</v>
      </c>
      <c r="H58" s="775">
        <f>+'7.3 PA PY budget_savings'!AB50</f>
        <v>15319960</v>
      </c>
      <c r="I58" s="775">
        <f>+'7.3 PA PY budget_savings'!AC50</f>
        <v>3528</v>
      </c>
      <c r="J58" s="775">
        <f>+'7.3 PA PY budget_savings'!AD50</f>
        <v>6522425</v>
      </c>
      <c r="K58" s="775">
        <f>+'7.3 PA PY budget_savings'!AE50</f>
        <v>3196</v>
      </c>
      <c r="L58" s="775">
        <f>+'7.3 PA PY budget_savings'!AF50</f>
        <v>38157</v>
      </c>
      <c r="M58" s="775">
        <f>SUMIF('4.2 Program Budget 2028-2031'!$D:$D,$C58,'4.2 Program Budget 2028-2031'!O:O)</f>
        <v>126440485</v>
      </c>
      <c r="N58" s="775">
        <f>SUMIF('4.2 Program Budget 2028-2031'!$D:$D,$C58,'4.2 Program Budget 2028-2031'!P:P)</f>
        <v>52137012</v>
      </c>
      <c r="O58" s="775">
        <f>SUMIF('4.2 Program Budget 2028-2031'!$D:$D,$C58,'4.2 Program Budget 2028-2031'!Q:Q)</f>
        <v>25042</v>
      </c>
      <c r="P58" s="775">
        <f>SUMIF('4.2 Program Budget 2028-2031'!$D:$D,$C58,'4.2 Program Budget 2028-2031'!R:R)</f>
        <v>305002</v>
      </c>
      <c r="Q58" s="776">
        <f>SUMIF('4.2 Program Budget 2028-2031'!$D:$D,$C58,'4.2 Program Budget 2028-2031'!S:S)</f>
        <v>0</v>
      </c>
    </row>
    <row r="59" spans="2:17">
      <c r="B59" s="1411"/>
      <c r="C59" s="777" t="s">
        <v>25</v>
      </c>
      <c r="D59" s="775">
        <f>+'7.3 PA PY budget_savings'!AA51</f>
        <v>19560930.118398167</v>
      </c>
      <c r="E59" s="163">
        <v>43766652</v>
      </c>
      <c r="F59" s="159">
        <v>1.3</v>
      </c>
      <c r="G59" s="159">
        <v>1.56</v>
      </c>
      <c r="H59" s="775">
        <f>+'7.3 PA PY budget_savings'!AB51</f>
        <v>633907</v>
      </c>
      <c r="I59" s="775">
        <f>+'7.3 PA PY budget_savings'!AC51</f>
        <v>98</v>
      </c>
      <c r="J59" s="775">
        <f>+'7.3 PA PY budget_savings'!AD51</f>
        <v>4877317</v>
      </c>
      <c r="K59" s="775">
        <f>+'7.3 PA PY budget_savings'!AE51</f>
        <v>106</v>
      </c>
      <c r="L59" s="775">
        <f>+'7.3 PA PY budget_savings'!AF51</f>
        <v>28532</v>
      </c>
      <c r="M59" s="775">
        <f>SUMIF('4.2 Program Budget 2028-2031'!$D:$D,$C59,'4.2 Program Budget 2028-2031'!O:O)</f>
        <v>9504307</v>
      </c>
      <c r="N59" s="775">
        <f>SUMIF('4.2 Program Budget 2028-2031'!$D:$D,$C59,'4.2 Program Budget 2028-2031'!P:P)</f>
        <v>46749286</v>
      </c>
      <c r="O59" s="775">
        <f>SUMIF('4.2 Program Budget 2028-2031'!$D:$D,$C59,'4.2 Program Budget 2028-2031'!Q:Q)</f>
        <v>1622</v>
      </c>
      <c r="P59" s="775">
        <f>SUMIF('4.2 Program Budget 2028-2031'!$D:$D,$C59,'4.2 Program Budget 2028-2031'!R:R)</f>
        <v>273483</v>
      </c>
      <c r="Q59" s="776">
        <f>SUMIF('4.2 Program Budget 2028-2031'!$D:$D,$C59,'4.2 Program Budget 2028-2031'!S:S)</f>
        <v>0</v>
      </c>
    </row>
    <row r="60" spans="2:17">
      <c r="B60" s="1411"/>
      <c r="C60" s="777" t="s">
        <v>27</v>
      </c>
      <c r="D60" s="775">
        <f>+'7.3 PA PY budget_savings'!AA52</f>
        <v>5798941.88957504</v>
      </c>
      <c r="E60" s="163">
        <v>6323601</v>
      </c>
      <c r="F60" s="159">
        <v>1.1100000000000001</v>
      </c>
      <c r="G60" s="159">
        <v>1.35</v>
      </c>
      <c r="H60" s="775">
        <f>+'7.3 PA PY budget_savings'!AB52</f>
        <v>149441</v>
      </c>
      <c r="I60" s="775">
        <f>+'7.3 PA PY budget_savings'!AC52</f>
        <v>36</v>
      </c>
      <c r="J60" s="775">
        <f>+'7.3 PA PY budget_savings'!AD52</f>
        <v>608929</v>
      </c>
      <c r="K60" s="775">
        <f>+'7.3 PA PY budget_savings'!AE52</f>
        <v>24</v>
      </c>
      <c r="L60" s="775">
        <f>+'7.3 PA PY budget_savings'!AF52</f>
        <v>3562</v>
      </c>
      <c r="M60" s="775">
        <f>SUMIF('4.2 Program Budget 2028-2031'!$D:$D,$C60,'4.2 Program Budget 2028-2031'!O:O)</f>
        <v>2132624</v>
      </c>
      <c r="N60" s="775">
        <f>SUMIF('4.2 Program Budget 2028-2031'!$D:$D,$C60,'4.2 Program Budget 2028-2031'!P:P)</f>
        <v>6880566</v>
      </c>
      <c r="O60" s="775">
        <f>SUMIF('4.2 Program Budget 2028-2031'!$D:$D,$C60,'4.2 Program Budget 2028-2031'!Q:Q)</f>
        <v>347</v>
      </c>
      <c r="P60" s="775">
        <f>SUMIF('4.2 Program Budget 2028-2031'!$D:$D,$C60,'4.2 Program Budget 2028-2031'!R:R)</f>
        <v>40251</v>
      </c>
      <c r="Q60" s="776">
        <f>SUMIF('4.2 Program Budget 2028-2031'!$D:$D,$C60,'4.2 Program Budget 2028-2031'!S:S)</f>
        <v>0</v>
      </c>
    </row>
    <row r="61" spans="2:17">
      <c r="B61" s="1411"/>
      <c r="C61" s="777" t="s">
        <v>29</v>
      </c>
      <c r="D61" s="775">
        <f>+'7.3 PA PY budget_savings'!AA53</f>
        <v>1724789.4774810623</v>
      </c>
      <c r="E61" s="163" t="s">
        <v>342</v>
      </c>
      <c r="F61" s="160" t="s">
        <v>342</v>
      </c>
      <c r="G61" s="160" t="s">
        <v>342</v>
      </c>
      <c r="H61" s="775">
        <f>+'7.3 PA PY budget_savings'!AB53</f>
        <v>0</v>
      </c>
      <c r="I61" s="775">
        <f>+'7.3 PA PY budget_savings'!AC53</f>
        <v>0</v>
      </c>
      <c r="J61" s="775">
        <f>+'7.3 PA PY budget_savings'!AD53</f>
        <v>0</v>
      </c>
      <c r="K61" s="775">
        <f>+'7.3 PA PY budget_savings'!AE53</f>
        <v>0</v>
      </c>
      <c r="L61" s="775">
        <f>+'7.3 PA PY budget_savings'!AF53</f>
        <v>0</v>
      </c>
      <c r="M61" s="775">
        <f>SUMIF('4.2 Program Budget 2028-2031'!$D:$D,$C61,'4.2 Program Budget 2028-2031'!O:O)</f>
        <v>0</v>
      </c>
      <c r="N61" s="775">
        <f>SUMIF('4.2 Program Budget 2028-2031'!$D:$D,$C61,'4.2 Program Budget 2028-2031'!P:P)</f>
        <v>0</v>
      </c>
      <c r="O61" s="775">
        <f>SUMIF('4.2 Program Budget 2028-2031'!$D:$D,$C61,'4.2 Program Budget 2028-2031'!Q:Q)</f>
        <v>0</v>
      </c>
      <c r="P61" s="775">
        <f>SUMIF('4.2 Program Budget 2028-2031'!$D:$D,$C61,'4.2 Program Budget 2028-2031'!R:R)</f>
        <v>0</v>
      </c>
      <c r="Q61" s="776">
        <f>SUMIF('4.2 Program Budget 2028-2031'!$D:$D,$C61,'4.2 Program Budget 2028-2031'!S:S)</f>
        <v>0</v>
      </c>
    </row>
    <row r="62" spans="2:17">
      <c r="B62" s="1411"/>
      <c r="C62" s="777" t="s">
        <v>30</v>
      </c>
      <c r="D62" s="775">
        <f>+'7.3 PA PY budget_savings'!AA54</f>
        <v>13064362.198364669</v>
      </c>
      <c r="E62" s="163">
        <v>17670535</v>
      </c>
      <c r="F62" s="159">
        <v>1.17</v>
      </c>
      <c r="G62" s="161">
        <v>1.54</v>
      </c>
      <c r="H62" s="775">
        <f>+'7.3 PA PY budget_savings'!AB54</f>
        <v>2136892</v>
      </c>
      <c r="I62" s="775">
        <f>+'7.3 PA PY budget_savings'!AC54</f>
        <v>743</v>
      </c>
      <c r="J62" s="775">
        <f>+'7.3 PA PY budget_savings'!AD54</f>
        <v>2268027</v>
      </c>
      <c r="K62" s="775">
        <f>+'7.3 PA PY budget_savings'!AE54</f>
        <v>380</v>
      </c>
      <c r="L62" s="775">
        <f>+'7.3 PA PY budget_savings'!AF54</f>
        <v>13268</v>
      </c>
      <c r="M62" s="775">
        <f>SUMIF('4.2 Program Budget 2028-2031'!$D:$D,$C62,'4.2 Program Budget 2028-2031'!O:O)</f>
        <v>22983433</v>
      </c>
      <c r="N62" s="775">
        <f>SUMIF('4.2 Program Budget 2028-2031'!$D:$D,$C62,'4.2 Program Budget 2028-2031'!P:P)</f>
        <v>17178816</v>
      </c>
      <c r="O62" s="775">
        <f>SUMIF('4.2 Program Budget 2028-2031'!$D:$D,$C62,'4.2 Program Budget 2028-2031'!Q:Q)</f>
        <v>4323</v>
      </c>
      <c r="P62" s="775">
        <f>SUMIF('4.2 Program Budget 2028-2031'!$D:$D,$C62,'4.2 Program Budget 2028-2031'!R:R)</f>
        <v>100496</v>
      </c>
      <c r="Q62" s="776">
        <f>SUMIF('4.2 Program Budget 2028-2031'!$D:$D,$C62,'4.2 Program Budget 2028-2031'!S:S)</f>
        <v>0</v>
      </c>
    </row>
    <row r="63" spans="2:17">
      <c r="B63" s="1411"/>
      <c r="C63" s="777" t="s">
        <v>32</v>
      </c>
      <c r="D63" s="775">
        <f>+'7.3 PA PY budget_savings'!AA55</f>
        <v>9020908.7078773882</v>
      </c>
      <c r="E63" s="163" t="s">
        <v>342</v>
      </c>
      <c r="F63" s="160" t="s">
        <v>342</v>
      </c>
      <c r="G63" s="160" t="s">
        <v>342</v>
      </c>
      <c r="H63" s="775">
        <f>+'7.3 PA PY budget_savings'!AB55</f>
        <v>0</v>
      </c>
      <c r="I63" s="775">
        <f>+'7.3 PA PY budget_savings'!AC55</f>
        <v>0</v>
      </c>
      <c r="J63" s="775">
        <f>+'7.3 PA PY budget_savings'!AD55</f>
        <v>0</v>
      </c>
      <c r="K63" s="775">
        <f>+'7.3 PA PY budget_savings'!AE55</f>
        <v>0</v>
      </c>
      <c r="L63" s="775">
        <f>+'7.3 PA PY budget_savings'!AF55</f>
        <v>0</v>
      </c>
      <c r="M63" s="775">
        <f>SUMIF('4.2 Program Budget 2028-2031'!$D:$D,$C63,'4.2 Program Budget 2028-2031'!O:O)</f>
        <v>0</v>
      </c>
      <c r="N63" s="775">
        <f>SUMIF('4.2 Program Budget 2028-2031'!$D:$D,$C63,'4.2 Program Budget 2028-2031'!P:P)</f>
        <v>0</v>
      </c>
      <c r="O63" s="775">
        <f>SUMIF('4.2 Program Budget 2028-2031'!$D:$D,$C63,'4.2 Program Budget 2028-2031'!Q:Q)</f>
        <v>0</v>
      </c>
      <c r="P63" s="775">
        <f>SUMIF('4.2 Program Budget 2028-2031'!$D:$D,$C63,'4.2 Program Budget 2028-2031'!R:R)</f>
        <v>0</v>
      </c>
      <c r="Q63" s="776">
        <f>SUMIF('4.2 Program Budget 2028-2031'!$D:$D,$C63,'4.2 Program Budget 2028-2031'!S:S)</f>
        <v>0</v>
      </c>
    </row>
    <row r="64" spans="2:17">
      <c r="B64" s="1411"/>
      <c r="C64" s="777" t="s">
        <v>34</v>
      </c>
      <c r="D64" s="775">
        <f>+'7.3 PA PY budget_savings'!AA56</f>
        <v>568950.79936663178</v>
      </c>
      <c r="E64" s="163" t="s">
        <v>342</v>
      </c>
      <c r="F64" s="160" t="s">
        <v>342</v>
      </c>
      <c r="G64" s="160" t="s">
        <v>342</v>
      </c>
      <c r="H64" s="775">
        <f>+'7.3 PA PY budget_savings'!AB56</f>
        <v>0</v>
      </c>
      <c r="I64" s="775">
        <f>+'7.3 PA PY budget_savings'!AC56</f>
        <v>0</v>
      </c>
      <c r="J64" s="775">
        <f>+'7.3 PA PY budget_savings'!AD56</f>
        <v>0</v>
      </c>
      <c r="K64" s="775">
        <f>+'7.3 PA PY budget_savings'!AE56</f>
        <v>0</v>
      </c>
      <c r="L64" s="775">
        <f>+'7.3 PA PY budget_savings'!AF56</f>
        <v>0</v>
      </c>
      <c r="M64" s="775">
        <f>SUMIF('4.2 Program Budget 2028-2031'!$D:$D,$C64,'4.2 Program Budget 2028-2031'!O:O)</f>
        <v>0</v>
      </c>
      <c r="N64" s="775">
        <f>SUMIF('4.2 Program Budget 2028-2031'!$D:$D,$C64,'4.2 Program Budget 2028-2031'!P:P)</f>
        <v>0</v>
      </c>
      <c r="O64" s="775">
        <f>SUMIF('4.2 Program Budget 2028-2031'!$D:$D,$C64,'4.2 Program Budget 2028-2031'!Q:Q)</f>
        <v>0</v>
      </c>
      <c r="P64" s="775">
        <f>SUMIF('4.2 Program Budget 2028-2031'!$D:$D,$C64,'4.2 Program Budget 2028-2031'!R:R)</f>
        <v>0</v>
      </c>
      <c r="Q64" s="776">
        <f>SUMIF('4.2 Program Budget 2028-2031'!$D:$D,$C64,'4.2 Program Budget 2028-2031'!S:S)</f>
        <v>0</v>
      </c>
    </row>
    <row r="65" spans="2:17">
      <c r="B65" s="1411"/>
      <c r="C65" s="777" t="s">
        <v>36</v>
      </c>
      <c r="D65" s="775">
        <f>+'7.3 PA PY budget_savings'!AA57</f>
        <v>0</v>
      </c>
      <c r="E65" s="163" t="s">
        <v>342</v>
      </c>
      <c r="F65" s="160" t="s">
        <v>342</v>
      </c>
      <c r="G65" s="160" t="s">
        <v>342</v>
      </c>
      <c r="H65" s="775">
        <f>+'7.3 PA PY budget_savings'!AB57</f>
        <v>0</v>
      </c>
      <c r="I65" s="775">
        <f>+'7.3 PA PY budget_savings'!AC57</f>
        <v>0</v>
      </c>
      <c r="J65" s="775">
        <f>+'7.3 PA PY budget_savings'!AD57</f>
        <v>0</v>
      </c>
      <c r="K65" s="775">
        <f>+'7.3 PA PY budget_savings'!AE57</f>
        <v>0</v>
      </c>
      <c r="L65" s="775">
        <f>+'7.3 PA PY budget_savings'!AF57</f>
        <v>0</v>
      </c>
      <c r="M65" s="775">
        <f>SUMIF('4.2 Program Budget 2028-2031'!$D:$D,$C65,'4.2 Program Budget 2028-2031'!O:O)</f>
        <v>0</v>
      </c>
      <c r="N65" s="775">
        <f>SUMIF('4.2 Program Budget 2028-2031'!$D:$D,$C65,'4.2 Program Budget 2028-2031'!P:P)</f>
        <v>0</v>
      </c>
      <c r="O65" s="775">
        <f>SUMIF('4.2 Program Budget 2028-2031'!$D:$D,$C65,'4.2 Program Budget 2028-2031'!Q:Q)</f>
        <v>0</v>
      </c>
      <c r="P65" s="775">
        <f>SUMIF('4.2 Program Budget 2028-2031'!$D:$D,$C65,'4.2 Program Budget 2028-2031'!R:R)</f>
        <v>0</v>
      </c>
      <c r="Q65" s="776">
        <f>SUMIF('4.2 Program Budget 2028-2031'!$D:$D,$C65,'4.2 Program Budget 2028-2031'!S:S)</f>
        <v>0</v>
      </c>
    </row>
    <row r="66" spans="2:17">
      <c r="B66" s="1411"/>
      <c r="C66" s="778" t="s">
        <v>932</v>
      </c>
      <c r="D66" s="775">
        <f>+'7.3 PA PY budget_savings'!AA68</f>
        <v>1508682.1713216</v>
      </c>
      <c r="E66" s="163">
        <v>141459554</v>
      </c>
      <c r="F66" s="159">
        <v>1.62</v>
      </c>
      <c r="G66" s="159">
        <v>93.76</v>
      </c>
      <c r="H66" s="782" t="str">
        <f>+'7.3 PA PY budget_savings'!AB68</f>
        <v xml:space="preserve">  -    </v>
      </c>
      <c r="I66" s="782" t="str">
        <f>+'7.3 PA PY budget_savings'!AC68</f>
        <v xml:space="preserve">  -    </v>
      </c>
      <c r="J66" s="775">
        <f>+'7.3 PA PY budget_savings'!AD68</f>
        <v>14565298.67</v>
      </c>
      <c r="K66" s="775">
        <f>+'7.3 PA PY budget_savings'!AE58</f>
        <v>5309.04</v>
      </c>
      <c r="L66" s="775">
        <f>+'7.3 PA PY budget_savings'!AF68</f>
        <v>85207</v>
      </c>
      <c r="M66" s="775">
        <f>SUMIF('4.2 Program Budget 2028-2031'!$D:$D,"Codes &amp; Standards",'4.2 Program Budget 2028-2031'!O:O)</f>
        <v>0</v>
      </c>
      <c r="N66" s="775">
        <f>SUMIF('4.2 Program Budget 2028-2031'!$D:$D,"Codes &amp; Standards",'4.2 Program Budget 2028-2031'!P:P)</f>
        <v>245731283.87</v>
      </c>
      <c r="O66" s="775">
        <f>SUMIF('4.2 Program Budget 2028-2031'!$D:$D,"Codes &amp; Standards",'4.2 Program Budget 2028-2031'!Q:Q)</f>
        <v>0</v>
      </c>
      <c r="P66" s="775">
        <f>SUMIF('4.2 Program Budget 2028-2031'!$D:$D,"Codes &amp; Standards",'4.2 Program Budget 2028-2031'!R:R)</f>
        <v>1437528.01</v>
      </c>
      <c r="Q66" s="776">
        <f>SUMIF('4.2 Program Budget 2028-2031'!$D:$D,$C66,'4.2 Program Budget 2028-2031'!S:S)</f>
        <v>0</v>
      </c>
    </row>
    <row r="67" spans="2:17" ht="14.65" thickBot="1">
      <c r="B67" s="1411"/>
      <c r="C67" s="779" t="s">
        <v>679</v>
      </c>
      <c r="D67" s="775">
        <f>+'7.3 PA PY budget_savings'!AA61</f>
        <v>6383027.0310911946</v>
      </c>
      <c r="E67" s="164"/>
      <c r="F67" s="156"/>
      <c r="G67" s="156"/>
      <c r="H67" s="780">
        <f>+'7.3 PA PY budget_savings'!D109</f>
        <v>0</v>
      </c>
      <c r="I67" s="780">
        <f>+'7.3 PA PY budget_savings'!E109</f>
        <v>0</v>
      </c>
      <c r="J67" s="780">
        <f>+'7.3 PA PY budget_savings'!F109</f>
        <v>0</v>
      </c>
      <c r="K67" s="780">
        <f>+'7.3 PA PY budget_savings'!G109</f>
        <v>0</v>
      </c>
      <c r="L67" s="780">
        <f>+'7.3 PA PY budget_savings'!H109</f>
        <v>0</v>
      </c>
      <c r="M67" s="780">
        <f>SUMIF('4.1 Program Budget - 2024-2027'!$G:$G,$C67,'4.1 Program Budget - 2024-2027'!AB:AB)</f>
        <v>0</v>
      </c>
      <c r="N67" s="780">
        <f>SUMIF('4.1 Program Budget - 2024-2027'!$G:$G,$C67,'4.1 Program Budget - 2024-2027'!AC:AC)</f>
        <v>0</v>
      </c>
      <c r="O67" s="780">
        <f>SUMIF('4.1 Program Budget - 2024-2027'!$G:$G,$C67,'4.1 Program Budget - 2024-2027'!AD:AD)</f>
        <v>0</v>
      </c>
      <c r="P67" s="780">
        <f>SUMIF('4.1 Program Budget - 2024-2027'!$G:$G,$C67,'4.1 Program Budget - 2024-2027'!AE:AE)</f>
        <v>0</v>
      </c>
      <c r="Q67" s="781">
        <f>SUMIF('4.1 Program Budget - 2024-2027'!$G:$G,$C67,'4.1 Program Budget - 2024-2027'!AF:AF)</f>
        <v>0</v>
      </c>
    </row>
    <row r="68" spans="2:17" ht="14.65" thickBot="1">
      <c r="B68" s="1407"/>
      <c r="C68" s="80" t="s">
        <v>925</v>
      </c>
      <c r="D68" s="83">
        <f>SUBTOTAL(9,D57:D67)</f>
        <v>159575675.77727985</v>
      </c>
      <c r="E68" s="77">
        <f t="shared" ref="E68" si="21">SUBTOTAL(9,E57:E67)</f>
        <v>325081055</v>
      </c>
      <c r="F68" s="158">
        <v>1.2</v>
      </c>
      <c r="G68" s="152">
        <v>2.19</v>
      </c>
      <c r="H68" s="83">
        <f t="shared" ref="H68" si="22">SUBTOTAL(9,H57:H67)</f>
        <v>24107188.539999999</v>
      </c>
      <c r="I68" s="83">
        <f t="shared" ref="I68" si="23">SUBTOTAL(9,I57:I67)</f>
        <v>5685.1</v>
      </c>
      <c r="J68" s="83">
        <f t="shared" ref="J68:K68" si="24">SUBTOTAL(9,J57:J67)</f>
        <v>45058335.539999999</v>
      </c>
      <c r="K68" s="83">
        <f t="shared" si="24"/>
        <v>10618.08</v>
      </c>
      <c r="L68" s="83">
        <f t="shared" ref="L68:P68" si="25">SUBTOTAL(9,L57:L67)</f>
        <v>263591.54000000004</v>
      </c>
      <c r="M68" s="83">
        <f t="shared" si="25"/>
        <v>227465274.15000001</v>
      </c>
      <c r="N68" s="83">
        <f t="shared" si="25"/>
        <v>425900348.51999998</v>
      </c>
      <c r="O68" s="83">
        <f t="shared" si="25"/>
        <v>53235.69</v>
      </c>
      <c r="P68" s="83">
        <f t="shared" si="25"/>
        <v>2491517.1799999997</v>
      </c>
      <c r="Q68" s="90">
        <f t="shared" ref="Q68" si="26">SUBTOTAL(9,Q57:Q67)</f>
        <v>0</v>
      </c>
    </row>
    <row r="69" spans="2:17">
      <c r="B69" s="1410">
        <v>2029</v>
      </c>
      <c r="C69" s="774" t="s">
        <v>17</v>
      </c>
      <c r="D69" s="775">
        <f>+'7.3 PA PY budget_savings'!AG49</f>
        <v>66432199.570153907</v>
      </c>
      <c r="E69" s="165">
        <v>65074971</v>
      </c>
      <c r="F69" s="154">
        <v>0.72</v>
      </c>
      <c r="G69" s="154">
        <v>0.92</v>
      </c>
      <c r="H69" s="775">
        <f>+'7.3 PA PY budget_savings'!AH49</f>
        <v>5929224.9900000002</v>
      </c>
      <c r="I69" s="775">
        <f>+'7.3 PA PY budget_savings'!AI49</f>
        <v>1301.28</v>
      </c>
      <c r="J69" s="775">
        <f>+'7.3 PA PY budget_savings'!AJ49</f>
        <v>16733459.1</v>
      </c>
      <c r="K69" s="775">
        <f>+'7.3 PA PY budget_savings'!AK49</f>
        <v>1472.98</v>
      </c>
      <c r="L69" s="775">
        <f>+'7.3 PA PY budget_savings'!AL49</f>
        <v>97890.49</v>
      </c>
      <c r="M69" s="775">
        <f>SUMIF('4.2 Program Budget 2028-2031'!$D:$D,$C69,'4.2 Program Budget 2028-2031'!Z:Z)</f>
        <v>67098373.769999996</v>
      </c>
      <c r="N69" s="775">
        <f>SUMIF('4.2 Program Budget 2028-2031'!$D:$D,$C69,'4.2 Program Budget 2028-2031'!AA:AA)</f>
        <v>59026796.590000004</v>
      </c>
      <c r="O69" s="775">
        <f>SUMIF('4.2 Program Budget 2028-2031'!$D:$D,$C69,'4.2 Program Budget 2028-2031'!AB:AB)</f>
        <v>22627.91</v>
      </c>
      <c r="P69" s="775">
        <f>SUMIF('4.2 Program Budget 2028-2031'!$D:$D,$C69,'4.2 Program Budget 2028-2031'!AC:AC)</f>
        <v>345307.72</v>
      </c>
      <c r="Q69" s="776">
        <f>SUMIF('4.2 Program Budget 2028-2031'!$D:$D,$C69,'4.2 Program Budget 2028-2031'!AD:AD)</f>
        <v>0</v>
      </c>
    </row>
    <row r="70" spans="2:17">
      <c r="B70" s="1411"/>
      <c r="C70" s="777" t="s">
        <v>22</v>
      </c>
      <c r="D70" s="775">
        <f>+'7.3 PA PY budget_savings'!AG50</f>
        <v>38775126.481931947</v>
      </c>
      <c r="E70" s="165">
        <v>59537850</v>
      </c>
      <c r="F70" s="154">
        <v>1.4</v>
      </c>
      <c r="G70" s="154">
        <v>1.68</v>
      </c>
      <c r="H70" s="775">
        <f>+'7.3 PA PY budget_savings'!AH50</f>
        <v>15690216</v>
      </c>
      <c r="I70" s="775">
        <f>+'7.3 PA PY budget_savings'!AI50</f>
        <v>3605</v>
      </c>
      <c r="J70" s="775">
        <f>+'7.3 PA PY budget_savings'!AJ50</f>
        <v>6701699</v>
      </c>
      <c r="K70" s="775">
        <f>+'7.3 PA PY budget_savings'!AK50</f>
        <v>2996</v>
      </c>
      <c r="L70" s="775">
        <f>+'7.3 PA PY budget_savings'!AL50</f>
        <v>39205</v>
      </c>
      <c r="M70" s="775">
        <f>SUMIF('4.2 Program Budget 2028-2031'!$D:$D,$C70,'4.2 Program Budget 2028-2031'!Z:Z)</f>
        <v>128717799</v>
      </c>
      <c r="N70" s="775">
        <f>SUMIF('4.2 Program Budget 2028-2031'!$D:$D,$C70,'4.2 Program Budget 2028-2031'!AA:AA)</f>
        <v>53373828</v>
      </c>
      <c r="O70" s="775">
        <f>SUMIF('4.2 Program Budget 2028-2031'!$D:$D,$C70,'4.2 Program Budget 2028-2031'!AB:AB)</f>
        <v>25657</v>
      </c>
      <c r="P70" s="775">
        <f>SUMIF('4.2 Program Budget 2028-2031'!$D:$D,$C70,'4.2 Program Budget 2028-2031'!AC:AC)</f>
        <v>312237</v>
      </c>
      <c r="Q70" s="776">
        <f>SUMIF('4.2 Program Budget 2028-2031'!$D:$D,$C70,'4.2 Program Budget 2028-2031'!AD:AD)</f>
        <v>0</v>
      </c>
    </row>
    <row r="71" spans="2:17">
      <c r="B71" s="1411"/>
      <c r="C71" s="777" t="s">
        <v>25</v>
      </c>
      <c r="D71" s="775">
        <f>+'7.3 PA PY budget_savings'!AG51</f>
        <v>20186879.882186908</v>
      </c>
      <c r="E71" s="165">
        <v>47265545</v>
      </c>
      <c r="F71" s="154">
        <v>1.36</v>
      </c>
      <c r="G71" s="154">
        <v>1.63</v>
      </c>
      <c r="H71" s="775">
        <f>+'7.3 PA PY budget_savings'!AH51</f>
        <v>633974</v>
      </c>
      <c r="I71" s="775">
        <f>+'7.3 PA PY budget_savings'!AI51</f>
        <v>98</v>
      </c>
      <c r="J71" s="775">
        <f>+'7.3 PA PY budget_savings'!AJ51</f>
        <v>5031963</v>
      </c>
      <c r="K71" s="775">
        <f>+'7.3 PA PY budget_savings'!AK51</f>
        <v>85</v>
      </c>
      <c r="L71" s="775">
        <f>+'7.3 PA PY budget_savings'!AL51</f>
        <v>29437</v>
      </c>
      <c r="M71" s="775">
        <f>SUMIF('4.2 Program Budget 2028-2031'!$D:$D,$C71,'4.2 Program Budget 2028-2031'!Z:Z)</f>
        <v>9505163</v>
      </c>
      <c r="N71" s="775">
        <f>SUMIF('4.2 Program Budget 2028-2031'!$D:$D,$C71,'4.2 Program Budget 2028-2031'!AA:AA)</f>
        <v>48223837</v>
      </c>
      <c r="O71" s="775">
        <f>SUMIF('4.2 Program Budget 2028-2031'!$D:$D,$C71,'4.2 Program Budget 2028-2031'!AB:AB)</f>
        <v>1651</v>
      </c>
      <c r="P71" s="775">
        <f>SUMIF('4.2 Program Budget 2028-2031'!$D:$D,$C71,'4.2 Program Budget 2028-2031'!AC:AC)</f>
        <v>282109</v>
      </c>
      <c r="Q71" s="776">
        <f>SUMIF('4.2 Program Budget 2028-2031'!$D:$D,$C71,'4.2 Program Budget 2028-2031'!AD:AD)</f>
        <v>0</v>
      </c>
    </row>
    <row r="72" spans="2:17">
      <c r="B72" s="1411"/>
      <c r="C72" s="777" t="s">
        <v>27</v>
      </c>
      <c r="D72" s="775">
        <f>+'7.3 PA PY budget_savings'!AG52</f>
        <v>5984508.0300414413</v>
      </c>
      <c r="E72" s="165">
        <v>6833211</v>
      </c>
      <c r="F72" s="154">
        <v>1.1599999999999999</v>
      </c>
      <c r="G72" s="154">
        <v>1.42</v>
      </c>
      <c r="H72" s="775">
        <f>+'7.3 PA PY budget_savings'!AH52</f>
        <v>150617</v>
      </c>
      <c r="I72" s="775">
        <f>+'7.3 PA PY budget_savings'!AI52</f>
        <v>36</v>
      </c>
      <c r="J72" s="775">
        <f>+'7.3 PA PY budget_savings'!AJ52</f>
        <v>628388</v>
      </c>
      <c r="K72" s="775">
        <f>+'7.3 PA PY budget_savings'!AK52</f>
        <v>19</v>
      </c>
      <c r="L72" s="775">
        <f>+'7.3 PA PY budget_savings'!AL52</f>
        <v>3676</v>
      </c>
      <c r="M72" s="775">
        <f>SUMIF('4.2 Program Budget 2028-2031'!$D:$D,$C72,'4.2 Program Budget 2028-2031'!Z:Z)</f>
        <v>2146779</v>
      </c>
      <c r="N72" s="775">
        <f>SUMIF('4.2 Program Budget 2028-2031'!$D:$D,$C72,'4.2 Program Budget 2028-2031'!AA:AA)</f>
        <v>7100330</v>
      </c>
      <c r="O72" s="775">
        <f>SUMIF('4.2 Program Budget 2028-2031'!$D:$D,$C72,'4.2 Program Budget 2028-2031'!AB:AB)</f>
        <v>354</v>
      </c>
      <c r="P72" s="775">
        <f>SUMIF('4.2 Program Budget 2028-2031'!$D:$D,$C72,'4.2 Program Budget 2028-2031'!AC:AC)</f>
        <v>41537</v>
      </c>
      <c r="Q72" s="776">
        <f>SUMIF('4.2 Program Budget 2028-2031'!$D:$D,$C72,'4.2 Program Budget 2028-2031'!AD:AD)</f>
        <v>0</v>
      </c>
    </row>
    <row r="73" spans="2:17">
      <c r="B73" s="1411"/>
      <c r="C73" s="777" t="s">
        <v>29</v>
      </c>
      <c r="D73" s="775">
        <f>+'7.3 PA PY budget_savings'!AG53</f>
        <v>1779982.7407604563</v>
      </c>
      <c r="E73" s="165" t="s">
        <v>342</v>
      </c>
      <c r="F73" s="157" t="s">
        <v>342</v>
      </c>
      <c r="G73" s="157" t="s">
        <v>342</v>
      </c>
      <c r="H73" s="775">
        <f>+'7.3 PA PY budget_savings'!AH53</f>
        <v>0</v>
      </c>
      <c r="I73" s="775">
        <f>+'7.3 PA PY budget_savings'!AI53</f>
        <v>0</v>
      </c>
      <c r="J73" s="775">
        <f>+'7.3 PA PY budget_savings'!AJ53</f>
        <v>0</v>
      </c>
      <c r="K73" s="775">
        <f>+'7.3 PA PY budget_savings'!AK53</f>
        <v>0</v>
      </c>
      <c r="L73" s="775">
        <f>+'7.3 PA PY budget_savings'!AL53</f>
        <v>0</v>
      </c>
      <c r="M73" s="775">
        <f>SUMIF('4.2 Program Budget 2028-2031'!$D:$D,$C73,'4.2 Program Budget 2028-2031'!Z:Z)</f>
        <v>0</v>
      </c>
      <c r="N73" s="775">
        <f>SUMIF('4.2 Program Budget 2028-2031'!$D:$D,$C73,'4.2 Program Budget 2028-2031'!AA:AA)</f>
        <v>0</v>
      </c>
      <c r="O73" s="775">
        <f>SUMIF('4.2 Program Budget 2028-2031'!$D:$D,$C73,'4.2 Program Budget 2028-2031'!AB:AB)</f>
        <v>0</v>
      </c>
      <c r="P73" s="775">
        <f>SUMIF('4.2 Program Budget 2028-2031'!$D:$D,$C73,'4.2 Program Budget 2028-2031'!AC:AC)</f>
        <v>0</v>
      </c>
      <c r="Q73" s="776">
        <f>SUMIF('4.2 Program Budget 2028-2031'!$D:$D,$C73,'4.2 Program Budget 2028-2031'!AD:AD)</f>
        <v>0</v>
      </c>
    </row>
    <row r="74" spans="2:17">
      <c r="B74" s="1411"/>
      <c r="C74" s="777" t="s">
        <v>30</v>
      </c>
      <c r="D74" s="775">
        <f>+'7.3 PA PY budget_savings'!AG54</f>
        <v>13482421.788712338</v>
      </c>
      <c r="E74" s="165">
        <v>19024516</v>
      </c>
      <c r="F74" s="155">
        <v>1.22</v>
      </c>
      <c r="G74" s="154">
        <v>1.6</v>
      </c>
      <c r="H74" s="775">
        <f>+'7.3 PA PY budget_savings'!AH54</f>
        <v>2137168</v>
      </c>
      <c r="I74" s="775">
        <f>+'7.3 PA PY budget_savings'!AI54</f>
        <v>743</v>
      </c>
      <c r="J74" s="775">
        <f>+'7.3 PA PY budget_savings'!AJ54</f>
        <v>2338865</v>
      </c>
      <c r="K74" s="775">
        <f>+'7.3 PA PY budget_savings'!AK54</f>
        <v>346</v>
      </c>
      <c r="L74" s="775">
        <f>+'7.3 PA PY budget_savings'!AL54</f>
        <v>13682</v>
      </c>
      <c r="M74" s="775">
        <f>SUMIF('4.2 Program Budget 2028-2031'!$D:$D,$C74,'4.2 Program Budget 2028-2031'!Z:Z)</f>
        <v>22985605</v>
      </c>
      <c r="N74" s="775">
        <f>SUMIF('4.2 Program Budget 2028-2031'!$D:$D,$C74,'4.2 Program Budget 2028-2031'!AA:AA)</f>
        <v>17706250</v>
      </c>
      <c r="O74" s="775">
        <f>SUMIF('4.2 Program Budget 2028-2031'!$D:$D,$C74,'4.2 Program Budget 2028-2031'!AB:AB)</f>
        <v>4386</v>
      </c>
      <c r="P74" s="775">
        <f>SUMIF('4.2 Program Budget 2028-2031'!$D:$D,$C74,'4.2 Program Budget 2028-2031'!AC:AC)</f>
        <v>103582</v>
      </c>
      <c r="Q74" s="776">
        <f>SUMIF('4.2 Program Budget 2028-2031'!$D:$D,$C74,'4.2 Program Budget 2028-2031'!AD:AD)</f>
        <v>0</v>
      </c>
    </row>
    <row r="75" spans="2:17">
      <c r="B75" s="1411"/>
      <c r="C75" s="777" t="s">
        <v>32</v>
      </c>
      <c r="D75" s="775">
        <f>+'7.3 PA PY budget_savings'!AG55</f>
        <v>9309577.7865294665</v>
      </c>
      <c r="E75" s="165" t="s">
        <v>342</v>
      </c>
      <c r="F75" s="157" t="s">
        <v>342</v>
      </c>
      <c r="G75" s="157" t="s">
        <v>342</v>
      </c>
      <c r="H75" s="775">
        <f>+'7.3 PA PY budget_savings'!AH55</f>
        <v>0</v>
      </c>
      <c r="I75" s="775">
        <f>+'7.3 PA PY budget_savings'!AI55</f>
        <v>0</v>
      </c>
      <c r="J75" s="775">
        <f>+'7.3 PA PY budget_savings'!AJ55</f>
        <v>0</v>
      </c>
      <c r="K75" s="775">
        <f>+'7.3 PA PY budget_savings'!AK55</f>
        <v>0</v>
      </c>
      <c r="L75" s="775">
        <f>+'7.3 PA PY budget_savings'!AL55</f>
        <v>0</v>
      </c>
      <c r="M75" s="775">
        <f>SUMIF('4.2 Program Budget 2028-2031'!$D:$D,$C75,'4.2 Program Budget 2028-2031'!Z:Z)</f>
        <v>0</v>
      </c>
      <c r="N75" s="775">
        <f>SUMIF('4.2 Program Budget 2028-2031'!$D:$D,$C75,'4.2 Program Budget 2028-2031'!AA:AA)</f>
        <v>0</v>
      </c>
      <c r="O75" s="775">
        <f>SUMIF('4.2 Program Budget 2028-2031'!$D:$D,$C75,'4.2 Program Budget 2028-2031'!AB:AB)</f>
        <v>0</v>
      </c>
      <c r="P75" s="775">
        <f>SUMIF('4.2 Program Budget 2028-2031'!$D:$D,$C75,'4.2 Program Budget 2028-2031'!AC:AC)</f>
        <v>0</v>
      </c>
      <c r="Q75" s="776">
        <f>SUMIF('4.2 Program Budget 2028-2031'!$D:$D,$C75,'4.2 Program Budget 2028-2031'!AD:AD)</f>
        <v>0</v>
      </c>
    </row>
    <row r="76" spans="2:17">
      <c r="B76" s="1411"/>
      <c r="C76" s="777" t="s">
        <v>34</v>
      </c>
      <c r="D76" s="775">
        <f>+'7.3 PA PY budget_savings'!AG56</f>
        <v>587157.22494636406</v>
      </c>
      <c r="E76" s="165" t="s">
        <v>342</v>
      </c>
      <c r="F76" s="157" t="s">
        <v>342</v>
      </c>
      <c r="G76" s="157" t="s">
        <v>342</v>
      </c>
      <c r="H76" s="775">
        <f>+'7.3 PA PY budget_savings'!AH56</f>
        <v>0</v>
      </c>
      <c r="I76" s="775">
        <f>+'7.3 PA PY budget_savings'!AI56</f>
        <v>0</v>
      </c>
      <c r="J76" s="775">
        <f>+'7.3 PA PY budget_savings'!AJ56</f>
        <v>0</v>
      </c>
      <c r="K76" s="775">
        <f>+'7.3 PA PY budget_savings'!AK56</f>
        <v>0</v>
      </c>
      <c r="L76" s="775">
        <f>+'7.3 PA PY budget_savings'!AL56</f>
        <v>0</v>
      </c>
      <c r="M76" s="775">
        <f>SUMIF('4.2 Program Budget 2028-2031'!$D:$D,$C76,'4.2 Program Budget 2028-2031'!Z:Z)</f>
        <v>0</v>
      </c>
      <c r="N76" s="775">
        <f>SUMIF('4.2 Program Budget 2028-2031'!$D:$D,$C76,'4.2 Program Budget 2028-2031'!AA:AA)</f>
        <v>0</v>
      </c>
      <c r="O76" s="775">
        <f>SUMIF('4.2 Program Budget 2028-2031'!$D:$D,$C76,'4.2 Program Budget 2028-2031'!AB:AB)</f>
        <v>0</v>
      </c>
      <c r="P76" s="775">
        <f>SUMIF('4.2 Program Budget 2028-2031'!$D:$D,$C76,'4.2 Program Budget 2028-2031'!AC:AC)</f>
        <v>0</v>
      </c>
      <c r="Q76" s="776">
        <f>SUMIF('4.2 Program Budget 2028-2031'!$D:$D,$C76,'4.2 Program Budget 2028-2031'!AD:AD)</f>
        <v>0</v>
      </c>
    </row>
    <row r="77" spans="2:17">
      <c r="B77" s="1411"/>
      <c r="C77" s="777" t="s">
        <v>36</v>
      </c>
      <c r="D77" s="775">
        <f>+'7.3 PA PY budget_savings'!AG57</f>
        <v>0</v>
      </c>
      <c r="E77" s="165" t="s">
        <v>342</v>
      </c>
      <c r="F77" s="157" t="s">
        <v>342</v>
      </c>
      <c r="G77" s="157" t="s">
        <v>342</v>
      </c>
      <c r="H77" s="775">
        <f>+'7.3 PA PY budget_savings'!AH57</f>
        <v>0</v>
      </c>
      <c r="I77" s="775">
        <f>+'7.3 PA PY budget_savings'!AI57</f>
        <v>0</v>
      </c>
      <c r="J77" s="775">
        <f>+'7.3 PA PY budget_savings'!AJ57</f>
        <v>0</v>
      </c>
      <c r="K77" s="775">
        <f>+'7.3 PA PY budget_savings'!AK57</f>
        <v>0</v>
      </c>
      <c r="L77" s="775">
        <f>+'7.3 PA PY budget_savings'!AL57</f>
        <v>0</v>
      </c>
      <c r="M77" s="775">
        <f>SUMIF('4.2 Program Budget 2028-2031'!$D:$D,$C77,'4.2 Program Budget 2028-2031'!Z:Z)</f>
        <v>0</v>
      </c>
      <c r="N77" s="775">
        <f>SUMIF('4.2 Program Budget 2028-2031'!$D:$D,$C77,'4.2 Program Budget 2028-2031'!AA:AA)</f>
        <v>0</v>
      </c>
      <c r="O77" s="775">
        <f>SUMIF('4.2 Program Budget 2028-2031'!$D:$D,$C77,'4.2 Program Budget 2028-2031'!AB:AB)</f>
        <v>0</v>
      </c>
      <c r="P77" s="775">
        <f>SUMIF('4.2 Program Budget 2028-2031'!$D:$D,$C77,'4.2 Program Budget 2028-2031'!AC:AC)</f>
        <v>0</v>
      </c>
      <c r="Q77" s="776">
        <f>SUMIF('4.2 Program Budget 2028-2031'!$D:$D,$C77,'4.2 Program Budget 2028-2031'!AD:AD)</f>
        <v>0</v>
      </c>
    </row>
    <row r="78" spans="2:17">
      <c r="B78" s="1411"/>
      <c r="C78" s="778" t="s">
        <v>932</v>
      </c>
      <c r="D78" s="775">
        <f>+'7.3 PA PY budget_savings'!AG68</f>
        <v>1556960.0008038911</v>
      </c>
      <c r="E78" s="165">
        <v>148266870</v>
      </c>
      <c r="F78" s="154">
        <v>1.69</v>
      </c>
      <c r="G78" s="154">
        <v>95.23</v>
      </c>
      <c r="H78" s="775" t="str">
        <f>+'7.3 PA PY budget_savings'!AH68</f>
        <v xml:space="preserve">  -    </v>
      </c>
      <c r="I78" s="775" t="str">
        <f>+'7.3 PA PY budget_savings'!AI68</f>
        <v xml:space="preserve">  -    </v>
      </c>
      <c r="J78" s="775">
        <f>+'7.3 PA PY budget_savings'!AJ68</f>
        <v>14565298.67</v>
      </c>
      <c r="K78" s="775" t="str">
        <f>+'7.3 PA PY budget_savings'!AK68</f>
        <v xml:space="preserve">  -    </v>
      </c>
      <c r="L78" s="775">
        <f>+'7.3 PA PY budget_savings'!AL68</f>
        <v>85207</v>
      </c>
      <c r="M78" s="775">
        <f>SUMIF('4.2 Program Budget 2028-2031'!$D:$D,"Codes &amp; Standards",'4.2 Program Budget 2028-2031'!Z:Z)</f>
        <v>0</v>
      </c>
      <c r="N78" s="775">
        <f>SUMIF('4.2 Program Budget 2028-2031'!$D:$D,"Codes &amp; Standards",'4.2 Program Budget 2028-2031'!AA:AA)</f>
        <v>245731283.87</v>
      </c>
      <c r="O78" s="775">
        <f>SUMIF('4.2 Program Budget 2028-2031'!$D:$D,"Codes &amp; Standards",'4.2 Program Budget 2028-2031'!AB:AB)</f>
        <v>0</v>
      </c>
      <c r="P78" s="775">
        <f>SUMIF('4.2 Program Budget 2028-2031'!$D:$D,"Codes &amp; Standards",'4.2 Program Budget 2028-2031'!AC:AC)</f>
        <v>1437528.01</v>
      </c>
      <c r="Q78" s="776">
        <f>SUMIF('4.2 Program Budget 2028-2031'!$D:$D,$C78,'4.2 Program Budget 2028-2031'!AD:AD)</f>
        <v>0</v>
      </c>
    </row>
    <row r="79" spans="2:17" ht="14.65" thickBot="1">
      <c r="B79" s="1411"/>
      <c r="C79" s="779" t="s">
        <v>679</v>
      </c>
      <c r="D79" s="775">
        <f>+'7.3 PA PY budget_savings'!AG61</f>
        <v>6587283.8960861135</v>
      </c>
      <c r="E79" s="164"/>
      <c r="F79" s="156"/>
      <c r="G79" s="156"/>
      <c r="H79" s="780">
        <f>+'7.3 PA PY budget_savings'!D121</f>
        <v>0</v>
      </c>
      <c r="I79" s="780">
        <f>+'7.3 PA PY budget_savings'!E121</f>
        <v>0</v>
      </c>
      <c r="J79" s="780">
        <f>+'7.3 PA PY budget_savings'!F121</f>
        <v>0</v>
      </c>
      <c r="K79" s="780">
        <f>+'7.3 PA PY budget_savings'!G121</f>
        <v>0</v>
      </c>
      <c r="L79" s="780">
        <f>+'7.3 PA PY budget_savings'!H121</f>
        <v>0</v>
      </c>
      <c r="M79" s="780">
        <f>SUMIF('4.1 Program Budget - 2024-2027'!$G:$G,$C79,'4.1 Program Budget - 2024-2027'!AB:AB)</f>
        <v>0</v>
      </c>
      <c r="N79" s="780">
        <f>SUMIF('4.1 Program Budget - 2024-2027'!$G:$G,$C79,'4.1 Program Budget - 2024-2027'!AC:AC)</f>
        <v>0</v>
      </c>
      <c r="O79" s="780">
        <f>SUMIF('4.1 Program Budget - 2024-2027'!$G:$G,$C79,'4.1 Program Budget - 2024-2027'!AD:AD)</f>
        <v>0</v>
      </c>
      <c r="P79" s="780">
        <f>SUMIF('4.1 Program Budget - 2024-2027'!$G:$G,$C79,'4.1 Program Budget - 2024-2027'!AE:AE)</f>
        <v>0</v>
      </c>
      <c r="Q79" s="781">
        <f>SUMIF('4.1 Program Budget - 2024-2027'!$G:$G,$C79,'4.1 Program Budget - 2024-2027'!AF:AF)</f>
        <v>0</v>
      </c>
    </row>
    <row r="80" spans="2:17" ht="14.65" thickBot="1">
      <c r="B80" s="1407"/>
      <c r="C80" s="80" t="s">
        <v>925</v>
      </c>
      <c r="D80" s="83">
        <f>SUBTOTAL(9,D69:D79)</f>
        <v>164682097.40215284</v>
      </c>
      <c r="E80" s="77">
        <f t="shared" ref="E80" si="27">SUBTOTAL(9,E69:E79)</f>
        <v>346002963</v>
      </c>
      <c r="F80" s="152">
        <v>1.25</v>
      </c>
      <c r="G80" s="152">
        <v>2.2599999999999998</v>
      </c>
      <c r="H80" s="83">
        <f t="shared" ref="H80" si="28">SUBTOTAL(9,H69:H79)</f>
        <v>24541199.990000002</v>
      </c>
      <c r="I80" s="83">
        <f t="shared" ref="I80" si="29">SUBTOTAL(9,I69:I79)</f>
        <v>5783.28</v>
      </c>
      <c r="J80" s="83">
        <f t="shared" ref="J80:K80" si="30">SUBTOTAL(9,J69:J79)</f>
        <v>45999672.770000003</v>
      </c>
      <c r="K80" s="83">
        <f t="shared" si="30"/>
        <v>4918.9799999999996</v>
      </c>
      <c r="L80" s="83">
        <f t="shared" ref="L80:P80" si="31">SUBTOTAL(9,L69:L79)</f>
        <v>269097.49</v>
      </c>
      <c r="M80" s="83">
        <f t="shared" si="31"/>
        <v>230453719.76999998</v>
      </c>
      <c r="N80" s="83">
        <f t="shared" si="31"/>
        <v>431162325.46000004</v>
      </c>
      <c r="O80" s="83">
        <f t="shared" si="31"/>
        <v>54675.91</v>
      </c>
      <c r="P80" s="83">
        <f t="shared" si="31"/>
        <v>2522300.73</v>
      </c>
      <c r="Q80" s="90">
        <f t="shared" ref="Q80" si="32">SUBTOTAL(9,Q69:Q79)</f>
        <v>0</v>
      </c>
    </row>
    <row r="81" spans="2:17">
      <c r="B81" s="1410">
        <v>2030</v>
      </c>
      <c r="C81" s="774" t="s">
        <v>17</v>
      </c>
      <c r="D81" s="775">
        <f>+'7.3 PA PY budget_savings'!AM49</f>
        <v>68558029.95639883</v>
      </c>
      <c r="E81" s="165">
        <v>70195619</v>
      </c>
      <c r="F81" s="154">
        <v>0.75</v>
      </c>
      <c r="G81" s="154">
        <v>0.97</v>
      </c>
      <c r="H81" s="775">
        <f>+'7.3 PA PY budget_savings'!AN49</f>
        <v>5993450.96</v>
      </c>
      <c r="I81" s="775">
        <f>+'7.3 PA PY budget_savings'!AO49</f>
        <v>1321.94</v>
      </c>
      <c r="J81" s="775">
        <f>+'7.3 PA PY budget_savings'!AP49</f>
        <v>17267128.559999999</v>
      </c>
      <c r="K81" s="775">
        <f>+'7.3 PA PY budget_savings'!AQ49</f>
        <v>1553.72</v>
      </c>
      <c r="L81" s="775">
        <f>+'7.3 PA PY budget_savings'!AR49</f>
        <v>101012.84</v>
      </c>
      <c r="M81" s="775">
        <f>SUMIF('4.2 Program Budget 2028-2031'!$D:$D,$C81,'4.2 Program Budget 2028-2031'!AK:AK)</f>
        <v>67814528.760000005</v>
      </c>
      <c r="N81" s="775">
        <f>SUMIF('4.2 Program Budget 2028-2031'!$D:$D,$C81,'4.2 Program Budget 2028-2031'!AL:AL)</f>
        <v>60887917.25</v>
      </c>
      <c r="O81" s="775">
        <f>SUMIF('4.2 Program Budget 2028-2031'!$D:$D,$C81,'4.2 Program Budget 2028-2031'!AM:AM)</f>
        <v>23594.84</v>
      </c>
      <c r="P81" s="775">
        <f>SUMIF('4.2 Program Budget 2028-2031'!$D:$D,$C81,'4.2 Program Budget 2028-2031'!AN:AN)</f>
        <v>356194.14</v>
      </c>
      <c r="Q81" s="776">
        <f>SUMIF('4.2 Program Budget 2028-2031'!$D:$D,$C81,'4.2 Program Budget 2028-2031'!AO:AO)</f>
        <v>0</v>
      </c>
    </row>
    <row r="82" spans="2:17">
      <c r="B82" s="1411"/>
      <c r="C82" s="777" t="s">
        <v>22</v>
      </c>
      <c r="D82" s="775">
        <f>+'7.3 PA PY budget_savings'!AM50</f>
        <v>40015930.529353768</v>
      </c>
      <c r="E82" s="165">
        <v>63759162</v>
      </c>
      <c r="F82" s="154">
        <v>1.45</v>
      </c>
      <c r="G82" s="154">
        <v>1.74</v>
      </c>
      <c r="H82" s="775">
        <f>+'7.3 PA PY budget_savings'!AN50</f>
        <v>16072319</v>
      </c>
      <c r="I82" s="775">
        <f>+'7.3 PA PY budget_savings'!AO50</f>
        <v>3684</v>
      </c>
      <c r="J82" s="775">
        <f>+'7.3 PA PY budget_savings'!AP50</f>
        <v>6886710</v>
      </c>
      <c r="K82" s="775">
        <f>+'7.3 PA PY budget_savings'!AQ50</f>
        <v>3039</v>
      </c>
      <c r="L82" s="775">
        <f>+'7.3 PA PY budget_savings'!AR50</f>
        <v>40288</v>
      </c>
      <c r="M82" s="775">
        <f>SUMIF('4.2 Program Budget 2028-2031'!$D:$D,$C82,'4.2 Program Budget 2028-2031'!AK:AK)</f>
        <v>131067990</v>
      </c>
      <c r="N82" s="775">
        <f>SUMIF('4.2 Program Budget 2028-2031'!$D:$D,$C82,'4.2 Program Budget 2028-2031'!AL:AL)</f>
        <v>54650223</v>
      </c>
      <c r="O82" s="775">
        <f>SUMIF('4.2 Program Budget 2028-2031'!$D:$D,$C82,'4.2 Program Budget 2028-2031'!AM:AM)</f>
        <v>26596</v>
      </c>
      <c r="P82" s="775">
        <f>SUMIF('4.2 Program Budget 2028-2031'!$D:$D,$C82,'4.2 Program Budget 2028-2031'!AN:AN)</f>
        <v>319704</v>
      </c>
      <c r="Q82" s="776">
        <f>SUMIF('4.2 Program Budget 2028-2031'!$D:$D,$C82,'4.2 Program Budget 2028-2031'!AO:AO)</f>
        <v>0</v>
      </c>
    </row>
    <row r="83" spans="2:17">
      <c r="B83" s="1411"/>
      <c r="C83" s="777" t="s">
        <v>25</v>
      </c>
      <c r="D83" s="775">
        <f>+'7.3 PA PY budget_savings'!AM51</f>
        <v>20832860.038416892</v>
      </c>
      <c r="E83" s="165">
        <v>51016339</v>
      </c>
      <c r="F83" s="154">
        <v>1.43</v>
      </c>
      <c r="G83" s="154">
        <v>1.71</v>
      </c>
      <c r="H83" s="775">
        <f>+'7.3 PA PY budget_savings'!AN51</f>
        <v>634042</v>
      </c>
      <c r="I83" s="775">
        <f>+'7.3 PA PY budget_savings'!AO51</f>
        <v>98</v>
      </c>
      <c r="J83" s="775">
        <f>+'7.3 PA PY budget_savings'!AP51</f>
        <v>5191557</v>
      </c>
      <c r="K83" s="775">
        <f>+'7.3 PA PY budget_savings'!AQ51</f>
        <v>84</v>
      </c>
      <c r="L83" s="775">
        <f>+'7.3 PA PY budget_savings'!AR51</f>
        <v>30370</v>
      </c>
      <c r="M83" s="775">
        <f>SUMIF('4.2 Program Budget 2028-2031'!$D:$D,$C83,'4.2 Program Budget 2028-2031'!AK:AK)</f>
        <v>9506047</v>
      </c>
      <c r="N83" s="775">
        <f>SUMIF('4.2 Program Budget 2028-2031'!$D:$D,$C83,'4.2 Program Budget 2028-2031'!AL:AL)</f>
        <v>49745574</v>
      </c>
      <c r="O83" s="775">
        <f>SUMIF('4.2 Program Budget 2028-2031'!$D:$D,$C83,'4.2 Program Budget 2028-2031'!AM:AM)</f>
        <v>1704</v>
      </c>
      <c r="P83" s="775">
        <f>SUMIF('4.2 Program Budget 2028-2031'!$D:$D,$C83,'4.2 Program Budget 2028-2031'!AN:AN)</f>
        <v>291012</v>
      </c>
      <c r="Q83" s="776">
        <f>SUMIF('4.2 Program Budget 2028-2031'!$D:$D,$C83,'4.2 Program Budget 2028-2031'!AO:AO)</f>
        <v>0</v>
      </c>
    </row>
    <row r="84" spans="2:17">
      <c r="B84" s="1411"/>
      <c r="C84" s="777" t="s">
        <v>27</v>
      </c>
      <c r="D84" s="775">
        <f>+'7.3 PA PY budget_savings'!AM52</f>
        <v>6176012.2870027674</v>
      </c>
      <c r="E84" s="165">
        <v>7381170</v>
      </c>
      <c r="F84" s="154">
        <v>1.22</v>
      </c>
      <c r="G84" s="154">
        <v>1.48</v>
      </c>
      <c r="H84" s="775">
        <f>+'7.3 PA PY budget_savings'!AN52</f>
        <v>151831</v>
      </c>
      <c r="I84" s="775">
        <f>+'7.3 PA PY budget_savings'!AO52</f>
        <v>36</v>
      </c>
      <c r="J84" s="775">
        <f>+'7.3 PA PY budget_savings'!AP52</f>
        <v>648468</v>
      </c>
      <c r="K84" s="775">
        <f>+'7.3 PA PY budget_savings'!AQ52</f>
        <v>19</v>
      </c>
      <c r="L84" s="775">
        <f>+'7.3 PA PY budget_savings'!AR52</f>
        <v>3793</v>
      </c>
      <c r="M84" s="775">
        <f>SUMIF('4.2 Program Budget 2028-2031'!$D:$D,$C84,'4.2 Program Budget 2028-2031'!AK:AK)</f>
        <v>2161387</v>
      </c>
      <c r="N84" s="775">
        <f>SUMIF('4.2 Program Budget 2028-2031'!$D:$D,$C84,'4.2 Program Budget 2028-2031'!AL:AL)</f>
        <v>7327126</v>
      </c>
      <c r="O84" s="775">
        <f>SUMIF('4.2 Program Budget 2028-2031'!$D:$D,$C84,'4.2 Program Budget 2028-2031'!AM:AM)</f>
        <v>367</v>
      </c>
      <c r="P84" s="775">
        <f>SUMIF('4.2 Program Budget 2028-2031'!$D:$D,$C84,'4.2 Program Budget 2028-2031'!AN:AN)</f>
        <v>42864</v>
      </c>
      <c r="Q84" s="776">
        <f>SUMIF('4.2 Program Budget 2028-2031'!$D:$D,$C84,'4.2 Program Budget 2028-2031'!AO:AO)</f>
        <v>0</v>
      </c>
    </row>
    <row r="85" spans="2:17">
      <c r="B85" s="1411"/>
      <c r="C85" s="777" t="s">
        <v>29</v>
      </c>
      <c r="D85" s="775">
        <f>+'7.3 PA PY budget_savings'!AM53</f>
        <v>1836942.188464791</v>
      </c>
      <c r="E85" s="165" t="s">
        <v>342</v>
      </c>
      <c r="F85" s="157" t="s">
        <v>342</v>
      </c>
      <c r="G85" s="157" t="s">
        <v>342</v>
      </c>
      <c r="H85" s="775">
        <f>+'7.3 PA PY budget_savings'!AN53</f>
        <v>0</v>
      </c>
      <c r="I85" s="775">
        <f>+'7.3 PA PY budget_savings'!AO53</f>
        <v>0</v>
      </c>
      <c r="J85" s="775">
        <f>+'7.3 PA PY budget_savings'!AP53</f>
        <v>0</v>
      </c>
      <c r="K85" s="775">
        <f>+'7.3 PA PY budget_savings'!AQ53</f>
        <v>0</v>
      </c>
      <c r="L85" s="775">
        <f>+'7.3 PA PY budget_savings'!AR53</f>
        <v>0</v>
      </c>
      <c r="M85" s="775">
        <f>SUMIF('4.2 Program Budget 2028-2031'!$D:$D,$C85,'4.2 Program Budget 2028-2031'!AK:AK)</f>
        <v>0</v>
      </c>
      <c r="N85" s="775">
        <f>SUMIF('4.2 Program Budget 2028-2031'!$D:$D,$C85,'4.2 Program Budget 2028-2031'!AL:AL)</f>
        <v>0</v>
      </c>
      <c r="O85" s="775">
        <f>SUMIF('4.2 Program Budget 2028-2031'!$D:$D,$C85,'4.2 Program Budget 2028-2031'!AM:AM)</f>
        <v>0</v>
      </c>
      <c r="P85" s="775">
        <f>SUMIF('4.2 Program Budget 2028-2031'!$D:$D,$C85,'4.2 Program Budget 2028-2031'!AN:AN)</f>
        <v>0</v>
      </c>
      <c r="Q85" s="776">
        <f>SUMIF('4.2 Program Budget 2028-2031'!$D:$D,$C85,'4.2 Program Budget 2028-2031'!AO:AO)</f>
        <v>0</v>
      </c>
    </row>
    <row r="86" spans="2:17">
      <c r="B86" s="1411"/>
      <c r="C86" s="777" t="s">
        <v>30</v>
      </c>
      <c r="D86" s="775">
        <f>+'7.3 PA PY budget_savings'!AM54</f>
        <v>13913859.285951134</v>
      </c>
      <c r="E86" s="165">
        <v>20462427</v>
      </c>
      <c r="F86" s="154">
        <v>1.28</v>
      </c>
      <c r="G86" s="154">
        <v>1.67</v>
      </c>
      <c r="H86" s="775">
        <f>+'7.3 PA PY budget_savings'!AN54</f>
        <v>2137452</v>
      </c>
      <c r="I86" s="775">
        <f>+'7.3 PA PY budget_savings'!AO54</f>
        <v>743</v>
      </c>
      <c r="J86" s="775">
        <f>+'7.3 PA PY budget_savings'!AP54</f>
        <v>2411969</v>
      </c>
      <c r="K86" s="775">
        <f>+'7.3 PA PY budget_savings'!AQ54</f>
        <v>327</v>
      </c>
      <c r="L86" s="775">
        <f>+'7.3 PA PY budget_savings'!AR54</f>
        <v>14110</v>
      </c>
      <c r="M86" s="775">
        <f>SUMIF('4.2 Program Budget 2028-2031'!$D:$D,$C86,'4.2 Program Budget 2028-2031'!AK:AK)</f>
        <v>22987847</v>
      </c>
      <c r="N86" s="775">
        <f>SUMIF('4.2 Program Budget 2028-2031'!$D:$D,$C86,'4.2 Program Budget 2028-2031'!AL:AL)</f>
        <v>18250562</v>
      </c>
      <c r="O86" s="775">
        <f>SUMIF('4.2 Program Budget 2028-2031'!$D:$D,$C86,'4.2 Program Budget 2028-2031'!AM:AM)</f>
        <v>4493</v>
      </c>
      <c r="P86" s="775">
        <f>SUMIF('4.2 Program Budget 2028-2031'!$D:$D,$C86,'4.2 Program Budget 2028-2031'!AN:AN)</f>
        <v>106766</v>
      </c>
      <c r="Q86" s="776">
        <f>SUMIF('4.2 Program Budget 2028-2031'!$D:$D,$C86,'4.2 Program Budget 2028-2031'!AO:AO)</f>
        <v>0</v>
      </c>
    </row>
    <row r="87" spans="2:17">
      <c r="B87" s="1411"/>
      <c r="C87" s="777" t="s">
        <v>32</v>
      </c>
      <c r="D87" s="775">
        <f>+'7.3 PA PY budget_savings'!AM55</f>
        <v>9607484.2756984085</v>
      </c>
      <c r="E87" s="165" t="s">
        <v>342</v>
      </c>
      <c r="F87" s="157" t="s">
        <v>342</v>
      </c>
      <c r="G87" s="157" t="s">
        <v>342</v>
      </c>
      <c r="H87" s="775">
        <f>+'7.3 PA PY budget_savings'!AN55</f>
        <v>0</v>
      </c>
      <c r="I87" s="775">
        <f>+'7.3 PA PY budget_savings'!AO55</f>
        <v>0</v>
      </c>
      <c r="J87" s="775">
        <f>+'7.3 PA PY budget_savings'!AP55</f>
        <v>0</v>
      </c>
      <c r="K87" s="775">
        <f>+'7.3 PA PY budget_savings'!AQ55</f>
        <v>0</v>
      </c>
      <c r="L87" s="775">
        <f>+'7.3 PA PY budget_savings'!AR55</f>
        <v>0</v>
      </c>
      <c r="M87" s="775">
        <f>SUMIF('4.2 Program Budget 2028-2031'!$D:$D,$C87,'4.2 Program Budget 2028-2031'!AK:AK)</f>
        <v>0</v>
      </c>
      <c r="N87" s="775">
        <f>SUMIF('4.2 Program Budget 2028-2031'!$D:$D,$C87,'4.2 Program Budget 2028-2031'!AL:AL)</f>
        <v>0</v>
      </c>
      <c r="O87" s="775">
        <f>SUMIF('4.2 Program Budget 2028-2031'!$D:$D,$C87,'4.2 Program Budget 2028-2031'!AM:AM)</f>
        <v>0</v>
      </c>
      <c r="P87" s="775">
        <f>SUMIF('4.2 Program Budget 2028-2031'!$D:$D,$C87,'4.2 Program Budget 2028-2031'!AN:AN)</f>
        <v>0</v>
      </c>
      <c r="Q87" s="776">
        <f>SUMIF('4.2 Program Budget 2028-2031'!$D:$D,$C87,'4.2 Program Budget 2028-2031'!AO:AO)</f>
        <v>0</v>
      </c>
    </row>
    <row r="88" spans="2:17">
      <c r="B88" s="1411"/>
      <c r="C88" s="777" t="s">
        <v>34</v>
      </c>
      <c r="D88" s="775">
        <f>+'7.3 PA PY budget_savings'!AM56</f>
        <v>605946.25614464772</v>
      </c>
      <c r="E88" s="165" t="s">
        <v>342</v>
      </c>
      <c r="F88" s="157" t="s">
        <v>342</v>
      </c>
      <c r="G88" s="157" t="s">
        <v>342</v>
      </c>
      <c r="H88" s="775">
        <f>+'7.3 PA PY budget_savings'!AN56</f>
        <v>0</v>
      </c>
      <c r="I88" s="775">
        <f>+'7.3 PA PY budget_savings'!AO56</f>
        <v>0</v>
      </c>
      <c r="J88" s="775">
        <f>+'7.3 PA PY budget_savings'!AP56</f>
        <v>0</v>
      </c>
      <c r="K88" s="775">
        <f>+'7.3 PA PY budget_savings'!AQ56</f>
        <v>0</v>
      </c>
      <c r="L88" s="775">
        <f>+'7.3 PA PY budget_savings'!AR56</f>
        <v>0</v>
      </c>
      <c r="M88" s="775">
        <f>SUMIF('4.2 Program Budget 2028-2031'!$D:$D,$C88,'4.2 Program Budget 2028-2031'!AK:AK)</f>
        <v>0</v>
      </c>
      <c r="N88" s="775">
        <f>SUMIF('4.2 Program Budget 2028-2031'!$D:$D,$C88,'4.2 Program Budget 2028-2031'!AL:AL)</f>
        <v>0</v>
      </c>
      <c r="O88" s="775">
        <f>SUMIF('4.2 Program Budget 2028-2031'!$D:$D,$C88,'4.2 Program Budget 2028-2031'!AM:AM)</f>
        <v>0</v>
      </c>
      <c r="P88" s="775">
        <f>SUMIF('4.2 Program Budget 2028-2031'!$D:$D,$C88,'4.2 Program Budget 2028-2031'!AN:AN)</f>
        <v>0</v>
      </c>
      <c r="Q88" s="776">
        <f>SUMIF('4.2 Program Budget 2028-2031'!$D:$D,$C88,'4.2 Program Budget 2028-2031'!AO:AO)</f>
        <v>0</v>
      </c>
    </row>
    <row r="89" spans="2:17">
      <c r="B89" s="1411"/>
      <c r="C89" s="777" t="s">
        <v>36</v>
      </c>
      <c r="D89" s="775">
        <f>+'7.3 PA PY budget_savings'!AM57</f>
        <v>0</v>
      </c>
      <c r="E89" s="165" t="s">
        <v>342</v>
      </c>
      <c r="F89" s="157" t="s">
        <v>342</v>
      </c>
      <c r="G89" s="157" t="s">
        <v>342</v>
      </c>
      <c r="H89" s="775">
        <f>+'7.3 PA PY budget_savings'!AN57</f>
        <v>0</v>
      </c>
      <c r="I89" s="775">
        <f>+'7.3 PA PY budget_savings'!AO57</f>
        <v>0</v>
      </c>
      <c r="J89" s="775">
        <f>+'7.3 PA PY budget_savings'!AP57</f>
        <v>0</v>
      </c>
      <c r="K89" s="775">
        <f>+'7.3 PA PY budget_savings'!AQ57</f>
        <v>0</v>
      </c>
      <c r="L89" s="775">
        <f>+'7.3 PA PY budget_savings'!AR57</f>
        <v>0</v>
      </c>
      <c r="M89" s="775">
        <f>SUMIF('4.2 Program Budget 2028-2031'!$D:$D,$C89,'4.2 Program Budget 2028-2031'!AK:AK)</f>
        <v>0</v>
      </c>
      <c r="N89" s="775">
        <f>SUMIF('4.2 Program Budget 2028-2031'!$D:$D,$C89,'4.2 Program Budget 2028-2031'!AL:AL)</f>
        <v>0</v>
      </c>
      <c r="O89" s="775">
        <f>SUMIF('4.2 Program Budget 2028-2031'!$D:$D,$C89,'4.2 Program Budget 2028-2031'!AM:AM)</f>
        <v>0</v>
      </c>
      <c r="P89" s="775">
        <f>SUMIF('4.2 Program Budget 2028-2031'!$D:$D,$C89,'4.2 Program Budget 2028-2031'!AN:AN)</f>
        <v>0</v>
      </c>
      <c r="Q89" s="776">
        <f>SUMIF('4.2 Program Budget 2028-2031'!$D:$D,$C89,'4.2 Program Budget 2028-2031'!AO:AO)</f>
        <v>0</v>
      </c>
    </row>
    <row r="90" spans="2:17">
      <c r="B90" s="1411"/>
      <c r="C90" s="778" t="s">
        <v>932</v>
      </c>
      <c r="D90" s="775">
        <f>+'7.3 PA PY budget_savings'!AM68</f>
        <v>1606782.7208296156</v>
      </c>
      <c r="E90" s="165">
        <v>155256579</v>
      </c>
      <c r="F90" s="154">
        <v>1.77</v>
      </c>
      <c r="G90" s="154">
        <v>96.63</v>
      </c>
      <c r="H90" s="775" t="str">
        <f>+'7.3 PA PY budget_savings'!AN68</f>
        <v xml:space="preserve">  -    </v>
      </c>
      <c r="I90" s="775" t="str">
        <f>+'7.3 PA PY budget_savings'!AO68</f>
        <v xml:space="preserve">  -    </v>
      </c>
      <c r="J90" s="775">
        <f>+'7.3 PA PY budget_savings'!AP68</f>
        <v>14565298.67</v>
      </c>
      <c r="K90" s="775" t="str">
        <f>+'7.3 PA PY budget_savings'!AQ68</f>
        <v xml:space="preserve">  -    </v>
      </c>
      <c r="L90" s="775">
        <f>+'7.3 PA PY budget_savings'!AR68</f>
        <v>85207</v>
      </c>
      <c r="M90" s="775">
        <f>SUMIF('4.2 Program Budget 2028-2031'!$D:$D,"Codes &amp; Standards",'4.2 Program Budget 2028-2031'!AK:AK)</f>
        <v>0</v>
      </c>
      <c r="N90" s="775">
        <f>SUMIF('4.2 Program Budget 2028-2031'!$D:$D,"Codes &amp; Standards",'4.2 Program Budget 2028-2031'!AL:AL)</f>
        <v>245731283.87</v>
      </c>
      <c r="O90" s="775">
        <f>SUMIF('4.2 Program Budget 2028-2031'!$D:$D,"Codes &amp; Standards",'4.2 Program Budget 2028-2031'!AM:AM)</f>
        <v>0</v>
      </c>
      <c r="P90" s="775">
        <f>SUMIF('4.2 Program Budget 2028-2031'!$D:$D,"Codes &amp; Standards",'4.2 Program Budget 2028-2031'!AN:AN)</f>
        <v>1437528.01</v>
      </c>
      <c r="Q90" s="776">
        <f>SUMIF('4.2 Program Budget 2028-2031'!$D:$D,$C90,'4.2 Program Budget 2028-2031'!AO:AO)</f>
        <v>0</v>
      </c>
    </row>
    <row r="91" spans="2:17" ht="14.65" thickBot="1">
      <c r="B91" s="1411"/>
      <c r="C91" s="779" t="s">
        <v>679</v>
      </c>
      <c r="D91" s="775">
        <f>+'7.3 PA PY budget_savings'!AM61</f>
        <v>6798076.9807608668</v>
      </c>
      <c r="E91" s="164"/>
      <c r="F91" s="156"/>
      <c r="G91" s="156"/>
      <c r="H91" s="780">
        <f>+'7.3 PA PY budget_savings'!D133</f>
        <v>0</v>
      </c>
      <c r="I91" s="780">
        <f>+'7.3 PA PY budget_savings'!E133</f>
        <v>0</v>
      </c>
      <c r="J91" s="780">
        <f>+'7.3 PA PY budget_savings'!F133</f>
        <v>0</v>
      </c>
      <c r="K91" s="780">
        <f>+'7.3 PA PY budget_savings'!G133</f>
        <v>0</v>
      </c>
      <c r="L91" s="780">
        <f>+'7.3 PA PY budget_savings'!H133</f>
        <v>0</v>
      </c>
      <c r="M91" s="780">
        <f>SUMIF('4.1 Program Budget - 2024-2027'!$G:$G,$C91,'4.1 Program Budget - 2024-2027'!AB:AB)</f>
        <v>0</v>
      </c>
      <c r="N91" s="780">
        <f>SUMIF('4.1 Program Budget - 2024-2027'!$G:$G,$C91,'4.1 Program Budget - 2024-2027'!AC:AC)</f>
        <v>0</v>
      </c>
      <c r="O91" s="780">
        <f>SUMIF('4.1 Program Budget - 2024-2027'!$G:$G,$C91,'4.1 Program Budget - 2024-2027'!AD:AD)</f>
        <v>0</v>
      </c>
      <c r="P91" s="780">
        <f>SUMIF('4.1 Program Budget - 2024-2027'!$G:$G,$C91,'4.1 Program Budget - 2024-2027'!AE:AE)</f>
        <v>0</v>
      </c>
      <c r="Q91" s="781">
        <f>SUMIF('4.1 Program Budget - 2024-2027'!$G:$G,$C91,'4.1 Program Budget - 2024-2027'!AF:AF)</f>
        <v>0</v>
      </c>
    </row>
    <row r="92" spans="2:17" ht="14.65" thickBot="1">
      <c r="B92" s="1407"/>
      <c r="C92" s="80" t="s">
        <v>925</v>
      </c>
      <c r="D92" s="83">
        <f>SUBTOTAL(9,D81:D91)</f>
        <v>169951924.51902169</v>
      </c>
      <c r="E92" s="77">
        <f t="shared" ref="E92" si="33">SUBTOTAL(9,E81:E91)</f>
        <v>368071296</v>
      </c>
      <c r="F92" s="158">
        <v>1.3</v>
      </c>
      <c r="G92" s="152">
        <v>2.33</v>
      </c>
      <c r="H92" s="83">
        <f t="shared" ref="H92" si="34">SUBTOTAL(9,H81:H91)</f>
        <v>24989094.960000001</v>
      </c>
      <c r="I92" s="83">
        <f t="shared" ref="I92" si="35">SUBTOTAL(9,I81:I91)</f>
        <v>5882.9400000000005</v>
      </c>
      <c r="J92" s="83">
        <f t="shared" ref="J92:K92" si="36">SUBTOTAL(9,J81:J91)</f>
        <v>46971131.229999997</v>
      </c>
      <c r="K92" s="83">
        <f t="shared" si="36"/>
        <v>5022.72</v>
      </c>
      <c r="L92" s="83">
        <f t="shared" ref="L92:P92" si="37">SUBTOTAL(9,L81:L91)</f>
        <v>274780.83999999997</v>
      </c>
      <c r="M92" s="83">
        <f t="shared" si="37"/>
        <v>233537799.75999999</v>
      </c>
      <c r="N92" s="83">
        <f t="shared" si="37"/>
        <v>436592686.12</v>
      </c>
      <c r="O92" s="83">
        <f t="shared" si="37"/>
        <v>56754.84</v>
      </c>
      <c r="P92" s="83">
        <f t="shared" si="37"/>
        <v>2554068.1500000004</v>
      </c>
      <c r="Q92" s="90">
        <f t="shared" ref="Q92" si="38">SUBTOTAL(9,Q81:Q91)</f>
        <v>0</v>
      </c>
    </row>
    <row r="93" spans="2:17">
      <c r="B93" s="1410">
        <v>2031</v>
      </c>
      <c r="C93" s="774" t="s">
        <v>17</v>
      </c>
      <c r="D93" s="775">
        <f>+'7.3 PA PY budget_savings'!AS49</f>
        <v>70751886.915003598</v>
      </c>
      <c r="E93" s="165">
        <v>75718776</v>
      </c>
      <c r="F93" s="154">
        <v>0.79</v>
      </c>
      <c r="G93" s="154">
        <v>1.01</v>
      </c>
      <c r="H93" s="775">
        <f>+'7.3 PA PY budget_savings'!AT49</f>
        <v>6059734.29</v>
      </c>
      <c r="I93" s="775">
        <f>+'7.3 PA PY budget_savings'!AU49</f>
        <v>1342.71</v>
      </c>
      <c r="J93" s="775">
        <f>+'7.3 PA PY budget_savings'!AV49</f>
        <v>17817874.239999998</v>
      </c>
      <c r="K93" s="775">
        <f>+'7.3 PA PY budget_savings'!AW49</f>
        <v>1655.71</v>
      </c>
      <c r="L93" s="775">
        <f>+'7.3 PA PY budget_savings'!AX49</f>
        <v>104234.64</v>
      </c>
      <c r="M93" s="775">
        <f>SUMIF('4.2 Program Budget 2028-2031'!$D:$D,$C93,'4.2 Program Budget 2028-2031'!AV:AV)</f>
        <v>68553599.299999997</v>
      </c>
      <c r="N93" s="775">
        <f>SUMIF('4.2 Program Budget 2028-2031'!$D:$D,$C93,'4.2 Program Budget 2028-2031'!AW:AW)</f>
        <v>62808593.030000001</v>
      </c>
      <c r="O93" s="775">
        <f>SUMIF('4.2 Program Budget 2028-2031'!$D:$D,$C93,'4.2 Program Budget 2028-2031'!AX:AX)</f>
        <v>24579.39</v>
      </c>
      <c r="P93" s="775">
        <f>SUMIF('4.2 Program Budget 2028-2031'!$D:$D,$C93,'4.2 Program Budget 2028-2031'!AY:AY)</f>
        <v>367430.23</v>
      </c>
      <c r="Q93" s="776">
        <f>SUMIF('4.2 Program Budget 2028-2031'!$D:$D,$C93,'4.2 Program Budget 2028-2031'!AZ:AZ)</f>
        <v>0</v>
      </c>
    </row>
    <row r="94" spans="2:17">
      <c r="B94" s="1411"/>
      <c r="C94" s="777" t="s">
        <v>22</v>
      </c>
      <c r="D94" s="775">
        <f>+'7.3 PA PY budget_savings'!AS50</f>
        <v>41296440.306293093</v>
      </c>
      <c r="E94" s="165">
        <v>68335451</v>
      </c>
      <c r="F94" s="154">
        <v>1.51</v>
      </c>
      <c r="G94" s="155">
        <v>1.8</v>
      </c>
      <c r="H94" s="775">
        <f>+'7.3 PA PY budget_savings'!AT50</f>
        <v>16466651</v>
      </c>
      <c r="I94" s="775">
        <f>+'7.3 PA PY budget_savings'!AU50</f>
        <v>3765</v>
      </c>
      <c r="J94" s="775">
        <f>+'7.3 PA PY budget_savings'!AV50</f>
        <v>7077640</v>
      </c>
      <c r="K94" s="775">
        <f>+'7.3 PA PY budget_savings'!AW50</f>
        <v>3248</v>
      </c>
      <c r="L94" s="775">
        <f>+'7.3 PA PY budget_savings'!AX50</f>
        <v>41405</v>
      </c>
      <c r="M94" s="775">
        <f>SUMIF('4.2 Program Budget 2028-2031'!$D:$D,$C94,'4.2 Program Budget 2028-2031'!AV:AV)</f>
        <v>133493386</v>
      </c>
      <c r="N94" s="775">
        <f>SUMIF('4.2 Program Budget 2028-2031'!$D:$D,$C94,'4.2 Program Budget 2028-2031'!AW:AW)</f>
        <v>55967462</v>
      </c>
      <c r="O94" s="775">
        <f>SUMIF('4.2 Program Budget 2028-2031'!$D:$D,$C94,'4.2 Program Budget 2028-2031'!AX:AX)</f>
        <v>27382</v>
      </c>
      <c r="P94" s="775">
        <f>SUMIF('4.2 Program Budget 2028-2031'!$D:$D,$C94,'4.2 Program Budget 2028-2031'!AY:AY)</f>
        <v>327410</v>
      </c>
      <c r="Q94" s="776">
        <f>SUMIF('4.2 Program Budget 2028-2031'!$D:$D,$C94,'4.2 Program Budget 2028-2031'!AZ:AZ)</f>
        <v>0</v>
      </c>
    </row>
    <row r="95" spans="2:17">
      <c r="B95" s="1411"/>
      <c r="C95" s="777" t="s">
        <v>25</v>
      </c>
      <c r="D95" s="775">
        <f>+'7.3 PA PY budget_savings'!AS51</f>
        <v>21499511.55964623</v>
      </c>
      <c r="E95" s="165">
        <v>55073408</v>
      </c>
      <c r="F95" s="155">
        <v>1.5</v>
      </c>
      <c r="G95" s="155">
        <v>1.8</v>
      </c>
      <c r="H95" s="775">
        <f>+'7.3 PA PY budget_savings'!AT51</f>
        <v>634113</v>
      </c>
      <c r="I95" s="775">
        <f>+'7.3 PA PY budget_savings'!AU51</f>
        <v>98</v>
      </c>
      <c r="J95" s="775">
        <f>+'7.3 PA PY budget_savings'!AV51</f>
        <v>5356259</v>
      </c>
      <c r="K95" s="775">
        <f>+'7.3 PA PY budget_savings'!AW51</f>
        <v>91</v>
      </c>
      <c r="L95" s="775">
        <f>+'7.3 PA PY budget_savings'!AX51</f>
        <v>31334</v>
      </c>
      <c r="M95" s="775">
        <f>SUMIF('4.2 Program Budget 2028-2031'!$D:$D,$C95,'4.2 Program Budget 2028-2031'!AV:AV)</f>
        <v>9506960</v>
      </c>
      <c r="N95" s="775">
        <f>SUMIF('4.2 Program Budget 2028-2031'!$D:$D,$C95,'4.2 Program Budget 2028-2031'!AW:AW)</f>
        <v>51316005</v>
      </c>
      <c r="O95" s="775">
        <f>SUMIF('4.2 Program Budget 2028-2031'!$D:$D,$C95,'4.2 Program Budget 2028-2031'!AX:AX)</f>
        <v>1758</v>
      </c>
      <c r="P95" s="775">
        <f>SUMIF('4.2 Program Budget 2028-2031'!$D:$D,$C95,'4.2 Program Budget 2028-2031'!AY:AY)</f>
        <v>300199</v>
      </c>
      <c r="Q95" s="776">
        <f>SUMIF('4.2 Program Budget 2028-2031'!$D:$D,$C95,'4.2 Program Budget 2028-2031'!AZ:AZ)</f>
        <v>0</v>
      </c>
    </row>
    <row r="96" spans="2:17">
      <c r="B96" s="1411"/>
      <c r="C96" s="777" t="s">
        <v>27</v>
      </c>
      <c r="D96" s="775">
        <f>+'7.3 PA PY budget_savings'!AS52</f>
        <v>6373644.6801868556</v>
      </c>
      <c r="E96" s="165">
        <v>7975990</v>
      </c>
      <c r="F96" s="154">
        <v>1.27</v>
      </c>
      <c r="G96" s="154">
        <v>1.55</v>
      </c>
      <c r="H96" s="775">
        <f>+'7.3 PA PY budget_savings'!AT52</f>
        <v>153084</v>
      </c>
      <c r="I96" s="775">
        <f>+'7.3 PA PY budget_savings'!AU52</f>
        <v>36</v>
      </c>
      <c r="J96" s="775">
        <f>+'7.3 PA PY budget_savings'!AV52</f>
        <v>669192</v>
      </c>
      <c r="K96" s="775">
        <f>+'7.3 PA PY budget_savings'!AW52</f>
        <v>20</v>
      </c>
      <c r="L96" s="775">
        <f>+'7.3 PA PY budget_savings'!AX52</f>
        <v>3915</v>
      </c>
      <c r="M96" s="775">
        <f>SUMIF('4.2 Program Budget 2028-2031'!$D:$D,$C96,'4.2 Program Budget 2028-2031'!AV:AV)</f>
        <v>2176463</v>
      </c>
      <c r="N96" s="775">
        <f>SUMIF('4.2 Program Budget 2028-2031'!$D:$D,$C96,'4.2 Program Budget 2028-2031'!AW:AW)</f>
        <v>7561179</v>
      </c>
      <c r="O96" s="775">
        <f>SUMIF('4.2 Program Budget 2028-2031'!$D:$D,$C96,'4.2 Program Budget 2028-2031'!AX:AX)</f>
        <v>383</v>
      </c>
      <c r="P96" s="775">
        <f>SUMIF('4.2 Program Budget 2028-2031'!$D:$D,$C96,'4.2 Program Budget 2028-2031'!AY:AY)</f>
        <v>44233</v>
      </c>
      <c r="Q96" s="776">
        <f>SUMIF('4.2 Program Budget 2028-2031'!$D:$D,$C96,'4.2 Program Budget 2028-2031'!AZ:AZ)</f>
        <v>0</v>
      </c>
    </row>
    <row r="97" spans="2:17">
      <c r="B97" s="1411"/>
      <c r="C97" s="777" t="s">
        <v>29</v>
      </c>
      <c r="D97" s="775">
        <f>+'7.3 PA PY budget_savings'!AS53</f>
        <v>1895724.3384956643</v>
      </c>
      <c r="E97" s="165" t="s">
        <v>342</v>
      </c>
      <c r="F97" s="157" t="s">
        <v>342</v>
      </c>
      <c r="G97" s="157" t="s">
        <v>342</v>
      </c>
      <c r="H97" s="775">
        <f>+'7.3 PA PY budget_savings'!AT53</f>
        <v>0</v>
      </c>
      <c r="I97" s="775">
        <f>+'7.3 PA PY budget_savings'!AU53</f>
        <v>0</v>
      </c>
      <c r="J97" s="775">
        <f>+'7.3 PA PY budget_savings'!AV53</f>
        <v>0</v>
      </c>
      <c r="K97" s="775">
        <f>+'7.3 PA PY budget_savings'!AW53</f>
        <v>0</v>
      </c>
      <c r="L97" s="775">
        <f>+'7.3 PA PY budget_savings'!AX53</f>
        <v>0</v>
      </c>
      <c r="M97" s="775">
        <f>SUMIF('4.2 Program Budget 2028-2031'!$D:$D,$C97,'4.2 Program Budget 2028-2031'!AV:AV)</f>
        <v>0</v>
      </c>
      <c r="N97" s="775">
        <f>SUMIF('4.2 Program Budget 2028-2031'!$D:$D,$C97,'4.2 Program Budget 2028-2031'!AW:AW)</f>
        <v>0</v>
      </c>
      <c r="O97" s="775">
        <f>SUMIF('4.2 Program Budget 2028-2031'!$D:$D,$C97,'4.2 Program Budget 2028-2031'!AX:AX)</f>
        <v>0</v>
      </c>
      <c r="P97" s="775">
        <f>SUMIF('4.2 Program Budget 2028-2031'!$D:$D,$C97,'4.2 Program Budget 2028-2031'!AY:AY)</f>
        <v>0</v>
      </c>
      <c r="Q97" s="776">
        <f>SUMIF('4.2 Program Budget 2028-2031'!$D:$D,$C97,'4.2 Program Budget 2028-2031'!AZ:AZ)</f>
        <v>0</v>
      </c>
    </row>
    <row r="98" spans="2:17">
      <c r="B98" s="1411"/>
      <c r="C98" s="777" t="s">
        <v>30</v>
      </c>
      <c r="D98" s="775">
        <f>+'7.3 PA PY budget_savings'!AS54</f>
        <v>14359102.78310157</v>
      </c>
      <c r="E98" s="165">
        <v>22023050</v>
      </c>
      <c r="F98" s="154">
        <v>1.34</v>
      </c>
      <c r="G98" s="154">
        <v>1.74</v>
      </c>
      <c r="H98" s="775">
        <f>+'7.3 PA PY budget_savings'!AT54</f>
        <v>2137746</v>
      </c>
      <c r="I98" s="775">
        <f>+'7.3 PA PY budget_savings'!AU54</f>
        <v>743</v>
      </c>
      <c r="J98" s="775">
        <f>+'7.3 PA PY budget_savings'!AV54</f>
        <v>2487413</v>
      </c>
      <c r="K98" s="775">
        <f>+'7.3 PA PY budget_savings'!AW54</f>
        <v>350</v>
      </c>
      <c r="L98" s="775">
        <f>+'7.3 PA PY budget_savings'!AX54</f>
        <v>14551</v>
      </c>
      <c r="M98" s="775">
        <f>SUMIF('4.2 Program Budget 2028-2031'!$D:$D,$C98,'4.2 Program Budget 2028-2031'!AV:AV)</f>
        <v>22990161</v>
      </c>
      <c r="N98" s="775">
        <f>SUMIF('4.2 Program Budget 2028-2031'!$D:$D,$C98,'4.2 Program Budget 2028-2031'!AW:AW)</f>
        <v>18812292</v>
      </c>
      <c r="O98" s="775">
        <f>SUMIF('4.2 Program Budget 2028-2031'!$D:$D,$C98,'4.2 Program Budget 2028-2031'!AX:AX)</f>
        <v>4619</v>
      </c>
      <c r="P98" s="775">
        <f>SUMIF('4.2 Program Budget 2028-2031'!$D:$D,$C98,'4.2 Program Budget 2028-2031'!AY:AY)</f>
        <v>110052</v>
      </c>
      <c r="Q98" s="776">
        <f>SUMIF('4.2 Program Budget 2028-2031'!$D:$D,$C98,'4.2 Program Budget 2028-2031'!AZ:AZ)</f>
        <v>0</v>
      </c>
    </row>
    <row r="99" spans="2:17">
      <c r="B99" s="1411"/>
      <c r="C99" s="777" t="s">
        <v>32</v>
      </c>
      <c r="D99" s="775">
        <f>+'7.3 PA PY budget_savings'!AS55</f>
        <v>9914923.7725207582</v>
      </c>
      <c r="E99" s="165" t="s">
        <v>342</v>
      </c>
      <c r="F99" s="157" t="s">
        <v>342</v>
      </c>
      <c r="G99" s="157" t="s">
        <v>342</v>
      </c>
      <c r="H99" s="775">
        <f>+'7.3 PA PY budget_savings'!AT55</f>
        <v>0</v>
      </c>
      <c r="I99" s="775">
        <f>+'7.3 PA PY budget_savings'!AU55</f>
        <v>0</v>
      </c>
      <c r="J99" s="775">
        <f>+'7.3 PA PY budget_savings'!AV55</f>
        <v>0</v>
      </c>
      <c r="K99" s="775">
        <f>+'7.3 PA PY budget_savings'!AW55</f>
        <v>0</v>
      </c>
      <c r="L99" s="775">
        <f>+'7.3 PA PY budget_savings'!AX55</f>
        <v>0</v>
      </c>
      <c r="M99" s="775">
        <f>SUMIF('4.2 Program Budget 2028-2031'!$D:$D,$C99,'4.2 Program Budget 2028-2031'!AV:AV)</f>
        <v>0</v>
      </c>
      <c r="N99" s="775">
        <f>SUMIF('4.2 Program Budget 2028-2031'!$D:$D,$C99,'4.2 Program Budget 2028-2031'!AW:AW)</f>
        <v>0</v>
      </c>
      <c r="O99" s="775">
        <f>SUMIF('4.2 Program Budget 2028-2031'!$D:$D,$C99,'4.2 Program Budget 2028-2031'!AX:AX)</f>
        <v>0</v>
      </c>
      <c r="P99" s="775">
        <f>SUMIF('4.2 Program Budget 2028-2031'!$D:$D,$C99,'4.2 Program Budget 2028-2031'!AY:AY)</f>
        <v>0</v>
      </c>
      <c r="Q99" s="776">
        <f>SUMIF('4.2 Program Budget 2028-2031'!$D:$D,$C99,'4.2 Program Budget 2028-2031'!AZ:AZ)</f>
        <v>0</v>
      </c>
    </row>
    <row r="100" spans="2:17">
      <c r="B100" s="1411"/>
      <c r="C100" s="777" t="s">
        <v>34</v>
      </c>
      <c r="D100" s="775">
        <f>+'7.3 PA PY budget_savings'!AS56</f>
        <v>625336.53634127649</v>
      </c>
      <c r="E100" s="165" t="s">
        <v>342</v>
      </c>
      <c r="F100" s="157" t="s">
        <v>342</v>
      </c>
      <c r="G100" s="157" t="s">
        <v>342</v>
      </c>
      <c r="H100" s="775">
        <f>+'7.3 PA PY budget_savings'!AT56</f>
        <v>0</v>
      </c>
      <c r="I100" s="775">
        <f>+'7.3 PA PY budget_savings'!AU56</f>
        <v>0</v>
      </c>
      <c r="J100" s="775">
        <f>+'7.3 PA PY budget_savings'!AV56</f>
        <v>0</v>
      </c>
      <c r="K100" s="775">
        <f>+'7.3 PA PY budget_savings'!AW56</f>
        <v>0</v>
      </c>
      <c r="L100" s="775">
        <f>+'7.3 PA PY budget_savings'!AX56</f>
        <v>0</v>
      </c>
      <c r="M100" s="775">
        <f>SUMIF('4.2 Program Budget 2028-2031'!$D:$D,$C100,'4.2 Program Budget 2028-2031'!AV:AV)</f>
        <v>0</v>
      </c>
      <c r="N100" s="775">
        <f>SUMIF('4.2 Program Budget 2028-2031'!$D:$D,$C100,'4.2 Program Budget 2028-2031'!AW:AW)</f>
        <v>0</v>
      </c>
      <c r="O100" s="775">
        <f>SUMIF('4.2 Program Budget 2028-2031'!$D:$D,$C100,'4.2 Program Budget 2028-2031'!AX:AX)</f>
        <v>0</v>
      </c>
      <c r="P100" s="775">
        <f>SUMIF('4.2 Program Budget 2028-2031'!$D:$D,$C100,'4.2 Program Budget 2028-2031'!AY:AY)</f>
        <v>0</v>
      </c>
      <c r="Q100" s="776">
        <f>SUMIF('4.2 Program Budget 2028-2031'!$D:$D,$C100,'4.2 Program Budget 2028-2031'!AZ:AZ)</f>
        <v>0</v>
      </c>
    </row>
    <row r="101" spans="2:17">
      <c r="B101" s="1411"/>
      <c r="C101" s="777" t="s">
        <v>36</v>
      </c>
      <c r="D101" s="775">
        <f>+'7.3 PA PY budget_savings'!AS57</f>
        <v>0</v>
      </c>
      <c r="E101" s="165" t="s">
        <v>342</v>
      </c>
      <c r="F101" s="157" t="s">
        <v>342</v>
      </c>
      <c r="G101" s="157" t="s">
        <v>342</v>
      </c>
      <c r="H101" s="775">
        <f>+'7.3 PA PY budget_savings'!AT57</f>
        <v>0</v>
      </c>
      <c r="I101" s="775">
        <f>+'7.3 PA PY budget_savings'!AU57</f>
        <v>0</v>
      </c>
      <c r="J101" s="775">
        <f>+'7.3 PA PY budget_savings'!AV57</f>
        <v>0</v>
      </c>
      <c r="K101" s="775">
        <f>+'7.3 PA PY budget_savings'!AW57</f>
        <v>0</v>
      </c>
      <c r="L101" s="775">
        <f>+'7.3 PA PY budget_savings'!AX57</f>
        <v>0</v>
      </c>
      <c r="M101" s="775">
        <f>SUMIF('4.2 Program Budget 2028-2031'!$D:$D,$C101,'4.2 Program Budget 2028-2031'!AV:AV)</f>
        <v>0</v>
      </c>
      <c r="N101" s="775">
        <f>SUMIF('4.2 Program Budget 2028-2031'!$D:$D,$C101,'4.2 Program Budget 2028-2031'!AW:AW)</f>
        <v>0</v>
      </c>
      <c r="O101" s="775">
        <f>SUMIF('4.2 Program Budget 2028-2031'!$D:$D,$C101,'4.2 Program Budget 2028-2031'!AX:AX)</f>
        <v>0</v>
      </c>
      <c r="P101" s="775">
        <f>SUMIF('4.2 Program Budget 2028-2031'!$D:$D,$C101,'4.2 Program Budget 2028-2031'!AY:AY)</f>
        <v>0</v>
      </c>
      <c r="Q101" s="776">
        <f>SUMIF('4.2 Program Budget 2028-2031'!$D:$D,$C101,'4.2 Program Budget 2028-2031'!AZ:AZ)</f>
        <v>0</v>
      </c>
    </row>
    <row r="102" spans="2:17">
      <c r="B102" s="1411"/>
      <c r="C102" s="778" t="s">
        <v>932</v>
      </c>
      <c r="D102" s="775">
        <f>+'7.3 PA PY budget_savings'!AS68</f>
        <v>1658199.7678961633</v>
      </c>
      <c r="E102" s="165">
        <v>163253879</v>
      </c>
      <c r="F102" s="154">
        <v>1.86</v>
      </c>
      <c r="G102" s="154">
        <v>98.45</v>
      </c>
      <c r="H102" s="775" t="str">
        <f>+'7.3 PA PY budget_savings'!AT68</f>
        <v xml:space="preserve">  -    </v>
      </c>
      <c r="I102" s="775" t="str">
        <f>+'7.3 PA PY budget_savings'!AU68</f>
        <v xml:space="preserve">  -    </v>
      </c>
      <c r="J102" s="775">
        <f>+'7.3 PA PY budget_savings'!AV68</f>
        <v>14565298.67</v>
      </c>
      <c r="K102" s="775" t="str">
        <f>+'7.3 PA PY budget_savings'!AW68</f>
        <v xml:space="preserve">  -    </v>
      </c>
      <c r="L102" s="775">
        <f>+'7.3 PA PY budget_savings'!AX68</f>
        <v>85207</v>
      </c>
      <c r="M102" s="775">
        <f>SUMIF('4.2 Program Budget 2028-2031'!$D:$D,"Codes &amp; Standards",'4.2 Program Budget 2028-2031'!AV:AV)</f>
        <v>0</v>
      </c>
      <c r="N102" s="775">
        <f>SUMIF('4.2 Program Budget 2028-2031'!$D:$D,"Codes &amp; Standards",'4.2 Program Budget 2028-2031'!AW:AW)</f>
        <v>245731283.87</v>
      </c>
      <c r="O102" s="775">
        <f>SUMIF('4.2 Program Budget 2028-2031'!$D:$D,"Codes &amp; Standards",'4.2 Program Budget 2028-2031'!AX:AX)</f>
        <v>0</v>
      </c>
      <c r="P102" s="775">
        <f>SUMIF('4.2 Program Budget 2028-2031'!$D:$D,"Codes &amp; Standards",'4.2 Program Budget 2028-2031'!AY:AY)</f>
        <v>1437528.01</v>
      </c>
      <c r="Q102" s="776">
        <f>SUMIF('4.2 Program Budget 2028-2031'!$D:$D,$C102,'4.2 Program Budget 2028-2031'!AZ:AZ)</f>
        <v>0</v>
      </c>
    </row>
    <row r="103" spans="2:17" ht="14.65" thickBot="1">
      <c r="B103" s="1411"/>
      <c r="C103" s="779" t="s">
        <v>679</v>
      </c>
      <c r="D103" s="775">
        <f>+'7.3 PA PY budget_savings'!AS61</f>
        <v>7015615.4441452175</v>
      </c>
      <c r="E103" s="164"/>
      <c r="F103" s="156"/>
      <c r="G103" s="156"/>
      <c r="H103" s="780">
        <f>+'7.3 PA PY budget_savings'!D145</f>
        <v>0</v>
      </c>
      <c r="I103" s="780">
        <f>+'7.3 PA PY budget_savings'!E145</f>
        <v>0</v>
      </c>
      <c r="J103" s="780">
        <f>+'7.3 PA PY budget_savings'!F145</f>
        <v>0</v>
      </c>
      <c r="K103" s="780">
        <f>+'7.3 PA PY budget_savings'!G145</f>
        <v>0</v>
      </c>
      <c r="L103" s="780">
        <f>+'7.3 PA PY budget_savings'!H145</f>
        <v>0</v>
      </c>
      <c r="M103" s="780">
        <f>SUMIF('4.1 Program Budget - 2024-2027'!$G:$G,$C103,'4.1 Program Budget - 2024-2027'!AB:AB)</f>
        <v>0</v>
      </c>
      <c r="N103" s="780">
        <f>SUMIF('4.1 Program Budget - 2024-2027'!$G:$G,$C103,'4.1 Program Budget - 2024-2027'!AC:AC)</f>
        <v>0</v>
      </c>
      <c r="O103" s="780">
        <f>SUMIF('4.1 Program Budget - 2024-2027'!$G:$G,$C103,'4.1 Program Budget - 2024-2027'!AD:AD)</f>
        <v>0</v>
      </c>
      <c r="P103" s="780">
        <f>SUMIF('4.1 Program Budget - 2024-2027'!$G:$G,$C103,'4.1 Program Budget - 2024-2027'!AE:AE)</f>
        <v>0</v>
      </c>
      <c r="Q103" s="781">
        <f>SUMIF('4.1 Program Budget - 2024-2027'!$G:$G,$C103,'4.1 Program Budget - 2024-2027'!AF:AF)</f>
        <v>0</v>
      </c>
    </row>
    <row r="104" spans="2:17" ht="17.100000000000001" customHeight="1" thickBot="1">
      <c r="B104" s="1407"/>
      <c r="C104" s="80" t="s">
        <v>925</v>
      </c>
      <c r="D104" s="83">
        <f>SUBTOTAL(9,D93:D103)</f>
        <v>175390386.10363042</v>
      </c>
      <c r="E104" s="77">
        <f t="shared" ref="E104" si="39">SUBTOTAL(9,E93:E103)</f>
        <v>392380554</v>
      </c>
      <c r="F104" s="152">
        <v>1.36</v>
      </c>
      <c r="G104" s="152">
        <v>2.41</v>
      </c>
      <c r="H104" s="83">
        <f t="shared" ref="H104" si="40">SUBTOTAL(9,H93:H103)</f>
        <v>25451328.289999999</v>
      </c>
      <c r="I104" s="83">
        <f t="shared" ref="I104" si="41">SUBTOTAL(9,I93:I103)</f>
        <v>5984.71</v>
      </c>
      <c r="J104" s="83">
        <f t="shared" ref="J104:K104" si="42">SUBTOTAL(9,J93:J103)</f>
        <v>47973676.909999996</v>
      </c>
      <c r="K104" s="83">
        <f t="shared" si="42"/>
        <v>5364.71</v>
      </c>
      <c r="L104" s="83">
        <f t="shared" ref="L104:P104" si="43">SUBTOTAL(9,L93:L103)</f>
        <v>280646.64</v>
      </c>
      <c r="M104" s="83">
        <f t="shared" si="43"/>
        <v>236720569.30000001</v>
      </c>
      <c r="N104" s="83">
        <f t="shared" si="43"/>
        <v>442196814.89999998</v>
      </c>
      <c r="O104" s="83">
        <f t="shared" si="43"/>
        <v>58721.39</v>
      </c>
      <c r="P104" s="83">
        <f t="shared" si="43"/>
        <v>2586852.2400000002</v>
      </c>
      <c r="Q104" s="90">
        <f t="shared" ref="Q104" si="44">SUBTOTAL(9,Q93:Q103)</f>
        <v>0</v>
      </c>
    </row>
    <row r="105" spans="2:17" ht="14.65" thickBot="1">
      <c r="B105" s="71" t="s">
        <v>926</v>
      </c>
      <c r="C105" s="81"/>
      <c r="D105" s="83">
        <f>SUBTOTAL(9,D9:D104)</f>
        <v>1281304086.64224</v>
      </c>
      <c r="E105" s="77">
        <f t="shared" ref="E105:J105" si="45">SUBTOTAL(9,E9:E104)</f>
        <v>2646121687</v>
      </c>
      <c r="F105" s="152">
        <v>1.1399999999999999</v>
      </c>
      <c r="G105" s="152">
        <v>1.99</v>
      </c>
      <c r="H105" s="83">
        <f t="shared" si="45"/>
        <v>151656192.39096999</v>
      </c>
      <c r="I105" s="83">
        <f t="shared" si="45"/>
        <v>35043.609233809999</v>
      </c>
      <c r="J105" s="83">
        <f t="shared" si="45"/>
        <v>382538953.68209004</v>
      </c>
      <c r="K105" s="83">
        <f t="shared" ref="K105:L105" si="46">SUBTOTAL(9,K9:K104)</f>
        <v>40054.842735759004</v>
      </c>
      <c r="L105" s="83">
        <f t="shared" si="46"/>
        <v>2244431.4481127001</v>
      </c>
      <c r="M105" s="83">
        <f t="shared" ref="M105:P105" si="47">SUBTOTAL(9,M9:M104)</f>
        <v>1290278077.8995998</v>
      </c>
      <c r="N105" s="83">
        <f t="shared" si="47"/>
        <v>3677056210.9516001</v>
      </c>
      <c r="O105" s="83">
        <f t="shared" si="47"/>
        <v>328895.17676933802</v>
      </c>
      <c r="P105" s="83">
        <f t="shared" si="47"/>
        <v>21602742.303103004</v>
      </c>
      <c r="Q105" s="90">
        <f t="shared" ref="Q105" si="48">SUBTOTAL(9,Q9:Q104)</f>
        <v>0</v>
      </c>
    </row>
    <row r="106" spans="2:17">
      <c r="E106" s="733"/>
      <c r="F106" s="783"/>
      <c r="G106" s="783"/>
    </row>
    <row r="107" spans="2:17" ht="15.6" customHeight="1">
      <c r="B107" s="1403" t="s">
        <v>927</v>
      </c>
      <c r="C107" s="778" t="s">
        <v>17</v>
      </c>
      <c r="D107" s="784">
        <f>D9+D21+D33+D45</f>
        <v>245775884.08215523</v>
      </c>
      <c r="E107" s="785">
        <v>205118637</v>
      </c>
      <c r="F107" s="786">
        <v>0.61</v>
      </c>
      <c r="G107" s="786">
        <v>0.79</v>
      </c>
      <c r="H107" s="784">
        <f t="shared" ref="H107:Q107" si="49">H9+H21+H33+H45</f>
        <v>7539682.338870001</v>
      </c>
      <c r="I107" s="784">
        <f t="shared" si="49"/>
        <v>2457.9136338100002</v>
      </c>
      <c r="J107" s="784">
        <f t="shared" si="49"/>
        <v>58735244.721769996</v>
      </c>
      <c r="K107" s="784">
        <f t="shared" si="49"/>
        <v>2570.299792582</v>
      </c>
      <c r="L107" s="784">
        <f t="shared" si="49"/>
        <v>349421.593437</v>
      </c>
      <c r="M107" s="784">
        <f t="shared" si="49"/>
        <v>84184019.145200014</v>
      </c>
      <c r="N107" s="784">
        <f t="shared" si="49"/>
        <v>198041645.40610003</v>
      </c>
      <c r="O107" s="784">
        <f t="shared" si="49"/>
        <v>43177.04992469</v>
      </c>
      <c r="P107" s="784">
        <f t="shared" si="49"/>
        <v>1242969.8237090001</v>
      </c>
      <c r="Q107" s="784">
        <f t="shared" si="49"/>
        <v>0</v>
      </c>
    </row>
    <row r="108" spans="2:17">
      <c r="B108" s="1403"/>
      <c r="C108" s="778" t="s">
        <v>22</v>
      </c>
      <c r="D108" s="784">
        <f t="shared" ref="D108:Q117" si="50">D10+D22+D34+D46</f>
        <v>144111680.61248532</v>
      </c>
      <c r="E108" s="785">
        <v>192528696</v>
      </c>
      <c r="F108" s="786">
        <v>1.18</v>
      </c>
      <c r="G108" s="786">
        <v>1.42</v>
      </c>
      <c r="H108" s="784">
        <f t="shared" si="50"/>
        <v>44845761.525299996</v>
      </c>
      <c r="I108" s="784">
        <f t="shared" si="50"/>
        <v>9249.3055999999997</v>
      </c>
      <c r="J108" s="784">
        <f t="shared" si="50"/>
        <v>27977476.898419999</v>
      </c>
      <c r="K108" s="784">
        <f t="shared" si="50"/>
        <v>11540.355119937001</v>
      </c>
      <c r="L108" s="784">
        <f t="shared" si="50"/>
        <v>164422.12584569998</v>
      </c>
      <c r="M108" s="784">
        <f t="shared" si="50"/>
        <v>275840824.16949999</v>
      </c>
      <c r="N108" s="784">
        <f t="shared" si="50"/>
        <v>245435612.78549999</v>
      </c>
      <c r="O108" s="784">
        <f t="shared" si="50"/>
        <v>61973.832369870004</v>
      </c>
      <c r="P108" s="784">
        <f t="shared" si="50"/>
        <v>1443333.795474</v>
      </c>
      <c r="Q108" s="784">
        <f t="shared" si="50"/>
        <v>0</v>
      </c>
    </row>
    <row r="109" spans="2:17">
      <c r="B109" s="1403"/>
      <c r="C109" s="778" t="s">
        <v>25</v>
      </c>
      <c r="D109" s="784">
        <f t="shared" si="50"/>
        <v>76605101.98755917</v>
      </c>
      <c r="E109" s="785">
        <v>153486901</v>
      </c>
      <c r="F109" s="786">
        <v>1.1599999999999999</v>
      </c>
      <c r="G109" s="786">
        <v>1.41</v>
      </c>
      <c r="H109" s="784">
        <f t="shared" si="50"/>
        <v>7626.7800000000007</v>
      </c>
      <c r="I109" s="784">
        <f t="shared" si="50"/>
        <v>0.12000000000000001</v>
      </c>
      <c r="J109" s="784">
        <f t="shared" si="50"/>
        <v>19789875.670899998</v>
      </c>
      <c r="K109" s="784">
        <f t="shared" si="50"/>
        <v>1.0181694619999999</v>
      </c>
      <c r="L109" s="784">
        <f t="shared" si="50"/>
        <v>115772.05000000002</v>
      </c>
      <c r="M109" s="784">
        <f t="shared" si="50"/>
        <v>103279.40000000001</v>
      </c>
      <c r="N109" s="784">
        <f t="shared" si="50"/>
        <v>195054284.63</v>
      </c>
      <c r="O109" s="784">
        <f t="shared" si="50"/>
        <v>51.73</v>
      </c>
      <c r="P109" s="784">
        <f t="shared" si="50"/>
        <v>1141067.42</v>
      </c>
      <c r="Q109" s="784">
        <f t="shared" si="50"/>
        <v>0</v>
      </c>
    </row>
    <row r="110" spans="2:17">
      <c r="B110" s="1403"/>
      <c r="C110" s="778" t="s">
        <v>27</v>
      </c>
      <c r="D110" s="784">
        <f t="shared" si="50"/>
        <v>22122303.462463982</v>
      </c>
      <c r="E110" s="785">
        <v>21369160</v>
      </c>
      <c r="F110" s="786">
        <v>0.97</v>
      </c>
      <c r="G110" s="786">
        <v>1.19</v>
      </c>
      <c r="H110" s="784">
        <f t="shared" si="50"/>
        <v>142197.72500000001</v>
      </c>
      <c r="I110" s="784">
        <f t="shared" si="50"/>
        <v>0.08</v>
      </c>
      <c r="J110" s="784">
        <f t="shared" si="50"/>
        <v>2372355.9900000002</v>
      </c>
      <c r="K110" s="784">
        <f t="shared" si="50"/>
        <v>15.00676329</v>
      </c>
      <c r="L110" s="784">
        <f t="shared" si="50"/>
        <v>13878.668749999999</v>
      </c>
      <c r="M110" s="784">
        <f t="shared" si="50"/>
        <v>1714208.0899999999</v>
      </c>
      <c r="N110" s="784">
        <f t="shared" si="50"/>
        <v>27355331.199999999</v>
      </c>
      <c r="O110" s="784">
        <f t="shared" si="50"/>
        <v>221.81036666</v>
      </c>
      <c r="P110" s="784">
        <f t="shared" si="50"/>
        <v>160028.89499999999</v>
      </c>
      <c r="Q110" s="784">
        <f t="shared" si="50"/>
        <v>0</v>
      </c>
    </row>
    <row r="111" spans="2:17">
      <c r="B111" s="1403"/>
      <c r="C111" s="778" t="s">
        <v>29</v>
      </c>
      <c r="D111" s="784">
        <f t="shared" si="50"/>
        <v>6631045.6640814748</v>
      </c>
      <c r="E111" s="785" t="s">
        <v>343</v>
      </c>
      <c r="F111" s="786" t="s">
        <v>342</v>
      </c>
      <c r="G111" s="786" t="s">
        <v>342</v>
      </c>
      <c r="H111" s="784">
        <f t="shared" si="50"/>
        <v>0</v>
      </c>
      <c r="I111" s="784">
        <f t="shared" si="50"/>
        <v>0</v>
      </c>
      <c r="J111" s="784">
        <f t="shared" si="50"/>
        <v>0</v>
      </c>
      <c r="K111" s="784">
        <f t="shared" si="50"/>
        <v>0</v>
      </c>
      <c r="L111" s="784">
        <f t="shared" si="50"/>
        <v>0</v>
      </c>
      <c r="M111" s="784">
        <f t="shared" si="50"/>
        <v>0</v>
      </c>
      <c r="N111" s="784">
        <f t="shared" si="50"/>
        <v>0</v>
      </c>
      <c r="O111" s="784">
        <f t="shared" si="50"/>
        <v>0</v>
      </c>
      <c r="P111" s="784">
        <f t="shared" si="50"/>
        <v>0</v>
      </c>
      <c r="Q111" s="784">
        <f t="shared" si="50"/>
        <v>0</v>
      </c>
    </row>
    <row r="112" spans="2:17">
      <c r="B112" s="1403"/>
      <c r="C112" s="778" t="s">
        <v>30</v>
      </c>
      <c r="D112" s="784">
        <f t="shared" si="50"/>
        <v>49425631.15686807</v>
      </c>
      <c r="E112" s="785">
        <v>55967692</v>
      </c>
      <c r="F112" s="786">
        <v>1.04</v>
      </c>
      <c r="G112" s="786">
        <v>1.38</v>
      </c>
      <c r="H112" s="784">
        <f t="shared" si="50"/>
        <v>32112.2418</v>
      </c>
      <c r="I112" s="784">
        <f t="shared" si="50"/>
        <v>0.16</v>
      </c>
      <c r="J112" s="784">
        <f t="shared" si="50"/>
        <v>9573508.6099999994</v>
      </c>
      <c r="K112" s="784">
        <f t="shared" si="50"/>
        <v>3.6728904880000002</v>
      </c>
      <c r="L112" s="784">
        <f t="shared" si="50"/>
        <v>56007.597340000008</v>
      </c>
      <c r="M112" s="784">
        <f t="shared" si="50"/>
        <v>258384.11489999999</v>
      </c>
      <c r="N112" s="784">
        <f t="shared" si="50"/>
        <v>79649244.650000006</v>
      </c>
      <c r="O112" s="784">
        <f t="shared" si="50"/>
        <v>82.924108117999992</v>
      </c>
      <c r="P112" s="784">
        <f t="shared" si="50"/>
        <v>465947.83536999999</v>
      </c>
      <c r="Q112" s="784">
        <f t="shared" si="50"/>
        <v>0</v>
      </c>
    </row>
    <row r="113" spans="2:17">
      <c r="B113" s="1403"/>
      <c r="C113" s="778" t="s">
        <v>32</v>
      </c>
      <c r="D113" s="784">
        <f t="shared" si="50"/>
        <v>34566888.278864458</v>
      </c>
      <c r="E113" s="785" t="s">
        <v>343</v>
      </c>
      <c r="F113" s="786" t="s">
        <v>342</v>
      </c>
      <c r="G113" s="786" t="s">
        <v>342</v>
      </c>
      <c r="H113" s="784">
        <f t="shared" si="50"/>
        <v>0</v>
      </c>
      <c r="I113" s="784">
        <f t="shared" si="50"/>
        <v>0</v>
      </c>
      <c r="J113" s="784">
        <f t="shared" si="50"/>
        <v>5320532.2310000006</v>
      </c>
      <c r="K113" s="784">
        <f t="shared" si="50"/>
        <v>0</v>
      </c>
      <c r="L113" s="784">
        <f t="shared" si="50"/>
        <v>31125.1155</v>
      </c>
      <c r="M113" s="784">
        <f t="shared" si="50"/>
        <v>0</v>
      </c>
      <c r="N113" s="784">
        <f t="shared" si="50"/>
        <v>41529441.280000001</v>
      </c>
      <c r="O113" s="784">
        <f t="shared" si="50"/>
        <v>0</v>
      </c>
      <c r="P113" s="784">
        <f t="shared" si="50"/>
        <v>242947.23355</v>
      </c>
      <c r="Q113" s="784">
        <f t="shared" si="50"/>
        <v>0</v>
      </c>
    </row>
    <row r="114" spans="2:17">
      <c r="B114" s="1403"/>
      <c r="C114" s="778" t="s">
        <v>34</v>
      </c>
      <c r="D114" s="784">
        <f t="shared" si="50"/>
        <v>2149702.1668717898</v>
      </c>
      <c r="E114" s="785" t="s">
        <v>343</v>
      </c>
      <c r="F114" s="786" t="s">
        <v>342</v>
      </c>
      <c r="G114" s="786" t="s">
        <v>342</v>
      </c>
      <c r="H114" s="784">
        <f t="shared" si="50"/>
        <v>0</v>
      </c>
      <c r="I114" s="784">
        <f t="shared" si="50"/>
        <v>0</v>
      </c>
      <c r="J114" s="784">
        <f t="shared" si="50"/>
        <v>0</v>
      </c>
      <c r="K114" s="784">
        <f t="shared" si="50"/>
        <v>0</v>
      </c>
      <c r="L114" s="784">
        <f t="shared" si="50"/>
        <v>0</v>
      </c>
      <c r="M114" s="784">
        <f t="shared" si="50"/>
        <v>0</v>
      </c>
      <c r="N114" s="784">
        <f t="shared" si="50"/>
        <v>0</v>
      </c>
      <c r="O114" s="784">
        <f t="shared" si="50"/>
        <v>0</v>
      </c>
      <c r="P114" s="784">
        <f t="shared" si="50"/>
        <v>0</v>
      </c>
      <c r="Q114" s="784">
        <f t="shared" si="50"/>
        <v>0</v>
      </c>
    </row>
    <row r="115" spans="2:17">
      <c r="B115" s="1403"/>
      <c r="C115" s="778" t="s">
        <v>36</v>
      </c>
      <c r="D115" s="784">
        <f t="shared" si="50"/>
        <v>0</v>
      </c>
      <c r="E115" s="785" t="s">
        <v>343</v>
      </c>
      <c r="F115" s="786" t="s">
        <v>342</v>
      </c>
      <c r="G115" s="786" t="s">
        <v>342</v>
      </c>
      <c r="H115" s="784">
        <f t="shared" si="50"/>
        <v>0</v>
      </c>
      <c r="I115" s="784">
        <f t="shared" si="50"/>
        <v>0</v>
      </c>
      <c r="J115" s="784">
        <f t="shared" si="50"/>
        <v>0</v>
      </c>
      <c r="K115" s="784">
        <f t="shared" si="50"/>
        <v>0</v>
      </c>
      <c r="L115" s="784">
        <f t="shared" si="50"/>
        <v>0</v>
      </c>
      <c r="M115" s="784">
        <f t="shared" si="50"/>
        <v>0</v>
      </c>
      <c r="N115" s="784">
        <f t="shared" si="50"/>
        <v>0</v>
      </c>
      <c r="O115" s="784">
        <f t="shared" si="50"/>
        <v>0</v>
      </c>
      <c r="P115" s="784">
        <f t="shared" si="50"/>
        <v>0</v>
      </c>
      <c r="Q115" s="784">
        <f t="shared" si="50"/>
        <v>0</v>
      </c>
    </row>
    <row r="116" spans="2:17">
      <c r="B116" s="1403"/>
      <c r="C116" s="778" t="s">
        <v>932</v>
      </c>
      <c r="D116" s="784">
        <f t="shared" si="50"/>
        <v>5847605.3152000001</v>
      </c>
      <c r="E116" s="785">
        <v>586114735</v>
      </c>
      <c r="F116" s="786">
        <v>1.58</v>
      </c>
      <c r="G116" s="786">
        <v>100.23</v>
      </c>
      <c r="H116" s="784">
        <f t="shared" si="50"/>
        <v>0</v>
      </c>
      <c r="I116" s="784">
        <f t="shared" si="50"/>
        <v>0</v>
      </c>
      <c r="J116" s="784">
        <f t="shared" si="50"/>
        <v>72767143.109999999</v>
      </c>
      <c r="K116" s="784">
        <f t="shared" si="50"/>
        <v>0</v>
      </c>
      <c r="L116" s="784">
        <f t="shared" si="50"/>
        <v>425687.78724000003</v>
      </c>
      <c r="M116" s="784">
        <f t="shared" si="50"/>
        <v>0</v>
      </c>
      <c r="N116" s="784">
        <f t="shared" si="50"/>
        <v>1154138476</v>
      </c>
      <c r="O116" s="784">
        <f t="shared" si="50"/>
        <v>0</v>
      </c>
      <c r="P116" s="784">
        <f t="shared" si="50"/>
        <v>6751709</v>
      </c>
      <c r="Q116" s="784">
        <f t="shared" si="50"/>
        <v>0</v>
      </c>
    </row>
    <row r="117" spans="2:17">
      <c r="B117" s="1403"/>
      <c r="C117" s="778" t="s">
        <v>679</v>
      </c>
      <c r="D117" s="784">
        <f t="shared" si="50"/>
        <v>24468160.113606233</v>
      </c>
      <c r="E117" s="785" t="s">
        <v>343</v>
      </c>
      <c r="F117" s="786" t="s">
        <v>342</v>
      </c>
      <c r="G117" s="786" t="s">
        <v>342</v>
      </c>
      <c r="H117" s="784">
        <f t="shared" si="50"/>
        <v>0</v>
      </c>
      <c r="I117" s="784">
        <f t="shared" si="50"/>
        <v>0</v>
      </c>
      <c r="J117" s="784">
        <f t="shared" si="50"/>
        <v>0</v>
      </c>
      <c r="K117" s="784">
        <f t="shared" si="50"/>
        <v>0</v>
      </c>
      <c r="L117" s="784">
        <f t="shared" si="50"/>
        <v>0</v>
      </c>
      <c r="M117" s="784">
        <f t="shared" si="50"/>
        <v>0</v>
      </c>
      <c r="N117" s="784">
        <f t="shared" si="50"/>
        <v>0</v>
      </c>
      <c r="O117" s="784">
        <f t="shared" si="50"/>
        <v>0</v>
      </c>
      <c r="P117" s="784">
        <f t="shared" si="50"/>
        <v>0</v>
      </c>
      <c r="Q117" s="784">
        <f t="shared" si="50"/>
        <v>0</v>
      </c>
    </row>
    <row r="118" spans="2:17">
      <c r="B118" s="1403"/>
      <c r="C118" s="138" t="s">
        <v>925</v>
      </c>
      <c r="D118" s="139">
        <f>SUBTOTAL(9,D9:D56)</f>
        <v>611704002.8401556</v>
      </c>
      <c r="E118" s="166">
        <f>SUBTOTAL(9,E9:E56)</f>
        <v>1214585819</v>
      </c>
      <c r="F118" s="153">
        <v>1.07</v>
      </c>
      <c r="G118" s="153">
        <v>1.92</v>
      </c>
      <c r="H118" s="139">
        <f t="shared" ref="H118:Q118" si="51">SUBTOTAL(9,H9:H56)</f>
        <v>52567380.61096999</v>
      </c>
      <c r="I118" s="139">
        <f t="shared" si="51"/>
        <v>11707.57923381</v>
      </c>
      <c r="J118" s="139">
        <f t="shared" si="51"/>
        <v>196536137.23209</v>
      </c>
      <c r="K118" s="139">
        <f t="shared" si="51"/>
        <v>14130.352735759001</v>
      </c>
      <c r="L118" s="139">
        <f t="shared" si="51"/>
        <v>1156314.9381127001</v>
      </c>
      <c r="M118" s="139">
        <f t="shared" si="51"/>
        <v>362100714.91959989</v>
      </c>
      <c r="N118" s="139">
        <f t="shared" si="51"/>
        <v>1941204035.9515998</v>
      </c>
      <c r="O118" s="139">
        <f t="shared" si="51"/>
        <v>105507.34676933799</v>
      </c>
      <c r="P118" s="139">
        <f t="shared" si="51"/>
        <v>11448004.003103001</v>
      </c>
      <c r="Q118" s="139">
        <f t="shared" si="51"/>
        <v>0</v>
      </c>
    </row>
    <row r="119" spans="2:17">
      <c r="D119" s="787"/>
      <c r="E119" s="787"/>
      <c r="F119" s="787"/>
      <c r="G119" s="787"/>
      <c r="H119" s="787"/>
      <c r="I119" s="787"/>
      <c r="J119" s="787"/>
      <c r="K119" s="787"/>
      <c r="L119" s="787"/>
      <c r="M119" s="787"/>
      <c r="N119" s="787"/>
      <c r="O119" s="787"/>
      <c r="P119" s="787"/>
      <c r="Q119" s="787"/>
    </row>
  </sheetData>
  <mergeCells count="11">
    <mergeCell ref="B107:B118"/>
    <mergeCell ref="B93:B104"/>
    <mergeCell ref="B45:B56"/>
    <mergeCell ref="B57:B68"/>
    <mergeCell ref="B69:B80"/>
    <mergeCell ref="B81:B92"/>
    <mergeCell ref="B21:B32"/>
    <mergeCell ref="B33:B44"/>
    <mergeCell ref="B5:J5"/>
    <mergeCell ref="B6:J6"/>
    <mergeCell ref="B9:B20"/>
  </mergeCells>
  <phoneticPr fontId="176" type="noConversion"/>
  <pageMargins left="0.7" right="0.7" top="0.75" bottom="0.75" header="0.3" footer="0.3"/>
  <pageSetup paperSize="3" scale="72" fitToHeight="2" orientation="landscape" r:id="rId1"/>
  <rowBreaks count="1" manualBreakCount="1">
    <brk id="56" max="16"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10941-D433-4294-9828-E6A6C78018D2}">
  <sheetPr codeName="Sheet12">
    <pageSetUpPr fitToPage="1"/>
  </sheetPr>
  <dimension ref="A1:BE105"/>
  <sheetViews>
    <sheetView showGridLines="0" zoomScaleNormal="100" workbookViewId="0">
      <pane xSplit="2" ySplit="5" topLeftCell="U6" activePane="bottomRight" state="frozen"/>
      <selection activeCell="A26" sqref="A26"/>
      <selection pane="topRight" activeCell="A26" sqref="A26"/>
      <selection pane="bottomLeft" activeCell="A26" sqref="A26"/>
      <selection pane="bottomRight"/>
    </sheetView>
  </sheetViews>
  <sheetFormatPr defaultColWidth="8.125" defaultRowHeight="14.25"/>
  <cols>
    <col min="1" max="1" width="11.375" style="245" customWidth="1"/>
    <col min="2" max="2" width="74.75" style="245" customWidth="1"/>
    <col min="3" max="3" width="15.25" style="245" customWidth="1"/>
    <col min="4" max="4" width="13.125" style="246" customWidth="1"/>
    <col min="5" max="5" width="11.125" style="245" customWidth="1"/>
    <col min="6" max="6" width="14.125" style="245" customWidth="1"/>
    <col min="7" max="8" width="11.125" style="245" customWidth="1"/>
    <col min="9" max="9" width="15.625" style="245" customWidth="1"/>
    <col min="10" max="10" width="13.125" style="246" customWidth="1"/>
    <col min="11" max="11" width="11.125" style="245" customWidth="1"/>
    <col min="12" max="12" width="14.125" style="245" customWidth="1"/>
    <col min="13" max="14" width="11.125" style="245" customWidth="1"/>
    <col min="15" max="15" width="15.5" style="245" customWidth="1"/>
    <col min="16" max="16" width="13.125" style="246" customWidth="1"/>
    <col min="17" max="17" width="11.125" style="245" customWidth="1"/>
    <col min="18" max="18" width="14.125" style="245" customWidth="1"/>
    <col min="19" max="20" width="11.125" style="245" customWidth="1"/>
    <col min="21" max="21" width="15.625" style="245" customWidth="1"/>
    <col min="22" max="22" width="13.125" style="246" customWidth="1"/>
    <col min="23" max="23" width="11.125" style="245" customWidth="1"/>
    <col min="24" max="24" width="14.125" style="245" customWidth="1"/>
    <col min="25" max="26" width="11.125" style="245" customWidth="1"/>
    <col min="27" max="27" width="16" style="245" customWidth="1"/>
    <col min="28" max="28" width="13.125" style="246" customWidth="1"/>
    <col min="29" max="29" width="11.125" style="245" customWidth="1"/>
    <col min="30" max="30" width="14.125" style="245" customWidth="1"/>
    <col min="31" max="32" width="11.125" style="245" customWidth="1"/>
    <col min="33" max="33" width="15.5" style="245" customWidth="1"/>
    <col min="34" max="34" width="13.125" style="246" customWidth="1"/>
    <col min="35" max="35" width="11.125" style="245" customWidth="1"/>
    <col min="36" max="36" width="14.125" style="245" customWidth="1"/>
    <col min="37" max="38" width="11.125" style="245" customWidth="1"/>
    <col min="39" max="39" width="15.375" style="245" customWidth="1"/>
    <col min="40" max="40" width="13.125" style="246" customWidth="1"/>
    <col min="41" max="41" width="11.125" style="245" customWidth="1"/>
    <col min="42" max="42" width="14.125" style="245" customWidth="1"/>
    <col min="43" max="44" width="11.125" style="245" customWidth="1"/>
    <col min="45" max="45" width="15.375" style="245" customWidth="1"/>
    <col min="46" max="46" width="13.125" style="246" customWidth="1"/>
    <col min="47" max="47" width="11.125" style="245" customWidth="1"/>
    <col min="48" max="48" width="14.125" style="245" customWidth="1"/>
    <col min="49" max="50" width="11.125" style="245" customWidth="1"/>
    <col min="51" max="51" width="2.125" style="245" customWidth="1"/>
    <col min="52" max="52" width="255.625" style="247" bestFit="1" customWidth="1"/>
    <col min="53" max="53" width="12.625" style="245" customWidth="1"/>
    <col min="54" max="54" width="19.625" style="253" bestFit="1" customWidth="1"/>
    <col min="55" max="55" width="11.125" style="245" customWidth="1"/>
    <col min="56" max="56" width="21.125" style="245" bestFit="1" customWidth="1"/>
    <col min="57" max="57" width="11.5" style="245" bestFit="1" customWidth="1"/>
    <col min="58" max="16384" width="8.125" style="245"/>
  </cols>
  <sheetData>
    <row r="1" spans="1:57">
      <c r="A1" s="175" t="s">
        <v>98</v>
      </c>
      <c r="B1" s="176" t="str">
        <f>PA_NAME</f>
        <v>SoCalGas</v>
      </c>
      <c r="C1" s="84"/>
    </row>
    <row r="2" spans="1:57">
      <c r="A2" s="175" t="s">
        <v>99</v>
      </c>
      <c r="B2" s="176" t="str">
        <f>RPT_YEAR</f>
        <v>2024-2031</v>
      </c>
    </row>
    <row r="3" spans="1:57">
      <c r="A3" s="254" t="s">
        <v>934</v>
      </c>
      <c r="B3" s="254"/>
      <c r="C3" s="84"/>
      <c r="D3" s="254"/>
    </row>
    <row r="4" spans="1:57" ht="15" customHeight="1" thickTop="1">
      <c r="C4" s="753"/>
      <c r="D4" s="1417" t="s">
        <v>935</v>
      </c>
      <c r="E4" s="1418"/>
      <c r="F4" s="1418"/>
      <c r="G4" s="1418"/>
      <c r="H4" s="1419"/>
      <c r="I4" s="753"/>
      <c r="J4" s="1417" t="s">
        <v>936</v>
      </c>
      <c r="K4" s="1418"/>
      <c r="L4" s="1418"/>
      <c r="M4" s="1418"/>
      <c r="N4" s="1419"/>
      <c r="O4" s="753"/>
      <c r="P4" s="1417" t="s">
        <v>937</v>
      </c>
      <c r="Q4" s="1418"/>
      <c r="R4" s="1418"/>
      <c r="S4" s="1418"/>
      <c r="T4" s="1419"/>
      <c r="U4" s="753"/>
      <c r="V4" s="1417" t="s">
        <v>938</v>
      </c>
      <c r="W4" s="1418"/>
      <c r="X4" s="1418"/>
      <c r="Y4" s="1418"/>
      <c r="Z4" s="1419"/>
      <c r="AA4" s="753"/>
      <c r="AB4" s="1417" t="s">
        <v>939</v>
      </c>
      <c r="AC4" s="1418"/>
      <c r="AD4" s="1418"/>
      <c r="AE4" s="1418"/>
      <c r="AF4" s="1419"/>
      <c r="AG4" s="753"/>
      <c r="AH4" s="1417" t="s">
        <v>940</v>
      </c>
      <c r="AI4" s="1418"/>
      <c r="AJ4" s="1418"/>
      <c r="AK4" s="1418"/>
      <c r="AL4" s="1419"/>
      <c r="AM4" s="753"/>
      <c r="AN4" s="1417" t="s">
        <v>941</v>
      </c>
      <c r="AO4" s="1418"/>
      <c r="AP4" s="1418"/>
      <c r="AQ4" s="1418"/>
      <c r="AR4" s="1419"/>
      <c r="AS4" s="753"/>
      <c r="AT4" s="1417" t="s">
        <v>942</v>
      </c>
      <c r="AU4" s="1418"/>
      <c r="AV4" s="1418"/>
      <c r="AW4" s="1418"/>
      <c r="AX4" s="1419"/>
      <c r="AY4" s="13"/>
      <c r="AZ4" s="14"/>
      <c r="BA4" s="13"/>
      <c r="BB4" s="15"/>
      <c r="BC4" s="754"/>
    </row>
    <row r="5" spans="1:57" ht="31.5" customHeight="1" thickBot="1">
      <c r="A5" s="50" t="s">
        <v>943</v>
      </c>
      <c r="B5" s="16" t="s">
        <v>929</v>
      </c>
      <c r="C5" s="17" t="s">
        <v>944</v>
      </c>
      <c r="D5" s="755" t="s">
        <v>945</v>
      </c>
      <c r="E5" s="755" t="s">
        <v>946</v>
      </c>
      <c r="F5" s="140" t="s">
        <v>947</v>
      </c>
      <c r="G5" s="755" t="s">
        <v>924</v>
      </c>
      <c r="H5" s="755" t="s">
        <v>327</v>
      </c>
      <c r="I5" s="17" t="s">
        <v>948</v>
      </c>
      <c r="J5" s="755" t="s">
        <v>945</v>
      </c>
      <c r="K5" s="755" t="s">
        <v>946</v>
      </c>
      <c r="L5" s="140" t="s">
        <v>947</v>
      </c>
      <c r="M5" s="755" t="s">
        <v>924</v>
      </c>
      <c r="N5" s="755" t="s">
        <v>327</v>
      </c>
      <c r="O5" s="17" t="s">
        <v>949</v>
      </c>
      <c r="P5" s="755" t="s">
        <v>945</v>
      </c>
      <c r="Q5" s="755" t="s">
        <v>946</v>
      </c>
      <c r="R5" s="140" t="s">
        <v>947</v>
      </c>
      <c r="S5" s="755" t="s">
        <v>924</v>
      </c>
      <c r="T5" s="755" t="s">
        <v>327</v>
      </c>
      <c r="U5" s="17" t="s">
        <v>950</v>
      </c>
      <c r="V5" s="755" t="s">
        <v>945</v>
      </c>
      <c r="W5" s="755" t="s">
        <v>946</v>
      </c>
      <c r="X5" s="140" t="s">
        <v>947</v>
      </c>
      <c r="Y5" s="755" t="s">
        <v>924</v>
      </c>
      <c r="Z5" s="755" t="s">
        <v>327</v>
      </c>
      <c r="AA5" s="17" t="s">
        <v>951</v>
      </c>
      <c r="AB5" s="755" t="s">
        <v>945</v>
      </c>
      <c r="AC5" s="755" t="s">
        <v>946</v>
      </c>
      <c r="AD5" s="140" t="s">
        <v>947</v>
      </c>
      <c r="AE5" s="755" t="s">
        <v>924</v>
      </c>
      <c r="AF5" s="755" t="s">
        <v>327</v>
      </c>
      <c r="AG5" s="17" t="s">
        <v>952</v>
      </c>
      <c r="AH5" s="755" t="s">
        <v>945</v>
      </c>
      <c r="AI5" s="755" t="s">
        <v>946</v>
      </c>
      <c r="AJ5" s="140" t="s">
        <v>947</v>
      </c>
      <c r="AK5" s="755" t="s">
        <v>924</v>
      </c>
      <c r="AL5" s="755" t="s">
        <v>327</v>
      </c>
      <c r="AM5" s="17" t="s">
        <v>953</v>
      </c>
      <c r="AN5" s="755" t="s">
        <v>945</v>
      </c>
      <c r="AO5" s="755" t="s">
        <v>946</v>
      </c>
      <c r="AP5" s="140" t="s">
        <v>947</v>
      </c>
      <c r="AQ5" s="755" t="s">
        <v>924</v>
      </c>
      <c r="AR5" s="755" t="s">
        <v>327</v>
      </c>
      <c r="AS5" s="17" t="s">
        <v>954</v>
      </c>
      <c r="AT5" s="755" t="s">
        <v>945</v>
      </c>
      <c r="AU5" s="755" t="s">
        <v>946</v>
      </c>
      <c r="AV5" s="140" t="s">
        <v>947</v>
      </c>
      <c r="AW5" s="755" t="s">
        <v>924</v>
      </c>
      <c r="AX5" s="755" t="s">
        <v>327</v>
      </c>
      <c r="AZ5" s="18" t="s">
        <v>955</v>
      </c>
    </row>
    <row r="6" spans="1:57" ht="31.5" customHeight="1" thickTop="1" thickBot="1">
      <c r="B6" s="38" t="s">
        <v>18</v>
      </c>
      <c r="C6" s="39"/>
      <c r="D6" s="756"/>
      <c r="E6" s="756"/>
      <c r="F6" s="40"/>
      <c r="G6" s="756"/>
      <c r="H6" s="756"/>
      <c r="I6" s="39"/>
      <c r="J6" s="756"/>
      <c r="K6" s="756"/>
      <c r="L6" s="40"/>
      <c r="M6" s="756"/>
      <c r="N6" s="756"/>
      <c r="O6" s="39"/>
      <c r="P6" s="756"/>
      <c r="Q6" s="756"/>
      <c r="R6" s="40"/>
      <c r="S6" s="756"/>
      <c r="T6" s="756"/>
      <c r="U6" s="39"/>
      <c r="V6" s="756"/>
      <c r="W6" s="756"/>
      <c r="X6" s="40"/>
      <c r="Y6" s="756"/>
      <c r="Z6" s="756"/>
      <c r="AA6" s="39"/>
      <c r="AB6" s="756"/>
      <c r="AC6" s="756"/>
      <c r="AD6" s="40"/>
      <c r="AE6" s="756"/>
      <c r="AF6" s="756"/>
      <c r="AG6" s="39"/>
      <c r="AH6" s="756"/>
      <c r="AI6" s="756"/>
      <c r="AJ6" s="40"/>
      <c r="AK6" s="756"/>
      <c r="AL6" s="756"/>
      <c r="AM6" s="39"/>
      <c r="AN6" s="756"/>
      <c r="AO6" s="756"/>
      <c r="AP6" s="40"/>
      <c r="AQ6" s="756"/>
      <c r="AR6" s="756"/>
      <c r="AS6" s="39"/>
      <c r="AT6" s="756"/>
      <c r="AU6" s="756"/>
      <c r="AV6" s="40"/>
      <c r="AW6" s="756"/>
      <c r="AX6" s="756"/>
      <c r="AZ6" s="18"/>
    </row>
    <row r="7" spans="1:57" ht="16.5" customHeight="1" thickTop="1" thickBot="1">
      <c r="B7" s="757" t="s">
        <v>17</v>
      </c>
      <c r="C7" s="758">
        <f>SUMIFS('4.1 Program Budget - 2024-2027'!S:S,'4.1 Program Budget - 2024-2027'!$G:$G,$B7,'4.1 Program Budget - 2024-2027'!$H:$H,README!$M$8)</f>
        <v>34348511.47738374</v>
      </c>
      <c r="D7" s="1139">
        <f>SUMIFS('4.1 Program Budget - 2024-2027'!W:W,'4.1 Program Budget - 2024-2027'!$G:$G,$B7,'4.1 Program Budget - 2024-2027'!$H:$H,README!$M$8)</f>
        <v>330602.38</v>
      </c>
      <c r="E7" s="1139">
        <f>SUMIFS('4.1 Program Budget - 2024-2027'!X:X,'4.1 Program Budget - 2024-2027'!$G:$G,$B7,'4.1 Program Budget - 2024-2027'!$H:$H,README!$M$8)</f>
        <v>497.24</v>
      </c>
      <c r="F7" s="1139">
        <f>SUMIFS('4.1 Program Budget - 2024-2027'!Y:Y,'4.1 Program Budget - 2024-2027'!$G:$G,$B7,'4.1 Program Budget - 2024-2027'!$H:$H,README!$M$8)</f>
        <v>13813373.76</v>
      </c>
      <c r="G7" s="1139">
        <f>SUMIFS('4.1 Program Budget - 2024-2027'!Z:Z,'4.1 Program Budget - 2024-2027'!$G:$G,$B7,'4.1 Program Budget - 2024-2027'!$H:$H,README!$M$8)</f>
        <v>137.77000000000001</v>
      </c>
      <c r="H7" s="1139">
        <f>SUMIFS('4.1 Program Budget - 2024-2027'!AA:AA,'4.1 Program Budget - 2024-2027'!$G:$G,$B7,'4.1 Program Budget - 2024-2027'!$H:$H,README!$M$8)</f>
        <v>80808.650000000009</v>
      </c>
      <c r="I7" s="758">
        <f>SUMIFS('4.1 Program Budget - 2024-2027'!AK:AK,'4.1 Program Budget - 2024-2027'!$G:$G,$B7,'4.1 Program Budget - 2024-2027'!$H:$H,README!$M$8)</f>
        <v>34150144.578840531</v>
      </c>
      <c r="J7" s="759">
        <f>SUMIFS('4.1 Program Budget - 2024-2027'!AO:AO,'4.1 Program Budget - 2024-2027'!$G:$G,$B7,'4.1 Program Budget - 2024-2027'!$H:$H,README!$M$8)</f>
        <v>338241.64828000002</v>
      </c>
      <c r="K7" s="759">
        <f>SUMIFS('4.1 Program Budget - 2024-2027'!AP:AP,'4.1 Program Budget - 2024-2027'!$G:$G,$B7,'4.1 Program Budget - 2024-2027'!$H:$H,README!$M$8)</f>
        <v>499.00360973400001</v>
      </c>
      <c r="L7" s="759">
        <f>SUMIFS('4.1 Program Budget - 2024-2027'!AQ:AQ,'4.1 Program Budget - 2024-2027'!$G:$G,$B7,'4.1 Program Budget - 2024-2027'!$H:$H,README!$M$8)</f>
        <v>13650935.44829</v>
      </c>
      <c r="M7" s="1139">
        <f>SUMIFS('4.1 Program Budget - 2024-2027'!AR:AR,'4.1 Program Budget - 2024-2027'!$G:$G,$B7,'4.1 Program Budget - 2024-2027'!$H:$H,README!$M$8)</f>
        <v>148.91501496000001</v>
      </c>
      <c r="N7" s="1139">
        <f>SUMIFS('4.1 Program Budget - 2024-2027'!AS:AS,'4.1 Program Budget - 2024-2027'!$G:$G,$B7,'4.1 Program Budget - 2024-2027'!$H:$H,README!$M$8)</f>
        <v>79858.043323200007</v>
      </c>
      <c r="O7" s="758">
        <f>SUMIFS('4.1 Program Budget - 2024-2027'!BC:BC,'4.1 Program Budget - 2024-2027'!$G:$G,$B7,'4.1 Program Budget - 2024-2027'!$H:$H,README!$M$8)</f>
        <v>34700383.068359241</v>
      </c>
      <c r="P7" s="759">
        <f>SUMIFS('4.1 Program Budget - 2024-2027'!BG:BG,'4.1 Program Budget - 2024-2027'!$G:$G,$B7,'4.1 Program Budget - 2024-2027'!$H:$H,README!$M$8)</f>
        <v>337548.59328000003</v>
      </c>
      <c r="Q7" s="759">
        <f>SUMIFS('4.1 Program Budget - 2024-2027'!BH:BH,'4.1 Program Budget - 2024-2027'!$G:$G,$B7,'4.1 Program Budget - 2024-2027'!$H:$H,README!$M$8)</f>
        <v>498.90130973400005</v>
      </c>
      <c r="R7" s="759">
        <f>SUMIFS('4.1 Program Budget - 2024-2027'!BI:BI,'4.1 Program Budget - 2024-2027'!$G:$G,$B7,'4.1 Program Budget - 2024-2027'!$H:$H,README!$M$8)</f>
        <v>13653860.49829</v>
      </c>
      <c r="S7" s="1139">
        <f>SUMIFS('4.1 Program Budget - 2024-2027'!BJ:BJ,'4.1 Program Budget - 2024-2027'!$G:$G,$B7,'4.1 Program Budget - 2024-2027'!$H:$H,README!$M$8)</f>
        <v>157.42461290300002</v>
      </c>
      <c r="T7" s="1139">
        <f>SUMIFS('4.1 Program Budget - 2024-2027'!BK:BK,'4.1 Program Budget - 2024-2027'!$G:$G,$B7,'4.1 Program Budget - 2024-2027'!$H:$H,README!$M$8)</f>
        <v>79875.068315200013</v>
      </c>
      <c r="U7" s="758">
        <f>SUMIFS('4.1 Program Budget - 2024-2027'!BU:BU,'4.1 Program Budget - 2024-2027'!$G:$G,$B7,'4.1 Program Budget - 2024-2027'!$H:$H,README!$M$8)</f>
        <v>35563345.895340092</v>
      </c>
      <c r="V7" s="759">
        <f>SUMIFS('4.1 Program Budget - 2024-2027'!BY:BY,'4.1 Program Budget - 2024-2027'!$G:$G,$B7,'4.1 Program Budget - 2024-2027'!$H:$H,README!$M$8)</f>
        <v>334990.22198000003</v>
      </c>
      <c r="W7" s="759">
        <f>SUMIFS('4.1 Program Budget - 2024-2027'!BZ:BZ,'4.1 Program Budget - 2024-2027'!$G:$G,$B7,'4.1 Program Budget - 2024-2027'!$H:$H,README!$M$8)</f>
        <v>499.36397434200001</v>
      </c>
      <c r="X7" s="759">
        <f>SUMIFS('4.1 Program Budget - 2024-2027'!CA:CA,'4.1 Program Budget - 2024-2027'!$G:$G,$B7,'4.1 Program Budget - 2024-2027'!$H:$H,README!$M$8)</f>
        <v>13671214.070189999</v>
      </c>
      <c r="Y7" s="1139">
        <f>SUMIFS('4.1 Program Budget - 2024-2027'!CB:CB,'4.1 Program Budget - 2024-2027'!$G:$G,$B7,'4.1 Program Budget - 2024-2027'!$H:$H,README!$M$8)</f>
        <v>154.92054455899998</v>
      </c>
      <c r="Z7" s="1139">
        <f>SUMIFS('4.1 Program Budget - 2024-2027'!CC:CC,'4.1 Program Budget - 2024-2027'!$G:$G,$B7,'4.1 Program Budget - 2024-2027'!$H:$H,README!$M$8)</f>
        <v>79976.338260200006</v>
      </c>
      <c r="AA7" s="758">
        <f>SUMIFS('4.2 Program Budget 2028-2031'!I:I,'4.2 Program Budget 2028-2031'!D:D,B7,'4.2 Program Budget 2028-2031'!F:F,README!$M$8)</f>
        <v>36701372.963990979</v>
      </c>
      <c r="AB7" s="759">
        <f>SUMIFS('4.2 Program Budget 2028-2031'!J:J,'4.2 Program Budget 2028-2031'!$D:$D,$B7,'4.2 Program Budget 2028-2031'!$F:$F,README!$M$8)</f>
        <v>3174423</v>
      </c>
      <c r="AC7" s="759">
        <f>SUMIFS('4.2 Program Budget 2028-2031'!K:K,'4.2 Program Budget 2028-2031'!$D:$D,$B7,'4.2 Program Budget 2028-2031'!$F:$F,README!$M$8)</f>
        <v>843</v>
      </c>
      <c r="AD7" s="759">
        <f>SUMIFS('4.2 Program Budget 2028-2031'!L:L,'4.2 Program Budget 2028-2031'!$D:$D,$B7,'4.2 Program Budget 2028-2031'!$F:$F,README!$M$8)</f>
        <v>15378810</v>
      </c>
      <c r="AE7" s="759">
        <f>SUMIFS('4.2 Program Budget 2028-2031'!M:M,'4.2 Program Budget 2028-2031'!$D:$D,$B7,'4.2 Program Budget 2028-2031'!$F:$F,README!$M$8)</f>
        <v>814</v>
      </c>
      <c r="AF7" s="759">
        <f>SUMIFS('4.2 Program Budget 2028-2031'!N:N,'4.2 Program Budget 2028-2031'!$D:$D,$B7,'4.2 Program Budget 2028-2031'!$F:$F,README!$M$8)</f>
        <v>89966</v>
      </c>
      <c r="AG7" s="758">
        <f>SUMIFS('4.2 Program Budget 2028-2031'!T:T,'4.2 Program Budget 2028-2031'!$D:$D,$B7,'4.2 Program Budget 2028-2031'!$F:$F,README!$M$8)</f>
        <v>37875816.898838691</v>
      </c>
      <c r="AH7" s="759">
        <f>SUMIFS('4.2 Program Budget 2028-2031'!U:U,'4.2 Program Budget 2028-2031'!$D:$D,$B7,'4.2 Program Budget 2028-2031'!$F:$F,README!$M$8)</f>
        <v>3185486</v>
      </c>
      <c r="AI7" s="759">
        <f>SUMIFS('4.2 Program Budget 2028-2031'!V:V,'4.2 Program Budget 2028-2031'!$D:$D,$B7,'4.2 Program Budget 2028-2031'!$F:$F,README!$M$8)</f>
        <v>860</v>
      </c>
      <c r="AJ7" s="759">
        <f>SUMIFS('4.2 Program Budget 2028-2031'!W:W,'4.2 Program Budget 2028-2031'!$D:$D,$B7,'4.2 Program Budget 2028-2031'!$F:$F,README!$M$8)</f>
        <v>15870143</v>
      </c>
      <c r="AK7" s="759">
        <f>SUMIFS('4.2 Program Budget 2028-2031'!X:X,'4.2 Program Budget 2028-2031'!$D:$D,$B7,'4.2 Program Budget 2028-2031'!$F:$F,README!$M$8)</f>
        <v>740</v>
      </c>
      <c r="AL7" s="759">
        <f>SUMIFS('4.2 Program Budget 2028-2031'!Y:Y,'4.2 Program Budget 2028-2031'!$D:$D,$B7,'4.2 Program Budget 2028-2031'!$F:$F,README!$M$8)</f>
        <v>92840</v>
      </c>
      <c r="AM7" s="758">
        <f>SUMIFS('4.2 Program Budget 2028-2031'!AE:AE,'4.2 Program Budget 2028-2031'!$D:$D,$B7,'4.2 Program Budget 2028-2031'!$F:$F,README!$M$8)</f>
        <v>39087843.039601527</v>
      </c>
      <c r="AN7" s="759">
        <f>SUMIFS('4.2 Program Budget 2028-2031'!AF:AF,'4.2 Program Budget 2028-2031'!$D:$D,$B7,'4.2 Program Budget 2028-2031'!$F:$F,README!$M$8)</f>
        <v>3196902</v>
      </c>
      <c r="AO7" s="759">
        <f>SUMIFS('4.2 Program Budget 2028-2031'!AG:AG,'4.2 Program Budget 2028-2031'!$D:$D,$B7,'4.2 Program Budget 2028-2031'!$F:$F,README!$M$8)</f>
        <v>877</v>
      </c>
      <c r="AP7" s="759">
        <f>SUMIFS('4.2 Program Budget 2028-2031'!AH:AH,'4.2 Program Budget 2028-2031'!$D:$D,$B7,'4.2 Program Budget 2028-2031'!$F:$F,README!$M$8)</f>
        <v>16377199</v>
      </c>
      <c r="AQ7" s="759">
        <f>SUMIFS('4.2 Program Budget 2028-2031'!AI:AI,'4.2 Program Budget 2028-2031'!$D:$D,$B7,'4.2 Program Budget 2028-2031'!$F:$F,README!$M$8)</f>
        <v>782</v>
      </c>
      <c r="AR7" s="760">
        <f>SUMIFS('4.2 Program Budget 2028-2031'!AJ:AJ,'4.2 Program Budget 2028-2031'!$D:$D,$B7,'4.2 Program Budget 2028-2031'!$F:$F,README!$M$8)</f>
        <v>95807</v>
      </c>
      <c r="AS7" s="758">
        <f>SUMIFS('4.2 Program Budget 2028-2031'!AP:AP,'4.2 Program Budget 2028-2031'!$D:$D,$B7,'4.2 Program Budget 2028-2031'!$F:$F,README!$M$8)</f>
        <v>40338654.016868778</v>
      </c>
      <c r="AT7" s="759">
        <f>SUMIFS('4.2 Program Budget 2028-2031'!AQ:AQ,'4.2 Program Budget 2028-2031'!$D:$D,$B7,'4.2 Program Budget 2028-2031'!$F:$F,README!$M$8)</f>
        <v>3208684</v>
      </c>
      <c r="AU7" s="759">
        <f>SUMIFS('4.2 Program Budget 2028-2031'!AR:AR,'4.2 Program Budget 2028-2031'!$D:$D,$B7,'4.2 Program Budget 2028-2031'!$F:$F,README!$M$8)</f>
        <v>894</v>
      </c>
      <c r="AV7" s="759">
        <f>SUMIFS('4.2 Program Budget 2028-2031'!AS:AS,'4.2 Program Budget 2028-2031'!$D:$D,$B7,'4.2 Program Budget 2028-2031'!$F:$F,README!$M$8)</f>
        <v>16900480</v>
      </c>
      <c r="AW7" s="759">
        <f>SUMIFS('4.2 Program Budget 2028-2031'!AT:AT,'4.2 Program Budget 2028-2031'!$D:$D,$B7,'4.2 Program Budget 2028-2031'!$F:$F,README!$M$8)</f>
        <v>828</v>
      </c>
      <c r="AX7" s="759">
        <f>SUMIFS('4.2 Program Budget 2028-2031'!AU:AU,'4.2 Program Budget 2028-2031'!$D:$D,$B7,'4.2 Program Budget 2028-2031'!$F:$F,README!$M$8)</f>
        <v>98868</v>
      </c>
      <c r="AZ7" s="761" t="s">
        <v>956</v>
      </c>
    </row>
    <row r="8" spans="1:57">
      <c r="B8" s="757" t="s">
        <v>22</v>
      </c>
      <c r="C8" s="758">
        <f>SUMIFS('4.1 Program Budget - 2024-2027'!S:S,'4.1 Program Budget - 2024-2027'!$G:$G,$B8,'4.1 Program Budget - 2024-2027'!$H:$H,README!$M$8)</f>
        <v>33642373.033127703</v>
      </c>
      <c r="D8" s="1139">
        <f>SUMIFS('4.1 Program Budget - 2024-2027'!W:W,'4.1 Program Budget - 2024-2027'!$G:$G,$B8,'4.1 Program Budget - 2024-2027'!$H:$H,README!$M$8)</f>
        <v>11211163</v>
      </c>
      <c r="E8" s="1139">
        <f>SUMIFS('4.1 Program Budget - 2024-2027'!X:X,'4.1 Program Budget - 2024-2027'!$G:$G,$B8,'4.1 Program Budget - 2024-2027'!$H:$H,README!$M$8)</f>
        <v>2312.2099999999996</v>
      </c>
      <c r="F8" s="1139">
        <f>SUMIFS('4.1 Program Budget - 2024-2027'!Y:Y,'4.1 Program Budget - 2024-2027'!$G:$G,$B8,'4.1 Program Budget - 2024-2027'!$H:$H,README!$M$8)</f>
        <v>6900895.8700000001</v>
      </c>
      <c r="G8" s="1139">
        <f>SUMIFS('4.1 Program Budget - 2024-2027'!Z:Z,'4.1 Program Budget - 2024-2027'!$G:$G,$B8,'4.1 Program Budget - 2024-2027'!$H:$H,README!$M$8)</f>
        <v>3284.81</v>
      </c>
      <c r="H8" s="1139">
        <f>SUMIFS('4.1 Program Budget - 2024-2027'!AA:AA,'4.1 Program Budget - 2024-2027'!$G:$G,$B8,'4.1 Program Budget - 2024-2027'!$H:$H,README!$M$8)</f>
        <v>40414.009999999995</v>
      </c>
      <c r="I8" s="758">
        <f>SUMIFS('4.1 Program Budget - 2024-2027'!AK:AK,'4.1 Program Budget - 2024-2027'!$G:$G,$B8,'4.1 Program Budget - 2024-2027'!$H:$H,README!$M$8)</f>
        <v>33863583.886336088</v>
      </c>
      <c r="J8" s="759">
        <f>SUMIFS('4.1 Program Budget - 2024-2027'!AO:AO,'4.1 Program Budget - 2024-2027'!$G:$G,$B8,'4.1 Program Budget - 2024-2027'!$H:$H,README!$M$8)</f>
        <v>11211284.595100001</v>
      </c>
      <c r="K8" s="759">
        <f>SUMIFS('4.1 Program Budget - 2024-2027'!AP:AP,'4.1 Program Budget - 2024-2027'!$G:$G,$B8,'4.1 Program Budget - 2024-2027'!$H:$H,README!$M$8)</f>
        <v>2312.4652000000001</v>
      </c>
      <c r="L8" s="759">
        <f>SUMIFS('4.1 Program Budget - 2024-2027'!AQ:AQ,'4.1 Program Budget - 2024-2027'!$G:$G,$B8,'4.1 Program Budget - 2024-2027'!$H:$H,README!$M$8)</f>
        <v>6919580.55614</v>
      </c>
      <c r="M8" s="1139">
        <f>SUMIFS('4.1 Program Budget - 2024-2027'!AR:AR,'4.1 Program Budget - 2024-2027'!$G:$G,$B8,'4.1 Program Budget - 2024-2027'!$H:$H,README!$M$8)</f>
        <v>2993.5612780900001</v>
      </c>
      <c r="N8" s="1139">
        <f>SUMIFS('4.1 Program Budget - 2024-2027'!AS:AS,'4.1 Program Budget - 2024-2027'!$G:$G,$B8,'4.1 Program Budget - 2024-2027'!$H:$H,README!$M$8)</f>
        <v>40525.175281899996</v>
      </c>
      <c r="O8" s="758">
        <f>SUMIFS('4.1 Program Budget - 2024-2027'!BC:BC,'4.1 Program Budget - 2024-2027'!$G:$G,$B8,'4.1 Program Budget - 2024-2027'!$H:$H,README!$M$8)</f>
        <v>34016801.078449383</v>
      </c>
      <c r="P8" s="759">
        <f>SUMIFS('4.1 Program Budget - 2024-2027'!BG:BG,'4.1 Program Budget - 2024-2027'!$G:$G,$B8,'4.1 Program Budget - 2024-2027'!$H:$H,README!$M$8)</f>
        <v>11211513.4651</v>
      </c>
      <c r="Q8" s="759">
        <f>SUMIFS('4.1 Program Budget - 2024-2027'!BH:BH,'4.1 Program Budget - 2024-2027'!$G:$G,$B8,'4.1 Program Budget - 2024-2027'!$H:$H,README!$M$8)</f>
        <v>2312.4151999999999</v>
      </c>
      <c r="R8" s="759">
        <f>SUMIFS('4.1 Program Budget - 2024-2027'!BI:BI,'4.1 Program Budget - 2024-2027'!$G:$G,$B8,'4.1 Program Budget - 2024-2027'!$H:$H,README!$M$8)</f>
        <v>6903578.76614</v>
      </c>
      <c r="S8" s="1139">
        <f>SUMIFS('4.1 Program Budget - 2024-2027'!BJ:BJ,'4.1 Program Budget - 2024-2027'!$G:$G,$B8,'4.1 Program Budget - 2024-2027'!$H:$H,README!$M$8)</f>
        <v>2716.5448605369997</v>
      </c>
      <c r="T8" s="1139">
        <f>SUMIFS('4.1 Program Budget - 2024-2027'!BK:BK,'4.1 Program Budget - 2024-2027'!$G:$G,$B8,'4.1 Program Budget - 2024-2027'!$H:$H,README!$M$8)</f>
        <v>40433.8052819</v>
      </c>
      <c r="U8" s="758">
        <f>SUMIFS('4.1 Program Budget - 2024-2027'!BU:BU,'4.1 Program Budget - 2024-2027'!$G:$G,$B8,'4.1 Program Budget - 2024-2027'!$H:$H,README!$M$8)</f>
        <v>34332748.673512265</v>
      </c>
      <c r="V8" s="759">
        <f>SUMIFS('4.1 Program Budget - 2024-2027'!BY:BY,'4.1 Program Budget - 2024-2027'!$G:$G,$B8,'4.1 Program Budget - 2024-2027'!$H:$H,README!$M$8)</f>
        <v>11211800.4651</v>
      </c>
      <c r="W8" s="759">
        <f>SUMIFS('4.1 Program Budget - 2024-2027'!BZ:BZ,'4.1 Program Budget - 2024-2027'!$G:$G,$B8,'4.1 Program Budget - 2024-2027'!$H:$H,README!$M$8)</f>
        <v>2312.2152000000001</v>
      </c>
      <c r="X8" s="759">
        <f>SUMIFS('4.1 Program Budget - 2024-2027'!CA:CA,'4.1 Program Budget - 2024-2027'!$G:$G,$B8,'4.1 Program Budget - 2024-2027'!$H:$H,README!$M$8)</f>
        <v>7103128.7061400004</v>
      </c>
      <c r="Y8" s="1139">
        <f>SUMIFS('4.1 Program Budget - 2024-2027'!CB:CB,'4.1 Program Budget - 2024-2027'!$G:$G,$B8,'4.1 Program Budget - 2024-2027'!$H:$H,README!$M$8)</f>
        <v>2545.4389813099997</v>
      </c>
      <c r="Z8" s="1139">
        <f>SUMIFS('4.1 Program Budget - 2024-2027'!CC:CC,'4.1 Program Budget - 2024-2027'!$G:$G,$B8,'4.1 Program Budget - 2024-2027'!$H:$H,README!$M$8)</f>
        <v>41604.135281900002</v>
      </c>
      <c r="AA8" s="758">
        <f>SUMIFS('4.2 Program Budget 2028-2031'!I:I,'4.2 Program Budget 2028-2031'!D:D,B8,'4.2 Program Budget 2028-2031'!F:F,README!$M$8)</f>
        <v>35431396.631064661</v>
      </c>
      <c r="AB8" s="759">
        <f>SUMIFS('4.2 Program Budget 2028-2031'!J:J,'4.2 Program Budget 2028-2031'!$D:$D,$B8,'4.2 Program Budget 2028-2031'!$F:$F,README!$M$8)</f>
        <v>15176732</v>
      </c>
      <c r="AC8" s="759">
        <f>SUMIFS('4.2 Program Budget 2028-2031'!K:K,'4.2 Program Budget 2028-2031'!$D:$D,$B8,'4.2 Program Budget 2028-2031'!$F:$F,README!$M$8)</f>
        <v>3469</v>
      </c>
      <c r="AD8" s="759">
        <f>SUMIFS('4.2 Program Budget 2028-2031'!L:L,'4.2 Program Budget 2028-2031'!$D:$D,$B8,'4.2 Program Budget 2028-2031'!$F:$F,README!$M$8)</f>
        <v>6513954</v>
      </c>
      <c r="AE8" s="759">
        <f>SUMIFS('4.2 Program Budget 2028-2031'!M:M,'4.2 Program Budget 2028-2031'!$D:$D,$B8,'4.2 Program Budget 2028-2031'!$F:$F,README!$M$8)</f>
        <v>3172</v>
      </c>
      <c r="AF8" s="759">
        <f>SUMIFS('4.2 Program Budget 2028-2031'!N:N,'4.2 Program Budget 2028-2031'!$D:$D,$B8,'4.2 Program Budget 2028-2031'!$F:$F,README!$M$8)</f>
        <v>38107</v>
      </c>
      <c r="AG8" s="758">
        <f>SUMIFS('4.2 Program Budget 2028-2031'!T:T,'4.2 Program Budget 2028-2031'!$D:$D,$B8,'4.2 Program Budget 2028-2031'!$F:$F,README!$M$8)</f>
        <v>36565201.323258728</v>
      </c>
      <c r="AH8" s="759">
        <f>SUMIFS('4.2 Program Budget 2028-2031'!U:U,'4.2 Program Budget 2028-2031'!$D:$D,$B8,'4.2 Program Budget 2028-2031'!$F:$F,README!$M$8)</f>
        <v>15546988</v>
      </c>
      <c r="AI8" s="759">
        <f>SUMIFS('4.2 Program Budget 2028-2031'!V:V,'4.2 Program Budget 2028-2031'!$D:$D,$B8,'4.2 Program Budget 2028-2031'!$F:$F,README!$M$8)</f>
        <v>3546</v>
      </c>
      <c r="AJ8" s="759">
        <f>SUMIFS('4.2 Program Budget 2028-2031'!W:W,'4.2 Program Budget 2028-2031'!$D:$D,$B8,'4.2 Program Budget 2028-2031'!$F:$F,README!$M$8)</f>
        <v>6693228</v>
      </c>
      <c r="AK8" s="759">
        <f>SUMIFS('4.2 Program Budget 2028-2031'!X:X,'4.2 Program Budget 2028-2031'!$D:$D,$B8,'4.2 Program Budget 2028-2031'!$F:$F,README!$M$8)</f>
        <v>2976</v>
      </c>
      <c r="AL8" s="759">
        <f>SUMIFS('4.2 Program Budget 2028-2031'!Y:Y,'4.2 Program Budget 2028-2031'!$D:$D,$B8,'4.2 Program Budget 2028-2031'!$F:$F,README!$M$8)</f>
        <v>39155</v>
      </c>
      <c r="AM8" s="758">
        <f>SUMIFS('4.2 Program Budget 2028-2031'!AE:AE,'4.2 Program Budget 2028-2031'!$D:$D,$B8,'4.2 Program Budget 2028-2031'!$F:$F,README!$M$8)</f>
        <v>37735287.765603006</v>
      </c>
      <c r="AN8" s="759">
        <f>SUMIFS('4.2 Program Budget 2028-2031'!AF:AF,'4.2 Program Budget 2028-2031'!$D:$D,$B8,'4.2 Program Budget 2028-2031'!$F:$F,README!$M$8)</f>
        <v>15929091</v>
      </c>
      <c r="AO8" s="759">
        <f>SUMIFS('4.2 Program Budget 2028-2031'!AG:AG,'4.2 Program Budget 2028-2031'!$D:$D,$B8,'4.2 Program Budget 2028-2031'!$F:$F,README!$M$8)</f>
        <v>3625</v>
      </c>
      <c r="AP8" s="759">
        <f>SUMIFS('4.2 Program Budget 2028-2031'!AH:AH,'4.2 Program Budget 2028-2031'!$D:$D,$B8,'4.2 Program Budget 2028-2031'!$F:$F,README!$M$8)</f>
        <v>6878239</v>
      </c>
      <c r="AQ8" s="759">
        <f>SUMIFS('4.2 Program Budget 2028-2031'!AI:AI,'4.2 Program Budget 2028-2031'!$D:$D,$B8,'4.2 Program Budget 2028-2031'!$F:$F,README!$M$8)</f>
        <v>3019</v>
      </c>
      <c r="AR8" s="760">
        <f>SUMIFS('4.2 Program Budget 2028-2031'!AJ:AJ,'4.2 Program Budget 2028-2031'!$D:$D,$B8,'4.2 Program Budget 2028-2031'!$F:$F,README!$M$8)</f>
        <v>40238</v>
      </c>
      <c r="AS8" s="758">
        <f>SUMIFS('4.2 Program Budget 2028-2031'!AP:AP,'4.2 Program Budget 2028-2031'!$D:$D,$B8,'4.2 Program Budget 2028-2031'!$F:$F,README!$M$8)</f>
        <v>38942816.974102303</v>
      </c>
      <c r="AT8" s="759">
        <f>SUMIFS('4.2 Program Budget 2028-2031'!AQ:AQ,'4.2 Program Budget 2028-2031'!$D:$D,$B8,'4.2 Program Budget 2028-2031'!$F:$F,README!$M$8)</f>
        <v>16323423</v>
      </c>
      <c r="AU8" s="759">
        <f>SUMIFS('4.2 Program Budget 2028-2031'!AR:AR,'4.2 Program Budget 2028-2031'!$D:$D,$B8,'4.2 Program Budget 2028-2031'!$F:$F,README!$M$8)</f>
        <v>3706</v>
      </c>
      <c r="AV8" s="759">
        <f>SUMIFS('4.2 Program Budget 2028-2031'!AS:AS,'4.2 Program Budget 2028-2031'!$D:$D,$B8,'4.2 Program Budget 2028-2031'!$F:$F,README!$M$8)</f>
        <v>7069169</v>
      </c>
      <c r="AW8" s="759">
        <f>SUMIFS('4.2 Program Budget 2028-2031'!AT:AT,'4.2 Program Budget 2028-2031'!$D:$D,$B8,'4.2 Program Budget 2028-2031'!$F:$F,README!$M$8)</f>
        <v>3226</v>
      </c>
      <c r="AX8" s="759">
        <f>SUMIFS('4.2 Program Budget 2028-2031'!AU:AU,'4.2 Program Budget 2028-2031'!$D:$D,$B8,'4.2 Program Budget 2028-2031'!$F:$F,README!$M$8)</f>
        <v>41355</v>
      </c>
      <c r="AZ8" s="761" t="s">
        <v>957</v>
      </c>
      <c r="BB8" s="1140"/>
      <c r="BC8" s="1141"/>
      <c r="BD8" s="1141"/>
      <c r="BE8" s="1141"/>
    </row>
    <row r="9" spans="1:57">
      <c r="B9" s="757" t="s">
        <v>25</v>
      </c>
      <c r="C9" s="758">
        <f>SUMIFS('4.1 Program Budget - 2024-2027'!S:S,'4.1 Program Budget - 2024-2027'!$G:$G,$B9,'4.1 Program Budget - 2024-2027'!$H:$H,README!$M$8)</f>
        <v>17934037.672551785</v>
      </c>
      <c r="D9" s="1139">
        <f>SUMIFS('4.1 Program Budget - 2024-2027'!W:W,'4.1 Program Budget - 2024-2027'!$G:$G,$B9,'4.1 Program Budget - 2024-2027'!$H:$H,README!$M$8)</f>
        <v>1857.38</v>
      </c>
      <c r="E9" s="1139">
        <f>SUMIFS('4.1 Program Budget - 2024-2027'!X:X,'4.1 Program Budget - 2024-2027'!$G:$G,$B9,'4.1 Program Budget - 2024-2027'!$H:$H,README!$M$8)</f>
        <v>0</v>
      </c>
      <c r="F9" s="1139">
        <f>SUMIFS('4.1 Program Budget - 2024-2027'!Y:Y,'4.1 Program Budget - 2024-2027'!$G:$G,$B9,'4.1 Program Budget - 2024-2027'!$H:$H,README!$M$8)</f>
        <v>4657270.01</v>
      </c>
      <c r="G9" s="1139">
        <f>SUMIFS('4.1 Program Budget - 2024-2027'!Z:Z,'4.1 Program Budget - 2024-2027'!$G:$G,$B9,'4.1 Program Budget - 2024-2027'!$H:$H,README!$M$8)</f>
        <v>0.3</v>
      </c>
      <c r="H9" s="1139">
        <f>SUMIFS('4.1 Program Budget - 2024-2027'!AA:AA,'4.1 Program Budget - 2024-2027'!$G:$G,$B9,'4.1 Program Budget - 2024-2027'!$H:$H,README!$M$8)</f>
        <v>27245.030000000002</v>
      </c>
      <c r="I9" s="758">
        <f>SUMIFS('4.1 Program Budget - 2024-2027'!AK:AK,'4.1 Program Budget - 2024-2027'!$G:$G,$B9,'4.1 Program Budget - 2024-2027'!$H:$H,README!$M$8)</f>
        <v>17758381.840876214</v>
      </c>
      <c r="J9" s="759">
        <f>SUMIFS('4.1 Program Budget - 2024-2027'!AO:AO,'4.1 Program Budget - 2024-2027'!$G:$G,$B9,'4.1 Program Budget - 2024-2027'!$H:$H,README!$M$8)</f>
        <v>1890.4</v>
      </c>
      <c r="K9" s="759">
        <f>SUMIFS('4.1 Program Budget - 2024-2027'!AP:AP,'4.1 Program Budget - 2024-2027'!$G:$G,$B9,'4.1 Program Budget - 2024-2027'!$H:$H,README!$M$8)</f>
        <v>7.0000000000000007E-2</v>
      </c>
      <c r="L9" s="759">
        <f>SUMIFS('4.1 Program Budget - 2024-2027'!AQ:AQ,'4.1 Program Budget - 2024-2027'!$G:$G,$B9,'4.1 Program Budget - 2024-2027'!$H:$H,README!$M$8)</f>
        <v>4666315.34</v>
      </c>
      <c r="M9" s="1139">
        <f>SUMIFS('4.1 Program Budget - 2024-2027'!AR:AR,'4.1 Program Budget - 2024-2027'!$G:$G,$B9,'4.1 Program Budget - 2024-2027'!$H:$H,README!$M$8)</f>
        <v>0.34</v>
      </c>
      <c r="N9" s="1139">
        <f>SUMIFS('4.1 Program Budget - 2024-2027'!AS:AS,'4.1 Program Budget - 2024-2027'!$G:$G,$B9,'4.1 Program Budget - 2024-2027'!$H:$H,README!$M$8)</f>
        <v>27297.95</v>
      </c>
      <c r="O9" s="758">
        <f>SUMIFS('4.1 Program Budget - 2024-2027'!BC:BC,'4.1 Program Budget - 2024-2027'!$G:$G,$B9,'4.1 Program Budget - 2024-2027'!$H:$H,README!$M$8)</f>
        <v>17521072.923868991</v>
      </c>
      <c r="P9" s="759">
        <f>SUMIFS('4.1 Program Budget - 2024-2027'!BG:BG,'4.1 Program Budget - 2024-2027'!$G:$G,$B9,'4.1 Program Budget - 2024-2027'!$H:$H,README!$M$8)</f>
        <v>1901</v>
      </c>
      <c r="Q9" s="759">
        <f>SUMIFS('4.1 Program Budget - 2024-2027'!BH:BH,'4.1 Program Budget - 2024-2027'!$G:$G,$B9,'4.1 Program Budget - 2024-2027'!$H:$H,README!$M$8)</f>
        <v>0.05</v>
      </c>
      <c r="R9" s="759">
        <f>SUMIFS('4.1 Program Budget - 2024-2027'!BI:BI,'4.1 Program Budget - 2024-2027'!$G:$G,$B9,'4.1 Program Budget - 2024-2027'!$H:$H,README!$M$8)</f>
        <v>4558190.5</v>
      </c>
      <c r="S9" s="1139">
        <f>SUMIFS('4.1 Program Budget - 2024-2027'!BJ:BJ,'4.1 Program Budget - 2024-2027'!$G:$G,$B9,'4.1 Program Budget - 2024-2027'!$H:$H,README!$M$8)</f>
        <v>0.37816946200000001</v>
      </c>
      <c r="T9" s="1139">
        <f>SUMIFS('4.1 Program Budget - 2024-2027'!BK:BK,'4.1 Program Budget - 2024-2027'!$G:$G,$B9,'4.1 Program Budget - 2024-2027'!$H:$H,README!$M$8)</f>
        <v>26665.420000000002</v>
      </c>
      <c r="U9" s="758">
        <f>SUMIFS('4.1 Program Budget - 2024-2027'!BU:BU,'4.1 Program Budget - 2024-2027'!$G:$G,$B9,'4.1 Program Budget - 2024-2027'!$H:$H,README!$M$8)</f>
        <v>17617550.573491782</v>
      </c>
      <c r="V9" s="759">
        <f>SUMIFS('4.1 Program Budget - 2024-2027'!BY:BY,'4.1 Program Budget - 2024-2027'!$G:$G,$B9,'4.1 Program Budget - 2024-2027'!$H:$H,README!$M$8)</f>
        <v>1978</v>
      </c>
      <c r="W9" s="759">
        <f>SUMIFS('4.1 Program Budget - 2024-2027'!BZ:BZ,'4.1 Program Budget - 2024-2027'!$G:$G,$B9,'4.1 Program Budget - 2024-2027'!$H:$H,README!$M$8)</f>
        <v>0</v>
      </c>
      <c r="X9" s="759">
        <f>SUMIFS('4.1 Program Budget - 2024-2027'!CA:CA,'4.1 Program Budget - 2024-2027'!$G:$G,$B9,'4.1 Program Budget - 2024-2027'!$H:$H,README!$M$8)</f>
        <v>4601714</v>
      </c>
      <c r="Y9" s="1139">
        <f>SUMIFS('4.1 Program Budget - 2024-2027'!CB:CB,'4.1 Program Budget - 2024-2027'!$G:$G,$B9,'4.1 Program Budget - 2024-2027'!$H:$H,README!$M$8)</f>
        <v>0</v>
      </c>
      <c r="Z9" s="1139">
        <f>SUMIFS('4.1 Program Budget - 2024-2027'!CC:CC,'4.1 Program Budget - 2024-2027'!$G:$G,$B9,'4.1 Program Budget - 2024-2027'!$H:$H,README!$M$8)</f>
        <v>26920.65</v>
      </c>
      <c r="AA9" s="758">
        <f>SUMIFS('4.2 Program Budget 2028-2031'!I:I,'4.2 Program Budget 2028-2031'!D:D,B9,'4.2 Program Budget 2028-2031'!F:F,README!$M$8)</f>
        <v>18181312.191843521</v>
      </c>
      <c r="AB9" s="759">
        <f>SUMIFS('4.2 Program Budget 2028-2031'!J:J,'4.2 Program Budget 2028-2031'!$D:$D,$B9,'4.2 Program Budget 2028-2031'!$F:$F,README!$M$8)</f>
        <v>2071</v>
      </c>
      <c r="AC9" s="759">
        <f>SUMIFS('4.2 Program Budget 2028-2031'!K:K,'4.2 Program Budget 2028-2031'!$D:$D,$B9,'4.2 Program Budget 2028-2031'!$F:$F,README!$M$8)</f>
        <v>0</v>
      </c>
      <c r="AD9" s="759">
        <f>SUMIFS('4.2 Program Budget 2028-2031'!L:L,'4.2 Program Budget 2028-2031'!$D:$D,$B9,'4.2 Program Budget 2028-2031'!$F:$F,README!$M$8)</f>
        <v>4832679</v>
      </c>
      <c r="AE9" s="759">
        <f>SUMIFS('4.2 Program Budget 2028-2031'!M:M,'4.2 Program Budget 2028-2031'!$D:$D,$B9,'4.2 Program Budget 2028-2031'!$F:$F,README!$M$8)</f>
        <v>0</v>
      </c>
      <c r="AF9" s="759">
        <f>SUMIFS('4.2 Program Budget 2028-2031'!N:N,'4.2 Program Budget 2028-2031'!$D:$D,$B9,'4.2 Program Budget 2028-2031'!$F:$F,README!$M$8)</f>
        <v>28271</v>
      </c>
      <c r="AG9" s="758">
        <f>SUMIFS('4.2 Program Budget 2028-2031'!T:T,'4.2 Program Budget 2028-2031'!$D:$D,$B9,'4.2 Program Budget 2028-2031'!$F:$F,README!$M$8)</f>
        <v>18763114.181982514</v>
      </c>
      <c r="AH9" s="759">
        <f>SUMIFS('4.2 Program Budget 2028-2031'!U:U,'4.2 Program Budget 2028-2031'!$D:$D,$B9,'4.2 Program Budget 2028-2031'!$F:$F,README!$M$8)</f>
        <v>2138</v>
      </c>
      <c r="AI9" s="759">
        <f>SUMIFS('4.2 Program Budget 2028-2031'!V:V,'4.2 Program Budget 2028-2031'!$D:$D,$B9,'4.2 Program Budget 2028-2031'!$F:$F,README!$M$8)</f>
        <v>0</v>
      </c>
      <c r="AJ9" s="759">
        <f>SUMIFS('4.2 Program Budget 2028-2031'!W:W,'4.2 Program Budget 2028-2031'!$D:$D,$B9,'4.2 Program Budget 2028-2031'!$F:$F,README!$M$8)</f>
        <v>4987325</v>
      </c>
      <c r="AK9" s="759">
        <f>SUMIFS('4.2 Program Budget 2028-2031'!X:X,'4.2 Program Budget 2028-2031'!$D:$D,$B9,'4.2 Program Budget 2028-2031'!$F:$F,README!$M$8)</f>
        <v>0</v>
      </c>
      <c r="AL9" s="759">
        <f>SUMIFS('4.2 Program Budget 2028-2031'!Y:Y,'4.2 Program Budget 2028-2031'!$D:$D,$B9,'4.2 Program Budget 2028-2031'!$F:$F,README!$M$8)</f>
        <v>29176</v>
      </c>
      <c r="AM9" s="758">
        <f>SUMIFS('4.2 Program Budget 2028-2031'!AE:AE,'4.2 Program Budget 2028-2031'!$D:$D,$B9,'4.2 Program Budget 2028-2031'!$F:$F,README!$M$8)</f>
        <v>19363533.835805956</v>
      </c>
      <c r="AN9" s="759">
        <f>SUMIFS('4.2 Program Budget 2028-2031'!AF:AF,'4.2 Program Budget 2028-2031'!$D:$D,$B9,'4.2 Program Budget 2028-2031'!$F:$F,README!$M$8)</f>
        <v>2206</v>
      </c>
      <c r="AO9" s="759">
        <f>SUMIFS('4.2 Program Budget 2028-2031'!AG:AG,'4.2 Program Budget 2028-2031'!$D:$D,$B9,'4.2 Program Budget 2028-2031'!$F:$F,README!$M$8)</f>
        <v>0</v>
      </c>
      <c r="AP9" s="759">
        <f>SUMIFS('4.2 Program Budget 2028-2031'!AH:AH,'4.2 Program Budget 2028-2031'!$D:$D,$B9,'4.2 Program Budget 2028-2031'!$F:$F,README!$M$8)</f>
        <v>5146919</v>
      </c>
      <c r="AQ9" s="759">
        <f>SUMIFS('4.2 Program Budget 2028-2031'!AI:AI,'4.2 Program Budget 2028-2031'!$D:$D,$B9,'4.2 Program Budget 2028-2031'!$F:$F,README!$M$8)</f>
        <v>0</v>
      </c>
      <c r="AR9" s="760">
        <f>SUMIFS('4.2 Program Budget 2028-2031'!AJ:AJ,'4.2 Program Budget 2028-2031'!$D:$D,$B9,'4.2 Program Budget 2028-2031'!$F:$F,README!$M$8)</f>
        <v>30109</v>
      </c>
      <c r="AS9" s="758">
        <f>SUMIFS('4.2 Program Budget 2028-2031'!AP:AP,'4.2 Program Budget 2028-2031'!$D:$D,$B9,'4.2 Program Budget 2028-2031'!$F:$F,README!$M$8)</f>
        <v>19983166.918551747</v>
      </c>
      <c r="AT9" s="759">
        <f>SUMIFS('4.2 Program Budget 2028-2031'!AQ:AQ,'4.2 Program Budget 2028-2031'!$D:$D,$B9,'4.2 Program Budget 2028-2031'!$F:$F,README!$M$8)</f>
        <v>2277</v>
      </c>
      <c r="AU9" s="759">
        <f>SUMIFS('4.2 Program Budget 2028-2031'!AR:AR,'4.2 Program Budget 2028-2031'!$D:$D,$B9,'4.2 Program Budget 2028-2031'!$F:$F,README!$M$8)</f>
        <v>0</v>
      </c>
      <c r="AV9" s="759">
        <f>SUMIFS('4.2 Program Budget 2028-2031'!AS:AS,'4.2 Program Budget 2028-2031'!$D:$D,$B9,'4.2 Program Budget 2028-2031'!$F:$F,README!$M$8)</f>
        <v>5311621</v>
      </c>
      <c r="AW9" s="759">
        <f>SUMIFS('4.2 Program Budget 2028-2031'!AT:AT,'4.2 Program Budget 2028-2031'!$D:$D,$B9,'4.2 Program Budget 2028-2031'!$F:$F,README!$M$8)</f>
        <v>0</v>
      </c>
      <c r="AX9" s="759">
        <f>SUMIFS('4.2 Program Budget 2028-2031'!AU:AU,'4.2 Program Budget 2028-2031'!$D:$D,$B9,'4.2 Program Budget 2028-2031'!$F:$F,README!$M$8)</f>
        <v>31073</v>
      </c>
      <c r="AZ9" s="761"/>
      <c r="BB9" s="1140"/>
      <c r="BC9" s="1141"/>
      <c r="BD9" s="1141"/>
      <c r="BE9" s="1141"/>
    </row>
    <row r="10" spans="1:57">
      <c r="B10" s="757" t="s">
        <v>27</v>
      </c>
      <c r="C10" s="758">
        <f>SUMIFS('4.1 Program Budget - 2024-2027'!S:S,'4.1 Program Budget - 2024-2027'!$G:$G,$B10,'4.1 Program Budget - 2024-2027'!$H:$H,README!$M$8)</f>
        <v>4539063.3721781094</v>
      </c>
      <c r="D10" s="1139">
        <f>SUMIFS('4.1 Program Budget - 2024-2027'!W:W,'4.1 Program Budget - 2024-2027'!$G:$G,$B10,'4.1 Program Budget - 2024-2027'!$H:$H,README!$M$8)</f>
        <v>35516.42</v>
      </c>
      <c r="E10" s="1139">
        <f>SUMIFS('4.1 Program Budget - 2024-2027'!X:X,'4.1 Program Budget - 2024-2027'!$G:$G,$B10,'4.1 Program Budget - 2024-2027'!$H:$H,README!$M$8)</f>
        <v>0</v>
      </c>
      <c r="F10" s="1139">
        <f>SUMIFS('4.1 Program Budget - 2024-2027'!Y:Y,'4.1 Program Budget - 2024-2027'!$G:$G,$B10,'4.1 Program Budget - 2024-2027'!$H:$H,README!$M$8)</f>
        <v>597888.41999999993</v>
      </c>
      <c r="G10" s="1139">
        <f>SUMIFS('4.1 Program Budget - 2024-2027'!Z:Z,'4.1 Program Budget - 2024-2027'!$G:$G,$B10,'4.1 Program Budget - 2024-2027'!$H:$H,README!$M$8)</f>
        <v>2.6300000000000003</v>
      </c>
      <c r="H10" s="1139">
        <f>SUMIFS('4.1 Program Budget - 2024-2027'!AA:AA,'4.1 Program Budget - 2024-2027'!$G:$G,$B10,'4.1 Program Budget - 2024-2027'!$H:$H,README!$M$8)</f>
        <v>3497.65</v>
      </c>
      <c r="I10" s="758">
        <f>SUMIFS('4.1 Program Budget - 2024-2027'!AK:AK,'4.1 Program Budget - 2024-2027'!$G:$G,$B10,'4.1 Program Budget - 2024-2027'!$H:$H,README!$M$8)</f>
        <v>4555039.9489943832</v>
      </c>
      <c r="J10" s="759">
        <f>SUMIFS('4.1 Program Budget - 2024-2027'!AO:AO,'4.1 Program Budget - 2024-2027'!$G:$G,$B10,'4.1 Program Budget - 2024-2027'!$H:$H,README!$M$8)</f>
        <v>35538.555</v>
      </c>
      <c r="K10" s="759">
        <f>SUMIFS('4.1 Program Budget - 2024-2027'!AP:AP,'4.1 Program Budget - 2024-2027'!$G:$G,$B10,'4.1 Program Budget - 2024-2027'!$H:$H,README!$M$8)</f>
        <v>0.04</v>
      </c>
      <c r="L10" s="759">
        <f>SUMIFS('4.1 Program Budget - 2024-2027'!AQ:AQ,'4.1 Program Budget - 2024-2027'!$G:$G,$B10,'4.1 Program Budget - 2024-2027'!$H:$H,README!$M$8)</f>
        <v>584386.16</v>
      </c>
      <c r="M10" s="1139">
        <f>SUMIFS('4.1 Program Budget - 2024-2027'!AR:AR,'4.1 Program Budget - 2024-2027'!$G:$G,$B10,'4.1 Program Budget - 2024-2027'!$H:$H,README!$M$8)</f>
        <v>3.7133427399999999</v>
      </c>
      <c r="N10" s="1139">
        <f>SUMIFS('4.1 Program Budget - 2024-2027'!AS:AS,'4.1 Program Budget - 2024-2027'!$G:$G,$B10,'4.1 Program Budget - 2024-2027'!$H:$H,README!$M$8)</f>
        <v>3418.65625</v>
      </c>
      <c r="O10" s="758">
        <f>SUMIFS('4.1 Program Budget - 2024-2027'!BC:BC,'4.1 Program Budget - 2024-2027'!$G:$G,$B10,'4.1 Program Budget - 2024-2027'!$H:$H,README!$M$8)</f>
        <v>4606757.9481939394</v>
      </c>
      <c r="P10" s="759">
        <f>SUMIFS('4.1 Program Budget - 2024-2027'!BG:BG,'4.1 Program Budget - 2024-2027'!$G:$G,$B10,'4.1 Program Budget - 2024-2027'!$H:$H,README!$M$8)</f>
        <v>35545.375</v>
      </c>
      <c r="Q10" s="759">
        <f>SUMIFS('4.1 Program Budget - 2024-2027'!BH:BH,'4.1 Program Budget - 2024-2027'!$G:$G,$B10,'4.1 Program Budget - 2024-2027'!$H:$H,README!$M$8)</f>
        <v>0.04</v>
      </c>
      <c r="R10" s="759">
        <f>SUMIFS('4.1 Program Budget - 2024-2027'!BI:BI,'4.1 Program Budget - 2024-2027'!$G:$G,$B10,'4.1 Program Budget - 2024-2027'!$H:$H,README!$M$8)</f>
        <v>567612.41</v>
      </c>
      <c r="S10" s="1139">
        <f>SUMIFS('4.1 Program Budget - 2024-2027'!BJ:BJ,'4.1 Program Budget - 2024-2027'!$G:$G,$B10,'4.1 Program Budget - 2024-2027'!$H:$H,README!$M$8)</f>
        <v>4.024559343</v>
      </c>
      <c r="T10" s="1139">
        <f>SUMIFS('4.1 Program Budget - 2024-2027'!BK:BK,'4.1 Program Budget - 2024-2027'!$G:$G,$B10,'4.1 Program Budget - 2024-2027'!$H:$H,README!$M$8)</f>
        <v>3320.5362500000001</v>
      </c>
      <c r="U10" s="758">
        <f>SUMIFS('4.1 Program Budget - 2024-2027'!BU:BU,'4.1 Program Budget - 2024-2027'!$G:$G,$B10,'4.1 Program Budget - 2024-2027'!$H:$H,README!$M$8)</f>
        <v>4653062.0773608228</v>
      </c>
      <c r="V10" s="759">
        <f>SUMIFS('4.1 Program Budget - 2024-2027'!BY:BY,'4.1 Program Budget - 2024-2027'!$G:$G,$B10,'4.1 Program Budget - 2024-2027'!$H:$H,README!$M$8)</f>
        <v>35597.375</v>
      </c>
      <c r="W10" s="759">
        <f>SUMIFS('4.1 Program Budget - 2024-2027'!BZ:BZ,'4.1 Program Budget - 2024-2027'!$G:$G,$B10,'4.1 Program Budget - 2024-2027'!$H:$H,README!$M$8)</f>
        <v>0</v>
      </c>
      <c r="X10" s="759">
        <f>SUMIFS('4.1 Program Budget - 2024-2027'!CA:CA,'4.1 Program Budget - 2024-2027'!$G:$G,$B10,'4.1 Program Budget - 2024-2027'!$H:$H,README!$M$8)</f>
        <v>597177</v>
      </c>
      <c r="Y10" s="1139">
        <f>SUMIFS('4.1 Program Budget - 2024-2027'!CB:CB,'4.1 Program Budget - 2024-2027'!$G:$G,$B10,'4.1 Program Budget - 2024-2027'!$H:$H,README!$M$8)</f>
        <v>4.6388612069999997</v>
      </c>
      <c r="Z10" s="1139">
        <f>SUMIFS('4.1 Program Budget - 2024-2027'!CC:CC,'4.1 Program Budget - 2024-2027'!$G:$G,$B10,'4.1 Program Budget - 2024-2027'!$H:$H,README!$M$8)</f>
        <v>3493.8262500000001</v>
      </c>
      <c r="AA10" s="758">
        <f>SUMIFS('4.2 Program Budget 2028-2031'!I:I,'4.2 Program Budget 2028-2031'!D:D,B10,'4.2 Program Budget 2028-2031'!F:F,README!$M$8)</f>
        <v>4801960.0638363697</v>
      </c>
      <c r="AB10" s="759">
        <f>SUMIFS('4.2 Program Budget 2028-2031'!J:J,'4.2 Program Budget 2028-2031'!$D:$D,$B10,'4.2 Program Budget 2028-2031'!$F:$F,README!$M$8)</f>
        <v>36756</v>
      </c>
      <c r="AC10" s="759">
        <f>SUMIFS('4.2 Program Budget 2028-2031'!K:K,'4.2 Program Budget 2028-2031'!$D:$D,$B10,'4.2 Program Budget 2028-2031'!$F:$F,README!$M$8)</f>
        <v>0</v>
      </c>
      <c r="AD10" s="759">
        <f>SUMIFS('4.2 Program Budget 2028-2031'!L:L,'4.2 Program Budget 2028-2031'!$D:$D,$B10,'4.2 Program Budget 2028-2031'!$F:$F,README!$M$8)</f>
        <v>608065</v>
      </c>
      <c r="AE10" s="759">
        <f>SUMIFS('4.2 Program Budget 2028-2031'!M:M,'4.2 Program Budget 2028-2031'!$D:$D,$B10,'4.2 Program Budget 2028-2031'!$F:$F,README!$M$8)</f>
        <v>5</v>
      </c>
      <c r="AF10" s="759">
        <f>SUMIFS('4.2 Program Budget 2028-2031'!N:N,'4.2 Program Budget 2028-2031'!$D:$D,$B10,'4.2 Program Budget 2028-2031'!$F:$F,README!$M$8)</f>
        <v>3557</v>
      </c>
      <c r="AG10" s="758">
        <f>SUMIFS('4.2 Program Budget 2028-2031'!T:T,'4.2 Program Budget 2028-2031'!$D:$D,$B10,'4.2 Program Budget 2028-2031'!$F:$F,README!$M$8)</f>
        <v>4955622.7858791333</v>
      </c>
      <c r="AH10" s="759">
        <f>SUMIFS('4.2 Program Budget 2028-2031'!U:U,'4.2 Program Budget 2028-2031'!$D:$D,$B10,'4.2 Program Budget 2028-2031'!$F:$F,README!$M$8)</f>
        <v>37932</v>
      </c>
      <c r="AI10" s="759">
        <f>SUMIFS('4.2 Program Budget 2028-2031'!V:V,'4.2 Program Budget 2028-2031'!$D:$D,$B10,'4.2 Program Budget 2028-2031'!$F:$F,README!$M$8)</f>
        <v>0</v>
      </c>
      <c r="AJ10" s="759">
        <f>SUMIFS('4.2 Program Budget 2028-2031'!W:W,'4.2 Program Budget 2028-2031'!$D:$D,$B10,'4.2 Program Budget 2028-2031'!$F:$F,README!$M$8)</f>
        <v>627524</v>
      </c>
      <c r="AK10" s="759">
        <f>SUMIFS('4.2 Program Budget 2028-2031'!X:X,'4.2 Program Budget 2028-2031'!$D:$D,$B10,'4.2 Program Budget 2028-2031'!$F:$F,README!$M$8)</f>
        <v>4</v>
      </c>
      <c r="AL10" s="759">
        <f>SUMIFS('4.2 Program Budget 2028-2031'!Y:Y,'4.2 Program Budget 2028-2031'!$D:$D,$B10,'4.2 Program Budget 2028-2031'!$F:$F,README!$M$8)</f>
        <v>3671</v>
      </c>
      <c r="AM10" s="758">
        <f>SUMIFS('4.2 Program Budget 2028-2031'!AE:AE,'4.2 Program Budget 2028-2031'!$D:$D,$B10,'4.2 Program Budget 2028-2031'!$F:$F,README!$M$8)</f>
        <v>5114202.7150272653</v>
      </c>
      <c r="AN10" s="759">
        <f>SUMIFS('4.2 Program Budget 2028-2031'!AF:AF,'4.2 Program Budget 2028-2031'!$D:$D,$B10,'4.2 Program Budget 2028-2031'!$F:$F,README!$M$8)</f>
        <v>39146</v>
      </c>
      <c r="AO10" s="759">
        <f>SUMIFS('4.2 Program Budget 2028-2031'!AG:AG,'4.2 Program Budget 2028-2031'!$D:$D,$B10,'4.2 Program Budget 2028-2031'!$F:$F,README!$M$8)</f>
        <v>0</v>
      </c>
      <c r="AP10" s="759">
        <f>SUMIFS('4.2 Program Budget 2028-2031'!AH:AH,'4.2 Program Budget 2028-2031'!$D:$D,$B10,'4.2 Program Budget 2028-2031'!$F:$F,README!$M$8)</f>
        <v>647604</v>
      </c>
      <c r="AQ10" s="759">
        <f>SUMIFS('4.2 Program Budget 2028-2031'!AI:AI,'4.2 Program Budget 2028-2031'!$D:$D,$B10,'4.2 Program Budget 2028-2031'!$F:$F,README!$M$8)</f>
        <v>4</v>
      </c>
      <c r="AR10" s="760">
        <f>SUMIFS('4.2 Program Budget 2028-2031'!AJ:AJ,'4.2 Program Budget 2028-2031'!$D:$D,$B10,'4.2 Program Budget 2028-2031'!$F:$F,README!$M$8)</f>
        <v>3788</v>
      </c>
      <c r="AS10" s="758">
        <f>SUMIFS('4.2 Program Budget 2028-2031'!AP:AP,'4.2 Program Budget 2028-2031'!$D:$D,$B10,'4.2 Program Budget 2028-2031'!$F:$F,README!$M$8)</f>
        <v>5277857.2019081376</v>
      </c>
      <c r="AT10" s="759">
        <f>SUMIFS('4.2 Program Budget 2028-2031'!AQ:AQ,'4.2 Program Budget 2028-2031'!$D:$D,$B10,'4.2 Program Budget 2028-2031'!$F:$F,README!$M$8)</f>
        <v>40399</v>
      </c>
      <c r="AU10" s="759">
        <f>SUMIFS('4.2 Program Budget 2028-2031'!AR:AR,'4.2 Program Budget 2028-2031'!$D:$D,$B10,'4.2 Program Budget 2028-2031'!$F:$F,README!$M$8)</f>
        <v>0</v>
      </c>
      <c r="AV10" s="759">
        <f>SUMIFS('4.2 Program Budget 2028-2031'!AS:AS,'4.2 Program Budget 2028-2031'!$D:$D,$B10,'4.2 Program Budget 2028-2031'!$F:$F,README!$M$8)</f>
        <v>668328</v>
      </c>
      <c r="AW10" s="759">
        <f>SUMIFS('4.2 Program Budget 2028-2031'!AT:AT,'4.2 Program Budget 2028-2031'!$D:$D,$B10,'4.2 Program Budget 2028-2031'!$F:$F,README!$M$8)</f>
        <v>4</v>
      </c>
      <c r="AX10" s="759">
        <f>SUMIFS('4.2 Program Budget 2028-2031'!AU:AU,'4.2 Program Budget 2028-2031'!$D:$D,$B10,'4.2 Program Budget 2028-2031'!$F:$F,README!$M$8)</f>
        <v>3910</v>
      </c>
      <c r="AZ10" s="761"/>
      <c r="BB10" s="1140"/>
      <c r="BC10" s="1141"/>
      <c r="BD10" s="1141"/>
      <c r="BE10" s="1141"/>
    </row>
    <row r="11" spans="1:57">
      <c r="B11" s="757" t="s">
        <v>29</v>
      </c>
      <c r="C11" s="758">
        <f>SUMIFS('4.1 Program Budget - 2024-2027'!S:S,'4.1 Program Budget - 2024-2027'!$G:$G,$B11,'4.1 Program Budget - 2024-2027'!$H:$H,README!$M$8)</f>
        <v>0</v>
      </c>
      <c r="D11" s="1139">
        <f>SUMIFS('4.1 Program Budget - 2024-2027'!W:W,'4.1 Program Budget - 2024-2027'!$G:$G,$B11,'4.1 Program Budget - 2024-2027'!$H:$H,README!$M$8)</f>
        <v>0</v>
      </c>
      <c r="E11" s="1139">
        <f>SUMIFS('4.1 Program Budget - 2024-2027'!X:X,'4.1 Program Budget - 2024-2027'!$G:$G,$B11,'4.1 Program Budget - 2024-2027'!$H:$H,README!$M$8)</f>
        <v>0</v>
      </c>
      <c r="F11" s="1139">
        <f>SUMIFS('4.1 Program Budget - 2024-2027'!Y:Y,'4.1 Program Budget - 2024-2027'!$G:$G,$B11,'4.1 Program Budget - 2024-2027'!$H:$H,README!$M$8)</f>
        <v>0</v>
      </c>
      <c r="G11" s="1139">
        <f>SUMIFS('4.1 Program Budget - 2024-2027'!Z:Z,'4.1 Program Budget - 2024-2027'!$G:$G,$B11,'4.1 Program Budget - 2024-2027'!$H:$H,README!$M$8)</f>
        <v>0</v>
      </c>
      <c r="H11" s="1139">
        <f>SUMIFS('4.1 Program Budget - 2024-2027'!AA:AA,'4.1 Program Budget - 2024-2027'!$G:$G,$B11,'4.1 Program Budget - 2024-2027'!$H:$H,README!$M$8)</f>
        <v>0</v>
      </c>
      <c r="I11" s="758">
        <f>SUMIFS('4.1 Program Budget - 2024-2027'!AK:AK,'4.1 Program Budget - 2024-2027'!$G:$G,$B11,'4.1 Program Budget - 2024-2027'!$H:$H,README!$M$8)</f>
        <v>0</v>
      </c>
      <c r="J11" s="759">
        <f>SUMIFS('4.1 Program Budget - 2024-2027'!AO:AO,'4.1 Program Budget - 2024-2027'!$G:$G,$B11,'4.1 Program Budget - 2024-2027'!$H:$H,README!$M$8)</f>
        <v>0</v>
      </c>
      <c r="K11" s="759">
        <f>SUMIFS('4.1 Program Budget - 2024-2027'!AP:AP,'4.1 Program Budget - 2024-2027'!$G:$G,$B11,'4.1 Program Budget - 2024-2027'!$H:$H,README!$M$8)</f>
        <v>0</v>
      </c>
      <c r="L11" s="759">
        <f>SUMIFS('4.1 Program Budget - 2024-2027'!AQ:AQ,'4.1 Program Budget - 2024-2027'!$G:$G,$B11,'4.1 Program Budget - 2024-2027'!$H:$H,README!$M$8)</f>
        <v>0</v>
      </c>
      <c r="M11" s="1139">
        <f>SUMIFS('4.1 Program Budget - 2024-2027'!AR:AR,'4.1 Program Budget - 2024-2027'!$G:$G,$B11,'4.1 Program Budget - 2024-2027'!$H:$H,README!$M$8)</f>
        <v>0</v>
      </c>
      <c r="N11" s="1139">
        <f>SUMIFS('4.1 Program Budget - 2024-2027'!AS:AS,'4.1 Program Budget - 2024-2027'!$G:$G,$B11,'4.1 Program Budget - 2024-2027'!$H:$H,README!$M$8)</f>
        <v>0</v>
      </c>
      <c r="O11" s="758">
        <f>SUMIFS('4.1 Program Budget - 2024-2027'!BC:BC,'4.1 Program Budget - 2024-2027'!$G:$G,$B11,'4.1 Program Budget - 2024-2027'!$H:$H,README!$M$8)</f>
        <v>0</v>
      </c>
      <c r="P11" s="759">
        <f>SUMIFS('4.1 Program Budget - 2024-2027'!BG:BG,'4.1 Program Budget - 2024-2027'!$G:$G,$B11,'4.1 Program Budget - 2024-2027'!$H:$H,README!$M$8)</f>
        <v>0</v>
      </c>
      <c r="Q11" s="759">
        <f>SUMIFS('4.1 Program Budget - 2024-2027'!BH:BH,'4.1 Program Budget - 2024-2027'!$G:$G,$B11,'4.1 Program Budget - 2024-2027'!$H:$H,README!$M$8)</f>
        <v>0</v>
      </c>
      <c r="R11" s="759">
        <f>SUMIFS('4.1 Program Budget - 2024-2027'!BI:BI,'4.1 Program Budget - 2024-2027'!$G:$G,$B11,'4.1 Program Budget - 2024-2027'!$H:$H,README!$M$8)</f>
        <v>0</v>
      </c>
      <c r="S11" s="1139">
        <f>SUMIFS('4.1 Program Budget - 2024-2027'!BJ:BJ,'4.1 Program Budget - 2024-2027'!$G:$G,$B11,'4.1 Program Budget - 2024-2027'!$H:$H,README!$M$8)</f>
        <v>0</v>
      </c>
      <c r="T11" s="1139">
        <f>SUMIFS('4.1 Program Budget - 2024-2027'!BK:BK,'4.1 Program Budget - 2024-2027'!$G:$G,$B11,'4.1 Program Budget - 2024-2027'!$H:$H,README!$M$8)</f>
        <v>0</v>
      </c>
      <c r="U11" s="758">
        <f>SUMIFS('4.1 Program Budget - 2024-2027'!BU:BU,'4.1 Program Budget - 2024-2027'!$G:$G,$B11,'4.1 Program Budget - 2024-2027'!$H:$H,README!$M$8)</f>
        <v>0</v>
      </c>
      <c r="V11" s="759">
        <f>SUMIFS('4.1 Program Budget - 2024-2027'!BY:BY,'4.1 Program Budget - 2024-2027'!$G:$G,$B11,'4.1 Program Budget - 2024-2027'!$H:$H,README!$M$8)</f>
        <v>0</v>
      </c>
      <c r="W11" s="759">
        <f>SUMIFS('4.1 Program Budget - 2024-2027'!BZ:BZ,'4.1 Program Budget - 2024-2027'!$G:$G,$B11,'4.1 Program Budget - 2024-2027'!$H:$H,README!$M$8)</f>
        <v>0</v>
      </c>
      <c r="X11" s="759">
        <f>SUMIFS('4.1 Program Budget - 2024-2027'!CA:CA,'4.1 Program Budget - 2024-2027'!$G:$G,$B11,'4.1 Program Budget - 2024-2027'!$H:$H,README!$M$8)</f>
        <v>0</v>
      </c>
      <c r="Y11" s="1139">
        <f>SUMIFS('4.1 Program Budget - 2024-2027'!CB:CB,'4.1 Program Budget - 2024-2027'!$G:$G,$B11,'4.1 Program Budget - 2024-2027'!$H:$H,README!$M$8)</f>
        <v>0</v>
      </c>
      <c r="Z11" s="1139">
        <f>SUMIFS('4.1 Program Budget - 2024-2027'!CC:CC,'4.1 Program Budget - 2024-2027'!$G:$G,$B11,'4.1 Program Budget - 2024-2027'!$H:$H,README!$M$8)</f>
        <v>0</v>
      </c>
      <c r="AA11" s="758">
        <f>SUMIFS('4.2 Program Budget 2028-2031'!I:I,'4.2 Program Budget 2028-2031'!D:D,B11,'4.2 Program Budget 2028-2031'!F:F,README!$M$8)</f>
        <v>0</v>
      </c>
      <c r="AB11" s="759">
        <f>SUMIFS('4.2 Program Budget 2028-2031'!J:J,'4.2 Program Budget 2028-2031'!$D:$D,$B11,'4.2 Program Budget 2028-2031'!$F:$F,README!$M$8)</f>
        <v>0</v>
      </c>
      <c r="AC11" s="759">
        <f>SUMIFS('4.2 Program Budget 2028-2031'!K:K,'4.2 Program Budget 2028-2031'!$D:$D,$B11,'4.2 Program Budget 2028-2031'!$F:$F,README!$M$8)</f>
        <v>0</v>
      </c>
      <c r="AD11" s="759">
        <f>SUMIFS('4.2 Program Budget 2028-2031'!L:L,'4.2 Program Budget 2028-2031'!$D:$D,$B11,'4.2 Program Budget 2028-2031'!$F:$F,README!$M$8)</f>
        <v>0</v>
      </c>
      <c r="AE11" s="759">
        <f>SUMIFS('4.2 Program Budget 2028-2031'!M:M,'4.2 Program Budget 2028-2031'!$D:$D,$B11,'4.2 Program Budget 2028-2031'!$F:$F,README!$M$8)</f>
        <v>0</v>
      </c>
      <c r="AF11" s="759">
        <f>SUMIFS('4.2 Program Budget 2028-2031'!N:N,'4.2 Program Budget 2028-2031'!$D:$D,$B11,'4.2 Program Budget 2028-2031'!$F:$F,README!$M$8)</f>
        <v>0</v>
      </c>
      <c r="AG11" s="758">
        <f>SUMIFS('4.2 Program Budget 2028-2031'!T:T,'4.2 Program Budget 2028-2031'!$D:$D,$B11,'4.2 Program Budget 2028-2031'!$F:$F,README!$M$8)</f>
        <v>0</v>
      </c>
      <c r="AH11" s="759">
        <f>SUMIFS('4.2 Program Budget 2028-2031'!U:U,'4.2 Program Budget 2028-2031'!$D:$D,$B11,'4.2 Program Budget 2028-2031'!$F:$F,README!$M$8)</f>
        <v>0</v>
      </c>
      <c r="AI11" s="759">
        <f>SUMIFS('4.2 Program Budget 2028-2031'!V:V,'4.2 Program Budget 2028-2031'!$D:$D,$B11,'4.2 Program Budget 2028-2031'!$F:$F,README!$M$8)</f>
        <v>0</v>
      </c>
      <c r="AJ11" s="759">
        <f>SUMIFS('4.2 Program Budget 2028-2031'!W:W,'4.2 Program Budget 2028-2031'!$D:$D,$B11,'4.2 Program Budget 2028-2031'!$F:$F,README!$M$8)</f>
        <v>0</v>
      </c>
      <c r="AK11" s="759">
        <f>SUMIFS('4.2 Program Budget 2028-2031'!X:X,'4.2 Program Budget 2028-2031'!$D:$D,$B11,'4.2 Program Budget 2028-2031'!$F:$F,README!$M$8)</f>
        <v>0</v>
      </c>
      <c r="AL11" s="759">
        <f>SUMIFS('4.2 Program Budget 2028-2031'!Y:Y,'4.2 Program Budget 2028-2031'!$D:$D,$B11,'4.2 Program Budget 2028-2031'!$F:$F,README!$M$8)</f>
        <v>0</v>
      </c>
      <c r="AM11" s="758">
        <f>SUMIFS('4.2 Program Budget 2028-2031'!AE:AE,'4.2 Program Budget 2028-2031'!$D:$D,$B11,'4.2 Program Budget 2028-2031'!$F:$F,README!$M$8)</f>
        <v>0</v>
      </c>
      <c r="AN11" s="759">
        <f>SUMIFS('4.2 Program Budget 2028-2031'!AF:AF,'4.2 Program Budget 2028-2031'!$D:$D,$B11,'4.2 Program Budget 2028-2031'!$F:$F,README!$M$8)</f>
        <v>0</v>
      </c>
      <c r="AO11" s="759">
        <f>SUMIFS('4.2 Program Budget 2028-2031'!AG:AG,'4.2 Program Budget 2028-2031'!$D:$D,$B11,'4.2 Program Budget 2028-2031'!$F:$F,README!$M$8)</f>
        <v>0</v>
      </c>
      <c r="AP11" s="759">
        <f>SUMIFS('4.2 Program Budget 2028-2031'!AH:AH,'4.2 Program Budget 2028-2031'!$D:$D,$B11,'4.2 Program Budget 2028-2031'!$F:$F,README!$M$8)</f>
        <v>0</v>
      </c>
      <c r="AQ11" s="759">
        <f>SUMIFS('4.2 Program Budget 2028-2031'!AI:AI,'4.2 Program Budget 2028-2031'!$D:$D,$B11,'4.2 Program Budget 2028-2031'!$F:$F,README!$M$8)</f>
        <v>0</v>
      </c>
      <c r="AR11" s="760">
        <f>SUMIFS('4.2 Program Budget 2028-2031'!AJ:AJ,'4.2 Program Budget 2028-2031'!$D:$D,$B11,'4.2 Program Budget 2028-2031'!$F:$F,README!$M$8)</f>
        <v>0</v>
      </c>
      <c r="AS11" s="758">
        <f>SUMIFS('4.2 Program Budget 2028-2031'!AP:AP,'4.2 Program Budget 2028-2031'!$D:$D,$B11,'4.2 Program Budget 2028-2031'!$F:$F,README!$M$8)</f>
        <v>0</v>
      </c>
      <c r="AT11" s="759">
        <f>SUMIFS('4.2 Program Budget 2028-2031'!AQ:AQ,'4.2 Program Budget 2028-2031'!$D:$D,$B11,'4.2 Program Budget 2028-2031'!$F:$F,README!$M$8)</f>
        <v>0</v>
      </c>
      <c r="AU11" s="759">
        <f>SUMIFS('4.2 Program Budget 2028-2031'!AR:AR,'4.2 Program Budget 2028-2031'!$D:$D,$B11,'4.2 Program Budget 2028-2031'!$F:$F,README!$M$8)</f>
        <v>0</v>
      </c>
      <c r="AV11" s="759">
        <f>SUMIFS('4.2 Program Budget 2028-2031'!AS:AS,'4.2 Program Budget 2028-2031'!$D:$D,$B11,'4.2 Program Budget 2028-2031'!$F:$F,README!$M$8)</f>
        <v>0</v>
      </c>
      <c r="AW11" s="759">
        <f>SUMIFS('4.2 Program Budget 2028-2031'!AT:AT,'4.2 Program Budget 2028-2031'!$D:$D,$B11,'4.2 Program Budget 2028-2031'!$F:$F,README!$M$8)</f>
        <v>0</v>
      </c>
      <c r="AX11" s="759">
        <f>SUMIFS('4.2 Program Budget 2028-2031'!AU:AU,'4.2 Program Budget 2028-2031'!$D:$D,$B11,'4.2 Program Budget 2028-2031'!$F:$F,README!$M$8)</f>
        <v>0</v>
      </c>
      <c r="AZ11" s="761"/>
      <c r="BB11" s="1140"/>
      <c r="BC11" s="1141"/>
      <c r="BD11" s="1141"/>
      <c r="BE11" s="1141"/>
    </row>
    <row r="12" spans="1:57">
      <c r="B12" s="757" t="s">
        <v>30</v>
      </c>
      <c r="C12" s="758">
        <f>SUMIFS('4.1 Program Budget - 2024-2027'!S:S,'4.1 Program Budget - 2024-2027'!$G:$G,$B12,'4.1 Program Budget - 2024-2027'!$H:$H,README!$M$8)</f>
        <v>8094961.4407643043</v>
      </c>
      <c r="D12" s="1139">
        <f>SUMIFS('4.1 Program Budget - 2024-2027'!W:W,'4.1 Program Budget - 2024-2027'!$G:$G,$B12,'4.1 Program Budget - 2024-2027'!$H:$H,README!$M$8)</f>
        <v>7399.53</v>
      </c>
      <c r="E12" s="1139">
        <f>SUMIFS('4.1 Program Budget - 2024-2027'!X:X,'4.1 Program Budget - 2024-2027'!$G:$G,$B12,'4.1 Program Budget - 2024-2027'!$H:$H,README!$M$8)</f>
        <v>0</v>
      </c>
      <c r="F12" s="1139">
        <f>SUMIFS('4.1 Program Budget - 2024-2027'!Y:Y,'4.1 Program Budget - 2024-2027'!$G:$G,$B12,'4.1 Program Budget - 2024-2027'!$H:$H,README!$M$8)</f>
        <v>2276418.96</v>
      </c>
      <c r="G12" s="1139">
        <f>SUMIFS('4.1 Program Budget - 2024-2027'!Z:Z,'4.1 Program Budget - 2024-2027'!$G:$G,$B12,'4.1 Program Budget - 2024-2027'!$H:$H,README!$M$8)</f>
        <v>0.75</v>
      </c>
      <c r="H12" s="1139">
        <f>SUMIFS('4.1 Program Budget - 2024-2027'!AA:AA,'4.1 Program Budget - 2024-2027'!$G:$G,$B12,'4.1 Program Budget - 2024-2027'!$H:$H,README!$M$8)</f>
        <v>13318</v>
      </c>
      <c r="I12" s="758">
        <f>SUMIFS('4.1 Program Budget - 2024-2027'!AK:AK,'4.1 Program Budget - 2024-2027'!$G:$G,$B12,'4.1 Program Budget - 2024-2027'!$H:$H,README!$M$8)</f>
        <v>8613572.5971890315</v>
      </c>
      <c r="J12" s="759">
        <f>SUMIFS('4.1 Program Budget - 2024-2027'!AO:AO,'4.1 Program Budget - 2024-2027'!$G:$G,$B12,'4.1 Program Budget - 2024-2027'!$H:$H,README!$M$8)</f>
        <v>8193.8106000000007</v>
      </c>
      <c r="K12" s="759">
        <f>SUMIFS('4.1 Program Budget - 2024-2027'!AP:AP,'4.1 Program Budget - 2024-2027'!$G:$G,$B12,'4.1 Program Budget - 2024-2027'!$H:$H,README!$M$8)</f>
        <v>0.09</v>
      </c>
      <c r="L12" s="759">
        <f>SUMIFS('4.1 Program Budget - 2024-2027'!AQ:AQ,'4.1 Program Budget - 2024-2027'!$G:$G,$B12,'4.1 Program Budget - 2024-2027'!$H:$H,README!$M$8)</f>
        <v>2411887.39</v>
      </c>
      <c r="M12" s="1139">
        <f>SUMIFS('4.1 Program Budget - 2024-2027'!AR:AR,'4.1 Program Budget - 2024-2027'!$G:$G,$B12,'4.1 Program Budget - 2024-2027'!$H:$H,README!$M$8)</f>
        <v>1.0265317920000001</v>
      </c>
      <c r="N12" s="1139">
        <f>SUMIFS('4.1 Program Budget - 2024-2027'!AS:AS,'4.1 Program Budget - 2024-2027'!$G:$G,$B12,'4.1 Program Budget - 2024-2027'!$H:$H,README!$M$8)</f>
        <v>14110.245780000001</v>
      </c>
      <c r="O12" s="758">
        <f>SUMIFS('4.1 Program Budget - 2024-2027'!BC:BC,'4.1 Program Budget - 2024-2027'!$G:$G,$B12,'4.1 Program Budget - 2024-2027'!$H:$H,README!$M$8)</f>
        <v>8610033.5121830851</v>
      </c>
      <c r="P12" s="759">
        <f>SUMIFS('4.1 Program Budget - 2024-2027'!BG:BG,'4.1 Program Budget - 2024-2027'!$G:$G,$B12,'4.1 Program Budget - 2024-2027'!$H:$H,README!$M$8)</f>
        <v>8208.4506000000001</v>
      </c>
      <c r="Q12" s="759">
        <f>SUMIFS('4.1 Program Budget - 2024-2027'!BH:BH,'4.1 Program Budget - 2024-2027'!$G:$G,$B12,'4.1 Program Budget - 2024-2027'!$H:$H,README!$M$8)</f>
        <v>7.0000000000000007E-2</v>
      </c>
      <c r="R12" s="759">
        <f>SUMIFS('4.1 Program Budget - 2024-2027'!BI:BI,'4.1 Program Budget - 2024-2027'!$G:$G,$B12,'4.1 Program Budget - 2024-2027'!$H:$H,README!$M$8)</f>
        <v>2364177.46</v>
      </c>
      <c r="S12" s="1139">
        <f>SUMIFS('4.1 Program Budget - 2024-2027'!BJ:BJ,'4.1 Program Budget - 2024-2027'!$G:$G,$B12,'4.1 Program Budget - 2024-2027'!$H:$H,README!$M$8)</f>
        <v>1.128575804</v>
      </c>
      <c r="T12" s="1139">
        <f>SUMIFS('4.1 Program Budget - 2024-2027'!BK:BK,'4.1 Program Budget - 2024-2027'!$G:$G,$B12,'4.1 Program Budget - 2024-2027'!$H:$H,README!$M$8)</f>
        <v>13830.61578</v>
      </c>
      <c r="U12" s="758">
        <f>SUMIFS('4.1 Program Budget - 2024-2027'!BU:BU,'4.1 Program Budget - 2024-2027'!$G:$G,$B12,'4.1 Program Budget - 2024-2027'!$H:$H,README!$M$8)</f>
        <v>8704710.2636885531</v>
      </c>
      <c r="V12" s="759">
        <f>SUMIFS('4.1 Program Budget - 2024-2027'!BY:BY,'4.1 Program Budget - 2024-2027'!$G:$G,$B12,'4.1 Program Budget - 2024-2027'!$H:$H,README!$M$8)</f>
        <v>8310.4506000000001</v>
      </c>
      <c r="W12" s="759">
        <f>SUMIFS('4.1 Program Budget - 2024-2027'!BZ:BZ,'4.1 Program Budget - 2024-2027'!$G:$G,$B12,'4.1 Program Budget - 2024-2027'!$H:$H,README!$M$8)</f>
        <v>0</v>
      </c>
      <c r="X12" s="759">
        <f>SUMIFS('4.1 Program Budget - 2024-2027'!CA:CA,'4.1 Program Budget - 2024-2027'!$G:$G,$B12,'4.1 Program Budget - 2024-2027'!$H:$H,README!$M$8)</f>
        <v>2425337.7999999998</v>
      </c>
      <c r="Y12" s="1139">
        <f>SUMIFS('4.1 Program Budget - 2024-2027'!CB:CB,'4.1 Program Budget - 2024-2027'!$G:$G,$B12,'4.1 Program Budget - 2024-2027'!$H:$H,README!$M$8)</f>
        <v>0.76778289200000005</v>
      </c>
      <c r="Z12" s="1139">
        <f>SUMIFS('4.1 Program Budget - 2024-2027'!CC:CC,'4.1 Program Budget - 2024-2027'!$G:$G,$B12,'4.1 Program Budget - 2024-2027'!$H:$H,README!$M$8)</f>
        <v>14188.735779999999</v>
      </c>
      <c r="AA12" s="758">
        <f>SUMIFS('4.2 Program Budget 2028-2031'!I:I,'4.2 Program Budget 2028-2031'!D:D,B12,'4.2 Program Budget 2028-2031'!F:F,README!$M$8)</f>
        <v>8983260.9921265878</v>
      </c>
      <c r="AB12" s="759">
        <f>SUMIFS('4.2 Program Budget 2028-2031'!J:J,'4.2 Program Budget 2028-2031'!$D:$D,$B12,'4.2 Program Budget 2028-2031'!$F:$F,README!$M$8)</f>
        <v>1968216</v>
      </c>
      <c r="AC12" s="759">
        <f>SUMIFS('4.2 Program Budget 2028-2031'!K:K,'4.2 Program Budget 2028-2031'!$D:$D,$B12,'4.2 Program Budget 2028-2031'!$F:$F,README!$M$8)</f>
        <v>656</v>
      </c>
      <c r="AD12" s="759">
        <f>SUMIFS('4.2 Program Budget 2028-2031'!L:L,'4.2 Program Budget 2028-2031'!$D:$D,$B12,'4.2 Program Budget 2028-2031'!$F:$F,README!$M$8)</f>
        <v>2264757</v>
      </c>
      <c r="AE12" s="759">
        <f>SUMIFS('4.2 Program Budget 2028-2031'!M:M,'4.2 Program Budget 2028-2031'!$D:$D,$B12,'4.2 Program Budget 2028-2031'!$F:$F,README!$M$8)</f>
        <v>352</v>
      </c>
      <c r="AF12" s="759">
        <f>SUMIFS('4.2 Program Budget 2028-2031'!N:N,'4.2 Program Budget 2028-2031'!$D:$D,$B12,'4.2 Program Budget 2028-2031'!$F:$F,README!$M$8)</f>
        <v>13249</v>
      </c>
      <c r="AG12" s="758">
        <f>SUMIFS('4.2 Program Budget 2028-2031'!T:T,'4.2 Program Budget 2028-2031'!$D:$D,$B12,'4.2 Program Budget 2028-2031'!$F:$F,README!$M$8)</f>
        <v>9270725.3438746389</v>
      </c>
      <c r="AH12" s="759">
        <f>SUMIFS('4.2 Program Budget 2028-2031'!U:U,'4.2 Program Budget 2028-2031'!$D:$D,$B12,'4.2 Program Budget 2028-2031'!$F:$F,README!$M$8)</f>
        <v>1968492</v>
      </c>
      <c r="AI12" s="759">
        <f>SUMIFS('4.2 Program Budget 2028-2031'!V:V,'4.2 Program Budget 2028-2031'!$D:$D,$B12,'4.2 Program Budget 2028-2031'!$F:$F,README!$M$8)</f>
        <v>656</v>
      </c>
      <c r="AJ12" s="759">
        <f>SUMIFS('4.2 Program Budget 2028-2031'!W:W,'4.2 Program Budget 2028-2031'!$D:$D,$B12,'4.2 Program Budget 2028-2031'!$F:$F,README!$M$8)</f>
        <v>2335595</v>
      </c>
      <c r="AK12" s="759">
        <f>SUMIFS('4.2 Program Budget 2028-2031'!X:X,'4.2 Program Budget 2028-2031'!$D:$D,$B12,'4.2 Program Budget 2028-2031'!$F:$F,README!$M$8)</f>
        <v>323</v>
      </c>
      <c r="AL12" s="759">
        <f>SUMIFS('4.2 Program Budget 2028-2031'!Y:Y,'4.2 Program Budget 2028-2031'!$D:$D,$B12,'4.2 Program Budget 2028-2031'!$F:$F,README!$M$8)</f>
        <v>13663</v>
      </c>
      <c r="AM12" s="758">
        <f>SUMIFS('4.2 Program Budget 2028-2031'!AE:AE,'4.2 Program Budget 2028-2031'!$D:$D,$B12,'4.2 Program Budget 2028-2031'!$F:$F,README!$M$8)</f>
        <v>9567388.5548786279</v>
      </c>
      <c r="AN12" s="759">
        <f>SUMIFS('4.2 Program Budget 2028-2031'!AF:AF,'4.2 Program Budget 2028-2031'!$D:$D,$B12,'4.2 Program Budget 2028-2031'!$F:$F,README!$M$8)</f>
        <v>1968776</v>
      </c>
      <c r="AO12" s="759">
        <f>SUMIFS('4.2 Program Budget 2028-2031'!AG:AG,'4.2 Program Budget 2028-2031'!$D:$D,$B12,'4.2 Program Budget 2028-2031'!$F:$F,README!$M$8)</f>
        <v>656</v>
      </c>
      <c r="AP12" s="759">
        <f>SUMIFS('4.2 Program Budget 2028-2031'!AH:AH,'4.2 Program Budget 2028-2031'!$D:$D,$B12,'4.2 Program Budget 2028-2031'!$F:$F,README!$M$8)</f>
        <v>2408699</v>
      </c>
      <c r="AQ12" s="759">
        <f>SUMIFS('4.2 Program Budget 2028-2031'!AI:AI,'4.2 Program Budget 2028-2031'!$D:$D,$B12,'4.2 Program Budget 2028-2031'!$F:$F,README!$M$8)</f>
        <v>305</v>
      </c>
      <c r="AR12" s="760">
        <f>SUMIFS('4.2 Program Budget 2028-2031'!AJ:AJ,'4.2 Program Budget 2028-2031'!$D:$D,$B12,'4.2 Program Budget 2028-2031'!$F:$F,README!$M$8)</f>
        <v>14091</v>
      </c>
      <c r="AS12" s="758">
        <f>SUMIFS('4.2 Program Budget 2028-2031'!AP:AP,'4.2 Program Budget 2028-2031'!$D:$D,$B12,'4.2 Program Budget 2028-2031'!$F:$F,README!$M$8)</f>
        <v>9873544.9886347447</v>
      </c>
      <c r="AT12" s="759">
        <f>SUMIFS('4.2 Program Budget 2028-2031'!AQ:AQ,'4.2 Program Budget 2028-2031'!$D:$D,$B12,'4.2 Program Budget 2028-2031'!$F:$F,README!$M$8)</f>
        <v>1969070</v>
      </c>
      <c r="AU12" s="759">
        <f>SUMIFS('4.2 Program Budget 2028-2031'!AR:AR,'4.2 Program Budget 2028-2031'!$D:$D,$B12,'4.2 Program Budget 2028-2031'!$F:$F,README!$M$8)</f>
        <v>656</v>
      </c>
      <c r="AV12" s="759">
        <f>SUMIFS('4.2 Program Budget 2028-2031'!AS:AS,'4.2 Program Budget 2028-2031'!$D:$D,$B12,'4.2 Program Budget 2028-2031'!$F:$F,README!$M$8)</f>
        <v>2484143</v>
      </c>
      <c r="AW12" s="759">
        <f>SUMIFS('4.2 Program Budget 2028-2031'!AT:AT,'4.2 Program Budget 2028-2031'!$D:$D,$B12,'4.2 Program Budget 2028-2031'!$F:$F,README!$M$8)</f>
        <v>326</v>
      </c>
      <c r="AX12" s="759">
        <f>SUMIFS('4.2 Program Budget 2028-2031'!AU:AU,'4.2 Program Budget 2028-2031'!$D:$D,$B12,'4.2 Program Budget 2028-2031'!$F:$F,README!$M$8)</f>
        <v>14532</v>
      </c>
      <c r="AZ12" s="761"/>
      <c r="BB12" s="1140"/>
      <c r="BC12" s="1141"/>
      <c r="BD12" s="1141"/>
      <c r="BE12" s="1141"/>
    </row>
    <row r="13" spans="1:57">
      <c r="A13" s="245">
        <v>1</v>
      </c>
      <c r="B13" s="757" t="s">
        <v>32</v>
      </c>
      <c r="C13" s="758">
        <f>SUMIFS('4.1 Program Budget - 2024-2027'!S:S,'4.1 Program Budget - 2024-2027'!$G:$G,$B13,'4.1 Program Budget - 2024-2027'!$H:$H,README!$M$8)</f>
        <v>1769940.8842917918</v>
      </c>
      <c r="D13" s="1139">
        <f>SUMIFS('4.1 Program Budget - 2024-2027'!W:W,'4.1 Program Budget - 2024-2027'!$G:$G,$B13,'4.1 Program Budget - 2024-2027'!$H:$H,README!$M$8)</f>
        <v>0</v>
      </c>
      <c r="E13" s="1139">
        <f>SUMIFS('4.1 Program Budget - 2024-2027'!X:X,'4.1 Program Budget - 2024-2027'!$G:$G,$B13,'4.1 Program Budget - 2024-2027'!$H:$H,README!$M$8)</f>
        <v>0</v>
      </c>
      <c r="F13" s="1139">
        <f>SUMIFS('4.1 Program Budget - 2024-2027'!Y:Y,'4.1 Program Budget - 2024-2027'!$G:$G,$B13,'4.1 Program Budget - 2024-2027'!$H:$H,README!$M$8)</f>
        <v>1330133</v>
      </c>
      <c r="G13" s="1139">
        <f>SUMIFS('4.1 Program Budget - 2024-2027'!Z:Z,'4.1 Program Budget - 2024-2027'!$G:$G,$B13,'4.1 Program Budget - 2024-2027'!$H:$H,README!$M$8)</f>
        <v>0</v>
      </c>
      <c r="H13" s="1139">
        <f>SUMIFS('4.1 Program Budget - 2024-2027'!AA:AA,'4.1 Program Budget - 2024-2027'!$G:$G,$B13,'4.1 Program Budget - 2024-2027'!$H:$H,README!$M$8)</f>
        <v>7781.28</v>
      </c>
      <c r="I13" s="758">
        <f>SUMIFS('4.1 Program Budget - 2024-2027'!AK:AK,'4.1 Program Budget - 2024-2027'!$G:$G,$B13,'4.1 Program Budget - 2024-2027'!$H:$H,README!$M$8)</f>
        <v>1774206.690586939</v>
      </c>
      <c r="J13" s="759">
        <f>SUMIFS('4.1 Program Budget - 2024-2027'!AO:AO,'4.1 Program Budget - 2024-2027'!$G:$G,$B13,'4.1 Program Budget - 2024-2027'!$H:$H,README!$M$8)</f>
        <v>0</v>
      </c>
      <c r="K13" s="759">
        <f>SUMIFS('4.1 Program Budget - 2024-2027'!AP:AP,'4.1 Program Budget - 2024-2027'!$G:$G,$B13,'4.1 Program Budget - 2024-2027'!$H:$H,README!$M$8)</f>
        <v>0</v>
      </c>
      <c r="L13" s="759">
        <f>SUMIFS('4.1 Program Budget - 2024-2027'!AQ:AQ,'4.1 Program Budget - 2024-2027'!$G:$G,$B13,'4.1 Program Budget - 2024-2027'!$H:$H,README!$M$8)</f>
        <v>1330133.077</v>
      </c>
      <c r="M13" s="1139">
        <f>SUMIFS('4.1 Program Budget - 2024-2027'!AR:AR,'4.1 Program Budget - 2024-2027'!$G:$G,$B13,'4.1 Program Budget - 2024-2027'!$H:$H,README!$M$8)</f>
        <v>0</v>
      </c>
      <c r="N13" s="1139">
        <f>SUMIFS('4.1 Program Budget - 2024-2027'!AS:AS,'4.1 Program Budget - 2024-2027'!$G:$G,$B13,'4.1 Program Budget - 2024-2027'!$H:$H,README!$M$8)</f>
        <v>7781.2785000000003</v>
      </c>
      <c r="O13" s="758">
        <f>SUMIFS('4.1 Program Budget - 2024-2027'!BC:BC,'4.1 Program Budget - 2024-2027'!$G:$G,$B13,'4.1 Program Budget - 2024-2027'!$H:$H,README!$M$8)</f>
        <v>1778172.3643966489</v>
      </c>
      <c r="P13" s="759">
        <f>SUMIFS('4.1 Program Budget - 2024-2027'!BG:BG,'4.1 Program Budget - 2024-2027'!$G:$G,$B13,'4.1 Program Budget - 2024-2027'!$H:$H,README!$M$8)</f>
        <v>0</v>
      </c>
      <c r="Q13" s="759">
        <f>SUMIFS('4.1 Program Budget - 2024-2027'!BH:BH,'4.1 Program Budget - 2024-2027'!$G:$G,$B13,'4.1 Program Budget - 2024-2027'!$H:$H,README!$M$8)</f>
        <v>0</v>
      </c>
      <c r="R13" s="759">
        <f>SUMIFS('4.1 Program Budget - 2024-2027'!BI:BI,'4.1 Program Budget - 2024-2027'!$G:$G,$B13,'4.1 Program Budget - 2024-2027'!$H:$H,README!$M$8)</f>
        <v>1330133.077</v>
      </c>
      <c r="S13" s="1139">
        <f>SUMIFS('4.1 Program Budget - 2024-2027'!BJ:BJ,'4.1 Program Budget - 2024-2027'!$G:$G,$B13,'4.1 Program Budget - 2024-2027'!$H:$H,README!$M$8)</f>
        <v>0</v>
      </c>
      <c r="T13" s="1139">
        <f>SUMIFS('4.1 Program Budget - 2024-2027'!BK:BK,'4.1 Program Budget - 2024-2027'!$G:$G,$B13,'4.1 Program Budget - 2024-2027'!$H:$H,README!$M$8)</f>
        <v>7781.2785000000003</v>
      </c>
      <c r="U13" s="758">
        <f>SUMIFS('4.1 Program Budget - 2024-2027'!BU:BU,'4.1 Program Budget - 2024-2027'!$G:$G,$B13,'4.1 Program Budget - 2024-2027'!$H:$H,README!$M$8)</f>
        <v>1784550.4681386605</v>
      </c>
      <c r="V13" s="759">
        <f>SUMIFS('4.1 Program Budget - 2024-2027'!BY:BY,'4.1 Program Budget - 2024-2027'!$G:$G,$B13,'4.1 Program Budget - 2024-2027'!$H:$H,README!$M$8)</f>
        <v>0</v>
      </c>
      <c r="W13" s="759">
        <f>SUMIFS('4.1 Program Budget - 2024-2027'!BZ:BZ,'4.1 Program Budget - 2024-2027'!$G:$G,$B13,'4.1 Program Budget - 2024-2027'!$H:$H,README!$M$8)</f>
        <v>0</v>
      </c>
      <c r="X13" s="759">
        <f>SUMIFS('4.1 Program Budget - 2024-2027'!CA:CA,'4.1 Program Budget - 2024-2027'!$G:$G,$B13,'4.1 Program Budget - 2024-2027'!$H:$H,README!$M$8)</f>
        <v>1330133.077</v>
      </c>
      <c r="Y13" s="1139">
        <f>SUMIFS('4.1 Program Budget - 2024-2027'!CB:CB,'4.1 Program Budget - 2024-2027'!$G:$G,$B13,'4.1 Program Budget - 2024-2027'!$H:$H,README!$M$8)</f>
        <v>0</v>
      </c>
      <c r="Z13" s="1139">
        <f>SUMIFS('4.1 Program Budget - 2024-2027'!CC:CC,'4.1 Program Budget - 2024-2027'!$G:$G,$B13,'4.1 Program Budget - 2024-2027'!$H:$H,README!$M$8)</f>
        <v>7781.2785000000003</v>
      </c>
      <c r="AA13" s="758">
        <f>SUMIFS('4.2 Program Budget 2028-2031'!I:I,'4.2 Program Budget 2028-2031'!D:D,B13,'4.2 Program Budget 2028-2031'!F:F,README!$M$8)</f>
        <v>1841656.0831190976</v>
      </c>
      <c r="AB13" s="759">
        <f>SUMIFS('4.2 Program Budget 2028-2031'!J:J,'4.2 Program Budget 2028-2031'!$D:$D,$B13,'4.2 Program Budget 2028-2031'!$F:$F,README!$M$8)</f>
        <v>0</v>
      </c>
      <c r="AC13" s="759">
        <f>SUMIFS('4.2 Program Budget 2028-2031'!K:K,'4.2 Program Budget 2028-2031'!$D:$D,$B13,'4.2 Program Budget 2028-2031'!$F:$F,README!$M$8)</f>
        <v>0</v>
      </c>
      <c r="AD13" s="759">
        <f>SUMIFS('4.2 Program Budget 2028-2031'!L:L,'4.2 Program Budget 2028-2031'!$D:$D,$B13,'4.2 Program Budget 2028-2031'!$F:$F,README!$M$8)</f>
        <v>0</v>
      </c>
      <c r="AE13" s="759">
        <f>SUMIFS('4.2 Program Budget 2028-2031'!M:M,'4.2 Program Budget 2028-2031'!$D:$D,$B13,'4.2 Program Budget 2028-2031'!$F:$F,README!$M$8)</f>
        <v>0</v>
      </c>
      <c r="AF13" s="759">
        <f>SUMIFS('4.2 Program Budget 2028-2031'!N:N,'4.2 Program Budget 2028-2031'!$D:$D,$B13,'4.2 Program Budget 2028-2031'!$F:$F,README!$M$8)</f>
        <v>0</v>
      </c>
      <c r="AG13" s="758">
        <f>SUMIFS('4.2 Program Budget 2028-2031'!T:T,'4.2 Program Budget 2028-2031'!$D:$D,$B13,'4.2 Program Budget 2028-2031'!$F:$F,README!$M$8)</f>
        <v>1900589.0777789089</v>
      </c>
      <c r="AH13" s="759">
        <f>SUMIFS('4.2 Program Budget 2028-2031'!U:U,'4.2 Program Budget 2028-2031'!$D:$D,$B13,'4.2 Program Budget 2028-2031'!$F:$F,README!$M$8)</f>
        <v>0</v>
      </c>
      <c r="AI13" s="759">
        <f>SUMIFS('4.2 Program Budget 2028-2031'!V:V,'4.2 Program Budget 2028-2031'!$D:$D,$B13,'4.2 Program Budget 2028-2031'!$F:$F,README!$M$8)</f>
        <v>0</v>
      </c>
      <c r="AJ13" s="759">
        <f>SUMIFS('4.2 Program Budget 2028-2031'!W:W,'4.2 Program Budget 2028-2031'!$D:$D,$B13,'4.2 Program Budget 2028-2031'!$F:$F,README!$M$8)</f>
        <v>0</v>
      </c>
      <c r="AK13" s="759">
        <f>SUMIFS('4.2 Program Budget 2028-2031'!X:X,'4.2 Program Budget 2028-2031'!$D:$D,$B13,'4.2 Program Budget 2028-2031'!$F:$F,README!$M$8)</f>
        <v>0</v>
      </c>
      <c r="AL13" s="759">
        <f>SUMIFS('4.2 Program Budget 2028-2031'!Y:Y,'4.2 Program Budget 2028-2031'!$D:$D,$B13,'4.2 Program Budget 2028-2031'!$F:$F,README!$M$8)</f>
        <v>0</v>
      </c>
      <c r="AM13" s="758">
        <f>SUMIFS('4.2 Program Budget 2028-2031'!AE:AE,'4.2 Program Budget 2028-2031'!$D:$D,$B13,'4.2 Program Budget 2028-2031'!$F:$F,README!$M$8)</f>
        <v>1961407.928267834</v>
      </c>
      <c r="AN13" s="759">
        <f>SUMIFS('4.2 Program Budget 2028-2031'!AF:AF,'4.2 Program Budget 2028-2031'!$D:$D,$B13,'4.2 Program Budget 2028-2031'!$F:$F,README!$M$8)</f>
        <v>0</v>
      </c>
      <c r="AO13" s="759">
        <f>SUMIFS('4.2 Program Budget 2028-2031'!AG:AG,'4.2 Program Budget 2028-2031'!$D:$D,$B13,'4.2 Program Budget 2028-2031'!$F:$F,README!$M$8)</f>
        <v>0</v>
      </c>
      <c r="AP13" s="759">
        <f>SUMIFS('4.2 Program Budget 2028-2031'!AH:AH,'4.2 Program Budget 2028-2031'!$D:$D,$B13,'4.2 Program Budget 2028-2031'!$F:$F,README!$M$8)</f>
        <v>0</v>
      </c>
      <c r="AQ13" s="759">
        <f>SUMIFS('4.2 Program Budget 2028-2031'!AI:AI,'4.2 Program Budget 2028-2031'!$D:$D,$B13,'4.2 Program Budget 2028-2031'!$F:$F,README!$M$8)</f>
        <v>0</v>
      </c>
      <c r="AR13" s="760">
        <f>SUMIFS('4.2 Program Budget 2028-2031'!AJ:AJ,'4.2 Program Budget 2028-2031'!$D:$D,$B13,'4.2 Program Budget 2028-2031'!$F:$F,README!$M$8)</f>
        <v>0</v>
      </c>
      <c r="AS13" s="758">
        <f>SUMIFS('4.2 Program Budget 2028-2031'!AP:AP,'4.2 Program Budget 2028-2031'!$D:$D,$B13,'4.2 Program Budget 2028-2031'!$F:$F,README!$M$8)</f>
        <v>2024172.9819724048</v>
      </c>
      <c r="AT13" s="759">
        <f>SUMIFS('4.2 Program Budget 2028-2031'!AQ:AQ,'4.2 Program Budget 2028-2031'!$D:$D,$B13,'4.2 Program Budget 2028-2031'!$F:$F,README!$M$8)</f>
        <v>0</v>
      </c>
      <c r="AU13" s="759">
        <f>SUMIFS('4.2 Program Budget 2028-2031'!AR:AR,'4.2 Program Budget 2028-2031'!$D:$D,$B13,'4.2 Program Budget 2028-2031'!$F:$F,README!$M$8)</f>
        <v>0</v>
      </c>
      <c r="AV13" s="759">
        <f>SUMIFS('4.2 Program Budget 2028-2031'!AS:AS,'4.2 Program Budget 2028-2031'!$D:$D,$B13,'4.2 Program Budget 2028-2031'!$F:$F,README!$M$8)</f>
        <v>0</v>
      </c>
      <c r="AW13" s="759">
        <f>SUMIFS('4.2 Program Budget 2028-2031'!AT:AT,'4.2 Program Budget 2028-2031'!$D:$D,$B13,'4.2 Program Budget 2028-2031'!$F:$F,README!$M$8)</f>
        <v>0</v>
      </c>
      <c r="AX13" s="759">
        <f>SUMIFS('4.2 Program Budget 2028-2031'!AU:AU,'4.2 Program Budget 2028-2031'!$D:$D,$B13,'4.2 Program Budget 2028-2031'!$F:$F,README!$M$8)</f>
        <v>0</v>
      </c>
      <c r="AZ13" s="761"/>
      <c r="BB13" s="1140"/>
      <c r="BC13" s="1141"/>
      <c r="BD13" s="1141"/>
      <c r="BE13" s="1141"/>
    </row>
    <row r="14" spans="1:57">
      <c r="A14" s="245">
        <v>2</v>
      </c>
      <c r="B14" s="757" t="s">
        <v>34</v>
      </c>
      <c r="C14" s="758">
        <f>SUMIFS('4.1 Program Budget - 2024-2027'!S:S,'4.1 Program Budget - 2024-2027'!$G:$G,$B14,'4.1 Program Budget - 2024-2027'!$H:$H,README!$M$8)</f>
        <v>0</v>
      </c>
      <c r="D14" s="1139">
        <f>SUMIFS('4.1 Program Budget - 2024-2027'!W:W,'4.1 Program Budget - 2024-2027'!$G:$G,$B14,'4.1 Program Budget - 2024-2027'!$H:$H,README!$M$8)</f>
        <v>0</v>
      </c>
      <c r="E14" s="1139">
        <f>SUMIFS('4.1 Program Budget - 2024-2027'!X:X,'4.1 Program Budget - 2024-2027'!$G:$G,$B14,'4.1 Program Budget - 2024-2027'!$H:$H,README!$M$8)</f>
        <v>0</v>
      </c>
      <c r="F14" s="1139">
        <f>SUMIFS('4.1 Program Budget - 2024-2027'!Y:Y,'4.1 Program Budget - 2024-2027'!$G:$G,$B14,'4.1 Program Budget - 2024-2027'!$H:$H,README!$M$8)</f>
        <v>0</v>
      </c>
      <c r="G14" s="1139">
        <f>SUMIFS('4.1 Program Budget - 2024-2027'!Z:Z,'4.1 Program Budget - 2024-2027'!$G:$G,$B14,'4.1 Program Budget - 2024-2027'!$H:$H,README!$M$8)</f>
        <v>0</v>
      </c>
      <c r="H14" s="1139">
        <f>SUMIFS('4.1 Program Budget - 2024-2027'!AA:AA,'4.1 Program Budget - 2024-2027'!$G:$G,$B14,'4.1 Program Budget - 2024-2027'!$H:$H,README!$M$8)</f>
        <v>0</v>
      </c>
      <c r="I14" s="758">
        <f>SUMIFS('4.1 Program Budget - 2024-2027'!AK:AK,'4.1 Program Budget - 2024-2027'!$G:$G,$B14,'4.1 Program Budget - 2024-2027'!$H:$H,README!$M$8)</f>
        <v>0</v>
      </c>
      <c r="J14" s="759">
        <f>SUMIFS('4.1 Program Budget - 2024-2027'!AO:AO,'4.1 Program Budget - 2024-2027'!$G:$G,$B14,'4.1 Program Budget - 2024-2027'!$H:$H,README!$M$8)</f>
        <v>0</v>
      </c>
      <c r="K14" s="759">
        <f>SUMIFS('4.1 Program Budget - 2024-2027'!AP:AP,'4.1 Program Budget - 2024-2027'!$G:$G,$B14,'4.1 Program Budget - 2024-2027'!$H:$H,README!$M$8)</f>
        <v>0</v>
      </c>
      <c r="L14" s="759">
        <f>SUMIFS('4.1 Program Budget - 2024-2027'!AQ:AQ,'4.1 Program Budget - 2024-2027'!$G:$G,$B14,'4.1 Program Budget - 2024-2027'!$H:$H,README!$M$8)</f>
        <v>0</v>
      </c>
      <c r="M14" s="1139">
        <f>SUMIFS('4.1 Program Budget - 2024-2027'!AR:AR,'4.1 Program Budget - 2024-2027'!$G:$G,$B14,'4.1 Program Budget - 2024-2027'!$H:$H,README!$M$8)</f>
        <v>0</v>
      </c>
      <c r="N14" s="1139">
        <f>SUMIFS('4.1 Program Budget - 2024-2027'!AS:AS,'4.1 Program Budget - 2024-2027'!$G:$G,$B14,'4.1 Program Budget - 2024-2027'!$H:$H,README!$M$8)</f>
        <v>0</v>
      </c>
      <c r="O14" s="758">
        <f>SUMIFS('4.1 Program Budget - 2024-2027'!BC:BC,'4.1 Program Budget - 2024-2027'!$G:$G,$B14,'4.1 Program Budget - 2024-2027'!$H:$H,README!$M$8)</f>
        <v>0</v>
      </c>
      <c r="P14" s="759">
        <f>SUMIFS('4.1 Program Budget - 2024-2027'!BG:BG,'4.1 Program Budget - 2024-2027'!$G:$G,$B14,'4.1 Program Budget - 2024-2027'!$H:$H,README!$M$8)</f>
        <v>0</v>
      </c>
      <c r="Q14" s="759">
        <f>SUMIFS('4.1 Program Budget - 2024-2027'!BH:BH,'4.1 Program Budget - 2024-2027'!$G:$G,$B14,'4.1 Program Budget - 2024-2027'!$H:$H,README!$M$8)</f>
        <v>0</v>
      </c>
      <c r="R14" s="759">
        <f>SUMIFS('4.1 Program Budget - 2024-2027'!BI:BI,'4.1 Program Budget - 2024-2027'!$G:$G,$B14,'4.1 Program Budget - 2024-2027'!$H:$H,README!$M$8)</f>
        <v>0</v>
      </c>
      <c r="S14" s="1139">
        <f>SUMIFS('4.1 Program Budget - 2024-2027'!BJ:BJ,'4.1 Program Budget - 2024-2027'!$G:$G,$B14,'4.1 Program Budget - 2024-2027'!$H:$H,README!$M$8)</f>
        <v>0</v>
      </c>
      <c r="T14" s="1139">
        <f>SUMIFS('4.1 Program Budget - 2024-2027'!BK:BK,'4.1 Program Budget - 2024-2027'!$G:$G,$B14,'4.1 Program Budget - 2024-2027'!$H:$H,README!$M$8)</f>
        <v>0</v>
      </c>
      <c r="U14" s="758">
        <f>SUMIFS('4.1 Program Budget - 2024-2027'!BU:BU,'4.1 Program Budget - 2024-2027'!$G:$G,$B14,'4.1 Program Budget - 2024-2027'!$H:$H,README!$M$8)</f>
        <v>0</v>
      </c>
      <c r="V14" s="759">
        <f>SUMIFS('4.1 Program Budget - 2024-2027'!BY:BY,'4.1 Program Budget - 2024-2027'!$G:$G,$B14,'4.1 Program Budget - 2024-2027'!$H:$H,README!$M$8)</f>
        <v>0</v>
      </c>
      <c r="W14" s="759">
        <f>SUMIFS('4.1 Program Budget - 2024-2027'!BZ:BZ,'4.1 Program Budget - 2024-2027'!$G:$G,$B14,'4.1 Program Budget - 2024-2027'!$H:$H,README!$M$8)</f>
        <v>0</v>
      </c>
      <c r="X14" s="759">
        <f>SUMIFS('4.1 Program Budget - 2024-2027'!CA:CA,'4.1 Program Budget - 2024-2027'!$G:$G,$B14,'4.1 Program Budget - 2024-2027'!$H:$H,README!$M$8)</f>
        <v>0</v>
      </c>
      <c r="Y14" s="1139">
        <f>SUMIFS('4.1 Program Budget - 2024-2027'!CB:CB,'4.1 Program Budget - 2024-2027'!$G:$G,$B14,'4.1 Program Budget - 2024-2027'!$H:$H,README!$M$8)</f>
        <v>0</v>
      </c>
      <c r="Z14" s="1139">
        <f>SUMIFS('4.1 Program Budget - 2024-2027'!CC:CC,'4.1 Program Budget - 2024-2027'!$G:$G,$B14,'4.1 Program Budget - 2024-2027'!$H:$H,README!$M$8)</f>
        <v>0</v>
      </c>
      <c r="AA14" s="758">
        <f>SUMIFS('4.2 Program Budget 2028-2031'!I:I,'4.2 Program Budget 2028-2031'!D:D,B14,'4.2 Program Budget 2028-2031'!F:F,README!$M$8)</f>
        <v>0</v>
      </c>
      <c r="AB14" s="759">
        <f>SUMIFS('4.2 Program Budget 2028-2031'!J:J,'4.2 Program Budget 2028-2031'!$D:$D,$B14,'4.2 Program Budget 2028-2031'!$F:$F,README!$M$8)</f>
        <v>0</v>
      </c>
      <c r="AC14" s="759">
        <f>SUMIFS('4.2 Program Budget 2028-2031'!K:K,'4.2 Program Budget 2028-2031'!$D:$D,$B14,'4.2 Program Budget 2028-2031'!$F:$F,README!$M$8)</f>
        <v>0</v>
      </c>
      <c r="AD14" s="759">
        <f>SUMIFS('4.2 Program Budget 2028-2031'!L:L,'4.2 Program Budget 2028-2031'!$D:$D,$B14,'4.2 Program Budget 2028-2031'!$F:$F,README!$M$8)</f>
        <v>0</v>
      </c>
      <c r="AE14" s="759">
        <f>SUMIFS('4.2 Program Budget 2028-2031'!M:M,'4.2 Program Budget 2028-2031'!$D:$D,$B14,'4.2 Program Budget 2028-2031'!$F:$F,README!$M$8)</f>
        <v>0</v>
      </c>
      <c r="AF14" s="759">
        <f>SUMIFS('4.2 Program Budget 2028-2031'!N:N,'4.2 Program Budget 2028-2031'!$D:$D,$B14,'4.2 Program Budget 2028-2031'!$F:$F,README!$M$8)</f>
        <v>0</v>
      </c>
      <c r="AG14" s="758">
        <f>SUMIFS('4.2 Program Budget 2028-2031'!T:T,'4.2 Program Budget 2028-2031'!$D:$D,$B14,'4.2 Program Budget 2028-2031'!$F:$F,README!$M$8)</f>
        <v>0</v>
      </c>
      <c r="AH14" s="759">
        <f>SUMIFS('4.2 Program Budget 2028-2031'!U:U,'4.2 Program Budget 2028-2031'!$D:$D,$B14,'4.2 Program Budget 2028-2031'!$F:$F,README!$M$8)</f>
        <v>0</v>
      </c>
      <c r="AI14" s="759">
        <f>SUMIFS('4.2 Program Budget 2028-2031'!V:V,'4.2 Program Budget 2028-2031'!$D:$D,$B14,'4.2 Program Budget 2028-2031'!$F:$F,README!$M$8)</f>
        <v>0</v>
      </c>
      <c r="AJ14" s="759">
        <f>SUMIFS('4.2 Program Budget 2028-2031'!W:W,'4.2 Program Budget 2028-2031'!$D:$D,$B14,'4.2 Program Budget 2028-2031'!$F:$F,README!$M$8)</f>
        <v>0</v>
      </c>
      <c r="AK14" s="759">
        <f>SUMIFS('4.2 Program Budget 2028-2031'!X:X,'4.2 Program Budget 2028-2031'!$D:$D,$B14,'4.2 Program Budget 2028-2031'!$F:$F,README!$M$8)</f>
        <v>0</v>
      </c>
      <c r="AL14" s="759">
        <f>SUMIFS('4.2 Program Budget 2028-2031'!Y:Y,'4.2 Program Budget 2028-2031'!$D:$D,$B14,'4.2 Program Budget 2028-2031'!$F:$F,README!$M$8)</f>
        <v>0</v>
      </c>
      <c r="AM14" s="758">
        <f>SUMIFS('4.2 Program Budget 2028-2031'!AE:AE,'4.2 Program Budget 2028-2031'!$D:$D,$B14,'4.2 Program Budget 2028-2031'!$F:$F,README!$M$8)</f>
        <v>0</v>
      </c>
      <c r="AN14" s="759">
        <f>SUMIFS('4.2 Program Budget 2028-2031'!AF:AF,'4.2 Program Budget 2028-2031'!$D:$D,$B14,'4.2 Program Budget 2028-2031'!$F:$F,README!$M$8)</f>
        <v>0</v>
      </c>
      <c r="AO14" s="759">
        <f>SUMIFS('4.2 Program Budget 2028-2031'!AG:AG,'4.2 Program Budget 2028-2031'!$D:$D,$B14,'4.2 Program Budget 2028-2031'!$F:$F,README!$M$8)</f>
        <v>0</v>
      </c>
      <c r="AP14" s="759">
        <f>SUMIFS('4.2 Program Budget 2028-2031'!AH:AH,'4.2 Program Budget 2028-2031'!$D:$D,$B14,'4.2 Program Budget 2028-2031'!$F:$F,README!$M$8)</f>
        <v>0</v>
      </c>
      <c r="AQ14" s="759">
        <f>SUMIFS('4.2 Program Budget 2028-2031'!AI:AI,'4.2 Program Budget 2028-2031'!$D:$D,$B14,'4.2 Program Budget 2028-2031'!$F:$F,README!$M$8)</f>
        <v>0</v>
      </c>
      <c r="AR14" s="760">
        <f>SUMIFS('4.2 Program Budget 2028-2031'!AJ:AJ,'4.2 Program Budget 2028-2031'!$D:$D,$B14,'4.2 Program Budget 2028-2031'!$F:$F,README!$M$8)</f>
        <v>0</v>
      </c>
      <c r="AS14" s="758">
        <f>SUMIFS('4.2 Program Budget 2028-2031'!AP:AP,'4.2 Program Budget 2028-2031'!$D:$D,$B14,'4.2 Program Budget 2028-2031'!$F:$F,README!$M$8)</f>
        <v>0</v>
      </c>
      <c r="AT14" s="759">
        <f>SUMIFS('4.2 Program Budget 2028-2031'!AQ:AQ,'4.2 Program Budget 2028-2031'!$D:$D,$B14,'4.2 Program Budget 2028-2031'!$F:$F,README!$M$8)</f>
        <v>0</v>
      </c>
      <c r="AU14" s="759">
        <f>SUMIFS('4.2 Program Budget 2028-2031'!AR:AR,'4.2 Program Budget 2028-2031'!$D:$D,$B14,'4.2 Program Budget 2028-2031'!$F:$F,README!$M$8)</f>
        <v>0</v>
      </c>
      <c r="AV14" s="759">
        <f>SUMIFS('4.2 Program Budget 2028-2031'!AS:AS,'4.2 Program Budget 2028-2031'!$D:$D,$B14,'4.2 Program Budget 2028-2031'!$F:$F,README!$M$8)</f>
        <v>0</v>
      </c>
      <c r="AW14" s="759">
        <f>SUMIFS('4.2 Program Budget 2028-2031'!AT:AT,'4.2 Program Budget 2028-2031'!$D:$D,$B14,'4.2 Program Budget 2028-2031'!$F:$F,README!$M$8)</f>
        <v>0</v>
      </c>
      <c r="AX14" s="759">
        <f>SUMIFS('4.2 Program Budget 2028-2031'!AU:AU,'4.2 Program Budget 2028-2031'!$D:$D,$B14,'4.2 Program Budget 2028-2031'!$F:$F,README!$M$8)</f>
        <v>0</v>
      </c>
      <c r="AZ14" s="761"/>
      <c r="BB14" s="1140"/>
      <c r="BC14" s="1141"/>
      <c r="BD14" s="1141"/>
      <c r="BE14" s="1141"/>
    </row>
    <row r="15" spans="1:57">
      <c r="A15" s="245">
        <v>3</v>
      </c>
      <c r="B15" s="757" t="s">
        <v>36</v>
      </c>
      <c r="C15" s="758">
        <f>SUMIFS('4.1 Program Budget - 2024-2027'!S:S,'4.1 Program Budget - 2024-2027'!$G:$G,$B15,'4.1 Program Budget - 2024-2027'!$H:$H,README!$M$8)</f>
        <v>0</v>
      </c>
      <c r="D15" s="1139">
        <f>SUMIFS('4.1 Program Budget - 2024-2027'!W:W,'4.1 Program Budget - 2024-2027'!$G:$G,$B15,'4.1 Program Budget - 2024-2027'!$H:$H,README!$M$8)</f>
        <v>0</v>
      </c>
      <c r="E15" s="1139">
        <f>SUMIFS('4.1 Program Budget - 2024-2027'!X:X,'4.1 Program Budget - 2024-2027'!$G:$G,$B15,'4.1 Program Budget - 2024-2027'!$H:$H,README!$M$8)</f>
        <v>0</v>
      </c>
      <c r="F15" s="1139">
        <f>SUMIFS('4.1 Program Budget - 2024-2027'!Y:Y,'4.1 Program Budget - 2024-2027'!$G:$G,$B15,'4.1 Program Budget - 2024-2027'!$H:$H,README!$M$8)</f>
        <v>0</v>
      </c>
      <c r="G15" s="1139">
        <f>SUMIFS('4.1 Program Budget - 2024-2027'!Z:Z,'4.1 Program Budget - 2024-2027'!$G:$G,$B15,'4.1 Program Budget - 2024-2027'!$H:$H,README!$M$8)</f>
        <v>0</v>
      </c>
      <c r="H15" s="1139">
        <f>SUMIFS('4.1 Program Budget - 2024-2027'!AA:AA,'4.1 Program Budget - 2024-2027'!$G:$G,$B15,'4.1 Program Budget - 2024-2027'!$H:$H,README!$M$8)</f>
        <v>0</v>
      </c>
      <c r="I15" s="758">
        <f>SUMIFS('4.1 Program Budget - 2024-2027'!AK:AK,'4.1 Program Budget - 2024-2027'!$G:$G,$B15,'4.1 Program Budget - 2024-2027'!$H:$H,README!$M$8)</f>
        <v>0</v>
      </c>
      <c r="J15" s="759">
        <f>SUMIFS('4.1 Program Budget - 2024-2027'!AO:AO,'4.1 Program Budget - 2024-2027'!$G:$G,$B15,'4.1 Program Budget - 2024-2027'!$H:$H,README!$M$8)</f>
        <v>0</v>
      </c>
      <c r="K15" s="759">
        <f>SUMIFS('4.1 Program Budget - 2024-2027'!AP:AP,'4.1 Program Budget - 2024-2027'!$G:$G,$B15,'4.1 Program Budget - 2024-2027'!$H:$H,README!$M$8)</f>
        <v>0</v>
      </c>
      <c r="L15" s="759">
        <f>SUMIFS('4.1 Program Budget - 2024-2027'!AQ:AQ,'4.1 Program Budget - 2024-2027'!$G:$G,$B15,'4.1 Program Budget - 2024-2027'!$H:$H,README!$M$8)</f>
        <v>0</v>
      </c>
      <c r="M15" s="1139">
        <f>SUMIFS('4.1 Program Budget - 2024-2027'!AR:AR,'4.1 Program Budget - 2024-2027'!$G:$G,$B15,'4.1 Program Budget - 2024-2027'!$H:$H,README!$M$8)</f>
        <v>0</v>
      </c>
      <c r="N15" s="1139">
        <f>SUMIFS('4.1 Program Budget - 2024-2027'!AS:AS,'4.1 Program Budget - 2024-2027'!$G:$G,$B15,'4.1 Program Budget - 2024-2027'!$H:$H,README!$M$8)</f>
        <v>0</v>
      </c>
      <c r="O15" s="758">
        <f>SUMIFS('4.1 Program Budget - 2024-2027'!BC:BC,'4.1 Program Budget - 2024-2027'!$G:$G,$B15,'4.1 Program Budget - 2024-2027'!$H:$H,README!$M$8)</f>
        <v>0</v>
      </c>
      <c r="P15" s="759">
        <f>SUMIFS('4.1 Program Budget - 2024-2027'!BG:BG,'4.1 Program Budget - 2024-2027'!$G:$G,$B15,'4.1 Program Budget - 2024-2027'!$H:$H,README!$M$8)</f>
        <v>0</v>
      </c>
      <c r="Q15" s="759">
        <f>SUMIFS('4.1 Program Budget - 2024-2027'!BH:BH,'4.1 Program Budget - 2024-2027'!$G:$G,$B15,'4.1 Program Budget - 2024-2027'!$H:$H,README!$M$8)</f>
        <v>0</v>
      </c>
      <c r="R15" s="759">
        <f>SUMIFS('4.1 Program Budget - 2024-2027'!BI:BI,'4.1 Program Budget - 2024-2027'!$G:$G,$B15,'4.1 Program Budget - 2024-2027'!$H:$H,README!$M$8)</f>
        <v>0</v>
      </c>
      <c r="S15" s="1139">
        <f>SUMIFS('4.1 Program Budget - 2024-2027'!BJ:BJ,'4.1 Program Budget - 2024-2027'!$G:$G,$B15,'4.1 Program Budget - 2024-2027'!$H:$H,README!$M$8)</f>
        <v>0</v>
      </c>
      <c r="T15" s="1139">
        <f>SUMIFS('4.1 Program Budget - 2024-2027'!BK:BK,'4.1 Program Budget - 2024-2027'!$G:$G,$B15,'4.1 Program Budget - 2024-2027'!$H:$H,README!$M$8)</f>
        <v>0</v>
      </c>
      <c r="U15" s="758">
        <f>SUMIFS('4.1 Program Budget - 2024-2027'!BU:BU,'4.1 Program Budget - 2024-2027'!$G:$G,$B15,'4.1 Program Budget - 2024-2027'!$H:$H,README!$M$8)</f>
        <v>0</v>
      </c>
      <c r="V15" s="759">
        <f>SUMIFS('4.1 Program Budget - 2024-2027'!BY:BY,'4.1 Program Budget - 2024-2027'!$G:$G,$B15,'4.1 Program Budget - 2024-2027'!$H:$H,README!$M$8)</f>
        <v>0</v>
      </c>
      <c r="W15" s="759">
        <f>SUMIFS('4.1 Program Budget - 2024-2027'!BZ:BZ,'4.1 Program Budget - 2024-2027'!$G:$G,$B15,'4.1 Program Budget - 2024-2027'!$H:$H,README!$M$8)</f>
        <v>0</v>
      </c>
      <c r="X15" s="759">
        <f>SUMIFS('4.1 Program Budget - 2024-2027'!CA:CA,'4.1 Program Budget - 2024-2027'!$G:$G,$B15,'4.1 Program Budget - 2024-2027'!$H:$H,README!$M$8)</f>
        <v>0</v>
      </c>
      <c r="Y15" s="1139">
        <f>SUMIFS('4.1 Program Budget - 2024-2027'!CB:CB,'4.1 Program Budget - 2024-2027'!$G:$G,$B15,'4.1 Program Budget - 2024-2027'!$H:$H,README!$M$8)</f>
        <v>0</v>
      </c>
      <c r="Z15" s="1139">
        <f>SUMIFS('4.1 Program Budget - 2024-2027'!CC:CC,'4.1 Program Budget - 2024-2027'!$G:$G,$B15,'4.1 Program Budget - 2024-2027'!$H:$H,README!$M$8)</f>
        <v>0</v>
      </c>
      <c r="AA15" s="758">
        <f>SUMIFS('4.2 Program Budget 2028-2031'!I:I,'4.2 Program Budget 2028-2031'!D:D,B15,'4.2 Program Budget 2028-2031'!F:F,README!$M$8)</f>
        <v>0</v>
      </c>
      <c r="AB15" s="759">
        <f>SUMIFS('4.2 Program Budget 2028-2031'!J:J,'4.2 Program Budget 2028-2031'!$D:$D,$B15,'4.2 Program Budget 2028-2031'!$F:$F,README!$M$8)</f>
        <v>0</v>
      </c>
      <c r="AC15" s="759">
        <f>SUMIFS('4.2 Program Budget 2028-2031'!K:K,'4.2 Program Budget 2028-2031'!$D:$D,$B15,'4.2 Program Budget 2028-2031'!$F:$F,README!$M$8)</f>
        <v>0</v>
      </c>
      <c r="AD15" s="759">
        <f>SUMIFS('4.2 Program Budget 2028-2031'!L:L,'4.2 Program Budget 2028-2031'!$D:$D,$B15,'4.2 Program Budget 2028-2031'!$F:$F,README!$M$8)</f>
        <v>0</v>
      </c>
      <c r="AE15" s="759">
        <f>SUMIFS('4.2 Program Budget 2028-2031'!M:M,'4.2 Program Budget 2028-2031'!$D:$D,$B15,'4.2 Program Budget 2028-2031'!$F:$F,README!$M$8)</f>
        <v>0</v>
      </c>
      <c r="AF15" s="759">
        <f>SUMIFS('4.2 Program Budget 2028-2031'!N:N,'4.2 Program Budget 2028-2031'!$D:$D,$B15,'4.2 Program Budget 2028-2031'!$F:$F,README!$M$8)</f>
        <v>0</v>
      </c>
      <c r="AG15" s="758">
        <f>SUMIFS('4.2 Program Budget 2028-2031'!T:T,'4.2 Program Budget 2028-2031'!$D:$D,$B15,'4.2 Program Budget 2028-2031'!$F:$F,README!$M$8)</f>
        <v>0</v>
      </c>
      <c r="AH15" s="759">
        <f>SUMIFS('4.2 Program Budget 2028-2031'!U:U,'4.2 Program Budget 2028-2031'!$D:$D,$B15,'4.2 Program Budget 2028-2031'!$F:$F,README!$M$8)</f>
        <v>0</v>
      </c>
      <c r="AI15" s="759">
        <f>SUMIFS('4.2 Program Budget 2028-2031'!V:V,'4.2 Program Budget 2028-2031'!$D:$D,$B15,'4.2 Program Budget 2028-2031'!$F:$F,README!$M$8)</f>
        <v>0</v>
      </c>
      <c r="AJ15" s="759">
        <f>SUMIFS('4.2 Program Budget 2028-2031'!W:W,'4.2 Program Budget 2028-2031'!$D:$D,$B15,'4.2 Program Budget 2028-2031'!$F:$F,README!$M$8)</f>
        <v>0</v>
      </c>
      <c r="AK15" s="759">
        <f>SUMIFS('4.2 Program Budget 2028-2031'!X:X,'4.2 Program Budget 2028-2031'!$D:$D,$B15,'4.2 Program Budget 2028-2031'!$F:$F,README!$M$8)</f>
        <v>0</v>
      </c>
      <c r="AL15" s="759">
        <f>SUMIFS('4.2 Program Budget 2028-2031'!Y:Y,'4.2 Program Budget 2028-2031'!$D:$D,$B15,'4.2 Program Budget 2028-2031'!$F:$F,README!$M$8)</f>
        <v>0</v>
      </c>
      <c r="AM15" s="758">
        <f>SUMIFS('4.2 Program Budget 2028-2031'!AE:AE,'4.2 Program Budget 2028-2031'!$D:$D,$B15,'4.2 Program Budget 2028-2031'!$F:$F,README!$M$8)</f>
        <v>0</v>
      </c>
      <c r="AN15" s="759">
        <f>SUMIFS('4.2 Program Budget 2028-2031'!AF:AF,'4.2 Program Budget 2028-2031'!$D:$D,$B15,'4.2 Program Budget 2028-2031'!$F:$F,README!$M$8)</f>
        <v>0</v>
      </c>
      <c r="AO15" s="759">
        <f>SUMIFS('4.2 Program Budget 2028-2031'!AG:AG,'4.2 Program Budget 2028-2031'!$D:$D,$B15,'4.2 Program Budget 2028-2031'!$F:$F,README!$M$8)</f>
        <v>0</v>
      </c>
      <c r="AP15" s="759">
        <f>SUMIFS('4.2 Program Budget 2028-2031'!AH:AH,'4.2 Program Budget 2028-2031'!$D:$D,$B15,'4.2 Program Budget 2028-2031'!$F:$F,README!$M$8)</f>
        <v>0</v>
      </c>
      <c r="AQ15" s="759">
        <f>SUMIFS('4.2 Program Budget 2028-2031'!AI:AI,'4.2 Program Budget 2028-2031'!$D:$D,$B15,'4.2 Program Budget 2028-2031'!$F:$F,README!$M$8)</f>
        <v>0</v>
      </c>
      <c r="AR15" s="760">
        <f>SUMIFS('4.2 Program Budget 2028-2031'!AJ:AJ,'4.2 Program Budget 2028-2031'!$D:$D,$B15,'4.2 Program Budget 2028-2031'!$F:$F,README!$M$8)</f>
        <v>0</v>
      </c>
      <c r="AS15" s="758">
        <f>SUMIFS('4.2 Program Budget 2028-2031'!AP:AP,'4.2 Program Budget 2028-2031'!$D:$D,$B15,'4.2 Program Budget 2028-2031'!$F:$F,README!$M$8)</f>
        <v>0</v>
      </c>
      <c r="AT15" s="759">
        <f>SUMIFS('4.2 Program Budget 2028-2031'!AQ:AQ,'4.2 Program Budget 2028-2031'!$D:$D,$B15,'4.2 Program Budget 2028-2031'!$F:$F,README!$M$8)</f>
        <v>0</v>
      </c>
      <c r="AU15" s="759">
        <f>SUMIFS('4.2 Program Budget 2028-2031'!AR:AR,'4.2 Program Budget 2028-2031'!$D:$D,$B15,'4.2 Program Budget 2028-2031'!$F:$F,README!$M$8)</f>
        <v>0</v>
      </c>
      <c r="AV15" s="759">
        <f>SUMIFS('4.2 Program Budget 2028-2031'!AS:AS,'4.2 Program Budget 2028-2031'!$D:$D,$B15,'4.2 Program Budget 2028-2031'!$F:$F,README!$M$8)</f>
        <v>0</v>
      </c>
      <c r="AW15" s="759">
        <f>SUMIFS('4.2 Program Budget 2028-2031'!AT:AT,'4.2 Program Budget 2028-2031'!$D:$D,$B15,'4.2 Program Budget 2028-2031'!$F:$F,README!$M$8)</f>
        <v>0</v>
      </c>
      <c r="AX15" s="759">
        <f>SUMIFS('4.2 Program Budget 2028-2031'!AU:AU,'4.2 Program Budget 2028-2031'!$D:$D,$B15,'4.2 Program Budget 2028-2031'!$F:$F,README!$M$8)</f>
        <v>0</v>
      </c>
      <c r="AZ15" s="761"/>
      <c r="BB15" s="1140"/>
      <c r="BC15" s="1141"/>
      <c r="BD15" s="1141"/>
      <c r="BE15" s="1141"/>
    </row>
    <row r="16" spans="1:57">
      <c r="A16" s="245">
        <v>4</v>
      </c>
      <c r="B16" s="19" t="s">
        <v>958</v>
      </c>
      <c r="C16" s="32">
        <f>SUM(C7:C15)</f>
        <v>100328887.88029744</v>
      </c>
      <c r="D16" s="1142">
        <f t="shared" ref="D16:F16" si="0">SUM(D7:D15)</f>
        <v>11586538.710000001</v>
      </c>
      <c r="E16" s="1142">
        <f t="shared" si="0"/>
        <v>2809.45</v>
      </c>
      <c r="F16" s="1142">
        <f t="shared" si="0"/>
        <v>29575980.020000003</v>
      </c>
      <c r="G16" s="1142">
        <f t="shared" ref="G16" si="1">SUM(G7:G15)</f>
        <v>3426.26</v>
      </c>
      <c r="H16" s="1142">
        <f t="shared" ref="H16" si="2">SUM(H7:H15)</f>
        <v>173064.62</v>
      </c>
      <c r="I16" s="32">
        <f>SUM(I7:I15)</f>
        <v>100714929.54282318</v>
      </c>
      <c r="J16" s="1143">
        <f t="shared" ref="J16:N16" si="3">SUM(J7:J15)</f>
        <v>11595149.00898</v>
      </c>
      <c r="K16" s="1143">
        <f t="shared" si="3"/>
        <v>2811.6688097340002</v>
      </c>
      <c r="L16" s="1143">
        <f t="shared" si="3"/>
        <v>29563237.97143</v>
      </c>
      <c r="M16" s="1142">
        <f t="shared" si="3"/>
        <v>3147.5561675819999</v>
      </c>
      <c r="N16" s="1142">
        <f t="shared" si="3"/>
        <v>172991.34913510003</v>
      </c>
      <c r="O16" s="32">
        <f>SUM(O7:O15)</f>
        <v>101233220.89545128</v>
      </c>
      <c r="P16" s="1143">
        <f t="shared" ref="P16:T16" si="4">SUM(P7:P15)</f>
        <v>11594716.88398</v>
      </c>
      <c r="Q16" s="1143">
        <f t="shared" si="4"/>
        <v>2811.476509734</v>
      </c>
      <c r="R16" s="1143">
        <f t="shared" si="4"/>
        <v>29377552.711430002</v>
      </c>
      <c r="S16" s="1142">
        <f t="shared" si="4"/>
        <v>2879.500778049</v>
      </c>
      <c r="T16" s="1142">
        <f t="shared" si="4"/>
        <v>171906.72412710002</v>
      </c>
      <c r="U16" s="32">
        <f>SUM(U7:U15)</f>
        <v>102655967.95153219</v>
      </c>
      <c r="V16" s="1143">
        <f t="shared" ref="V16:Z16" si="5">SUM(V7:V15)</f>
        <v>11592676.51268</v>
      </c>
      <c r="W16" s="1143">
        <f t="shared" si="5"/>
        <v>2811.579174342</v>
      </c>
      <c r="X16" s="1143">
        <f t="shared" si="5"/>
        <v>29728704.653330002</v>
      </c>
      <c r="Y16" s="1142">
        <f t="shared" si="5"/>
        <v>2705.7661699679998</v>
      </c>
      <c r="Z16" s="1142">
        <f t="shared" si="5"/>
        <v>173964.9640721</v>
      </c>
      <c r="AA16" s="32">
        <f>SUM(AA7:AA15)</f>
        <v>105940958.92598121</v>
      </c>
      <c r="AB16" s="1143">
        <f t="shared" ref="AB16:AF16" si="6">SUM(AB7:AB15)</f>
        <v>20358198</v>
      </c>
      <c r="AC16" s="1143">
        <f t="shared" si="6"/>
        <v>4968</v>
      </c>
      <c r="AD16" s="1143">
        <f t="shared" si="6"/>
        <v>29598265</v>
      </c>
      <c r="AE16" s="1142">
        <f t="shared" si="6"/>
        <v>4343</v>
      </c>
      <c r="AF16" s="1142">
        <f t="shared" si="6"/>
        <v>173150</v>
      </c>
      <c r="AG16" s="32">
        <f>SUM(AG7:AG15)</f>
        <v>109331069.61161262</v>
      </c>
      <c r="AH16" s="1143">
        <f t="shared" ref="AH16:AL16" si="7">SUM(AH7:AH15)</f>
        <v>20741036</v>
      </c>
      <c r="AI16" s="1143">
        <f t="shared" si="7"/>
        <v>5062</v>
      </c>
      <c r="AJ16" s="1143">
        <f t="shared" si="7"/>
        <v>30513815</v>
      </c>
      <c r="AK16" s="1142">
        <f t="shared" si="7"/>
        <v>4043</v>
      </c>
      <c r="AL16" s="1142">
        <f t="shared" si="7"/>
        <v>178505</v>
      </c>
      <c r="AM16" s="32">
        <f>SUM(AM7:AM15)</f>
        <v>112829663.83918422</v>
      </c>
      <c r="AN16" s="1143">
        <f t="shared" ref="AN16:AR16" si="8">SUM(AN7:AN15)</f>
        <v>21136121</v>
      </c>
      <c r="AO16" s="1143">
        <f t="shared" si="8"/>
        <v>5158</v>
      </c>
      <c r="AP16" s="1143">
        <f t="shared" si="8"/>
        <v>31458660</v>
      </c>
      <c r="AQ16" s="1142">
        <f t="shared" si="8"/>
        <v>4110</v>
      </c>
      <c r="AR16" s="1142">
        <f t="shared" si="8"/>
        <v>184033</v>
      </c>
      <c r="AS16" s="32">
        <f>SUM(AS7:AS15)</f>
        <v>116440213.08203813</v>
      </c>
      <c r="AT16" s="1143">
        <f t="shared" ref="AT16:AX16" si="9">SUM(AT7:AT15)</f>
        <v>21543853</v>
      </c>
      <c r="AU16" s="1143">
        <f t="shared" si="9"/>
        <v>5256</v>
      </c>
      <c r="AV16" s="1143">
        <f t="shared" si="9"/>
        <v>32433741</v>
      </c>
      <c r="AW16" s="1142">
        <f t="shared" si="9"/>
        <v>4384</v>
      </c>
      <c r="AX16" s="1142">
        <f t="shared" si="9"/>
        <v>189738</v>
      </c>
      <c r="AZ16" s="761" t="s">
        <v>959</v>
      </c>
      <c r="BB16" s="1140"/>
      <c r="BC16" s="1141"/>
      <c r="BD16" s="1141"/>
      <c r="BE16" s="1141"/>
    </row>
    <row r="17" spans="1:57" ht="17.100000000000001" customHeight="1" thickTop="1" thickBot="1">
      <c r="B17" s="23" t="s">
        <v>960</v>
      </c>
      <c r="C17" s="88">
        <v>130554619</v>
      </c>
      <c r="D17" s="766"/>
      <c r="E17" s="767"/>
      <c r="F17" s="768"/>
      <c r="G17" s="767"/>
      <c r="H17" s="767"/>
      <c r="I17" s="88">
        <v>138137449</v>
      </c>
      <c r="J17" s="766"/>
      <c r="K17" s="767"/>
      <c r="L17" s="768"/>
      <c r="M17" s="767"/>
      <c r="N17" s="767"/>
      <c r="O17" s="88">
        <v>143921997</v>
      </c>
      <c r="P17" s="766"/>
      <c r="Q17" s="767"/>
      <c r="R17" s="768"/>
      <c r="S17" s="767"/>
      <c r="T17" s="767"/>
      <c r="U17" s="88">
        <v>155064953</v>
      </c>
      <c r="V17" s="766"/>
      <c r="W17" s="767"/>
      <c r="X17" s="768"/>
      <c r="Y17" s="767"/>
      <c r="Z17" s="767"/>
      <c r="AA17" s="88">
        <v>167567386</v>
      </c>
      <c r="AB17" s="766"/>
      <c r="AC17" s="767"/>
      <c r="AD17" s="768"/>
      <c r="AE17" s="767"/>
      <c r="AF17" s="767"/>
      <c r="AG17" s="88">
        <v>180514257</v>
      </c>
      <c r="AH17" s="766"/>
      <c r="AI17" s="767"/>
      <c r="AJ17" s="768"/>
      <c r="AK17" s="767"/>
      <c r="AL17" s="767"/>
      <c r="AM17" s="88">
        <v>194339454</v>
      </c>
      <c r="AN17" s="766"/>
      <c r="AO17" s="767"/>
      <c r="AP17" s="768"/>
      <c r="AQ17" s="767"/>
      <c r="AR17" s="767"/>
      <c r="AS17" s="88">
        <v>209254871</v>
      </c>
      <c r="AT17" s="766"/>
      <c r="AU17" s="767"/>
      <c r="AV17" s="768"/>
      <c r="AW17" s="767"/>
      <c r="AX17" s="767"/>
      <c r="AZ17" s="761" t="s">
        <v>961</v>
      </c>
      <c r="BB17" s="1140"/>
      <c r="BC17" s="1141"/>
      <c r="BD17" s="1144"/>
      <c r="BE17" s="1141"/>
    </row>
    <row r="18" spans="1:57">
      <c r="B18" s="23" t="s">
        <v>962</v>
      </c>
      <c r="C18" s="114">
        <v>1.03</v>
      </c>
      <c r="D18" s="766"/>
      <c r="E18" s="767"/>
      <c r="F18" s="768"/>
      <c r="G18" s="767"/>
      <c r="H18" s="767"/>
      <c r="I18" s="114">
        <v>1.0900000000000001</v>
      </c>
      <c r="J18" s="766"/>
      <c r="K18" s="767"/>
      <c r="L18" s="768"/>
      <c r="M18" s="767"/>
      <c r="N18" s="767"/>
      <c r="O18" s="114">
        <v>1.1200000000000001</v>
      </c>
      <c r="P18" s="766"/>
      <c r="Q18" s="767"/>
      <c r="R18" s="768"/>
      <c r="S18" s="767"/>
      <c r="T18" s="767"/>
      <c r="U18" s="114">
        <v>1.19</v>
      </c>
      <c r="V18" s="766"/>
      <c r="W18" s="767"/>
      <c r="X18" s="768"/>
      <c r="Y18" s="767"/>
      <c r="Z18" s="767"/>
      <c r="AA18" s="114">
        <v>1.25</v>
      </c>
      <c r="AB18" s="766"/>
      <c r="AC18" s="767"/>
      <c r="AD18" s="768"/>
      <c r="AE18" s="767"/>
      <c r="AF18" s="767"/>
      <c r="AG18" s="114">
        <v>1.3</v>
      </c>
      <c r="AH18" s="766"/>
      <c r="AI18" s="767"/>
      <c r="AJ18" s="768"/>
      <c r="AK18" s="767"/>
      <c r="AL18" s="767"/>
      <c r="AM18" s="114">
        <v>1.36</v>
      </c>
      <c r="AN18" s="766"/>
      <c r="AO18" s="767"/>
      <c r="AP18" s="768"/>
      <c r="AQ18" s="767"/>
      <c r="AR18" s="767"/>
      <c r="AS18" s="114">
        <v>1.42</v>
      </c>
      <c r="AT18" s="766"/>
      <c r="AU18" s="767"/>
      <c r="AV18" s="768"/>
      <c r="AW18" s="767"/>
      <c r="AX18" s="767"/>
      <c r="AZ18" s="1415" t="s">
        <v>963</v>
      </c>
      <c r="BB18" s="1140"/>
      <c r="BC18" s="1141"/>
      <c r="BD18" s="1144"/>
      <c r="BE18" s="1141"/>
    </row>
    <row r="19" spans="1:57">
      <c r="B19" s="23" t="s">
        <v>964</v>
      </c>
      <c r="C19" s="114">
        <v>1.34</v>
      </c>
      <c r="D19" s="766"/>
      <c r="E19" s="767"/>
      <c r="F19" s="768"/>
      <c r="G19" s="767"/>
      <c r="H19" s="767"/>
      <c r="I19" s="114">
        <v>1.41</v>
      </c>
      <c r="J19" s="766"/>
      <c r="K19" s="767"/>
      <c r="L19" s="768"/>
      <c r="M19" s="767"/>
      <c r="N19" s="767"/>
      <c r="O19" s="114">
        <v>1.46</v>
      </c>
      <c r="P19" s="766"/>
      <c r="Q19" s="767"/>
      <c r="R19" s="768"/>
      <c r="S19" s="767"/>
      <c r="T19" s="767"/>
      <c r="U19" s="114">
        <v>1.55</v>
      </c>
      <c r="V19" s="766"/>
      <c r="W19" s="767"/>
      <c r="X19" s="768"/>
      <c r="Y19" s="767"/>
      <c r="Z19" s="767"/>
      <c r="AA19" s="114">
        <v>1.62</v>
      </c>
      <c r="AB19" s="766"/>
      <c r="AC19" s="767"/>
      <c r="AD19" s="768"/>
      <c r="AE19" s="767"/>
      <c r="AF19" s="767"/>
      <c r="AG19" s="114">
        <v>1.7</v>
      </c>
      <c r="AH19" s="766"/>
      <c r="AI19" s="767"/>
      <c r="AJ19" s="768"/>
      <c r="AK19" s="767"/>
      <c r="AL19" s="767"/>
      <c r="AM19" s="114">
        <v>1.77</v>
      </c>
      <c r="AN19" s="766"/>
      <c r="AO19" s="767"/>
      <c r="AP19" s="768"/>
      <c r="AQ19" s="767"/>
      <c r="AR19" s="767"/>
      <c r="AS19" s="114">
        <v>1.84</v>
      </c>
      <c r="AT19" s="766"/>
      <c r="AU19" s="767"/>
      <c r="AV19" s="768"/>
      <c r="AW19" s="767"/>
      <c r="AX19" s="767"/>
      <c r="AZ19" s="1416"/>
      <c r="BB19" s="1140"/>
      <c r="BC19" s="1141"/>
      <c r="BD19" s="1144"/>
      <c r="BE19" s="1141"/>
    </row>
    <row r="20" spans="1:57" ht="31.5" customHeight="1" thickTop="1" thickBot="1">
      <c r="B20" s="38" t="s">
        <v>23</v>
      </c>
      <c r="C20" s="39">
        <v>1.34</v>
      </c>
      <c r="D20" s="756"/>
      <c r="E20" s="756"/>
      <c r="F20" s="40"/>
      <c r="G20" s="756"/>
      <c r="H20" s="756"/>
      <c r="I20" s="39"/>
      <c r="J20" s="756"/>
      <c r="K20" s="756"/>
      <c r="L20" s="40"/>
      <c r="M20" s="756"/>
      <c r="N20" s="756"/>
      <c r="O20" s="39"/>
      <c r="P20" s="756"/>
      <c r="Q20" s="756"/>
      <c r="R20" s="40"/>
      <c r="S20" s="756"/>
      <c r="T20" s="756"/>
      <c r="U20" s="39"/>
      <c r="V20" s="756"/>
      <c r="W20" s="756"/>
      <c r="X20" s="40"/>
      <c r="Y20" s="756"/>
      <c r="Z20" s="756"/>
      <c r="AA20" s="39"/>
      <c r="AB20" s="756"/>
      <c r="AC20" s="756"/>
      <c r="AD20" s="40"/>
      <c r="AE20" s="756"/>
      <c r="AF20" s="756"/>
      <c r="AG20" s="39"/>
      <c r="AH20" s="756"/>
      <c r="AI20" s="756"/>
      <c r="AJ20" s="40"/>
      <c r="AK20" s="756"/>
      <c r="AL20" s="756"/>
      <c r="AM20" s="39"/>
      <c r="AN20" s="756"/>
      <c r="AO20" s="756"/>
      <c r="AP20" s="40"/>
      <c r="AQ20" s="756"/>
      <c r="AR20" s="756"/>
      <c r="AS20" s="39"/>
      <c r="AT20" s="756"/>
      <c r="AU20" s="756"/>
      <c r="AV20" s="40"/>
      <c r="AW20" s="756"/>
      <c r="AX20" s="756"/>
      <c r="AZ20" s="30"/>
      <c r="BB20" s="1145"/>
    </row>
    <row r="21" spans="1:57" ht="16.5" customHeight="1" thickTop="1" thickBot="1">
      <c r="B21" s="757" t="s">
        <v>17</v>
      </c>
      <c r="C21" s="25">
        <f>SUMIFS('4.1 Program Budget - 2024-2027'!S:S,'4.1 Program Budget - 2024-2027'!$G:$G,$B21,'4.1 Program Budget - 2024-2027'!$H:$H,README!$M$9)</f>
        <v>6480231.8346034028</v>
      </c>
      <c r="D21" s="1139">
        <f>SUMIFS('4.1 Program Budget - 2024-2027'!W:W,'4.1 Program Budget - 2024-2027'!$G:$G,$B21,'4.1 Program Budget - 2024-2027'!$H:$H,README!$M$9)</f>
        <v>801940.11</v>
      </c>
      <c r="E21" s="1139">
        <f>SUMIFS('4.1 Program Budget - 2024-2027'!X:X,'4.1 Program Budget - 2024-2027'!$G:$G,$B21,'4.1 Program Budget - 2024-2027'!$H:$H,README!$M$9)</f>
        <v>8.5500000000000007</v>
      </c>
      <c r="F21" s="1139">
        <f>SUMIFS('4.1 Program Budget - 2024-2027'!Y:Y,'4.1 Program Budget - 2024-2027'!$G:$G,$B21,'4.1 Program Budget - 2024-2027'!$H:$H,README!$M$9)</f>
        <v>311573.95</v>
      </c>
      <c r="G21" s="1139">
        <f>SUMIFS('4.1 Program Budget - 2024-2027'!Z:Z,'4.1 Program Budget - 2024-2027'!$G:$G,$B21,'4.1 Program Budget - 2024-2027'!$H:$H,README!$M$9)</f>
        <v>155.19999999999999</v>
      </c>
      <c r="H21" s="1139">
        <f>SUMIFS('4.1 Program Budget - 2024-2027'!AA:AA,'4.1 Program Budget - 2024-2027'!$G:$G,$B21,'4.1 Program Budget - 2024-2027'!$H:$H,README!$M$9)</f>
        <v>3277.49</v>
      </c>
      <c r="I21" s="25">
        <f>SUMIFS('4.1 Program Budget - 2024-2027'!AK:AK,'4.1 Program Budget - 2024-2027'!$G:$G,$B21,'4.1 Program Budget - 2024-2027'!$H:$H,README!$M$9)</f>
        <v>6507285.2488199295</v>
      </c>
      <c r="J21" s="759">
        <f>SUMIFS('4.1 Program Budget - 2024-2027'!AO:AO,'4.1 Program Budget - 2024-2027'!$G:$G,$B21,'4.1 Program Budget - 2024-2027'!$H:$H,README!$M$9)</f>
        <v>801940.10600000003</v>
      </c>
      <c r="K21" s="759">
        <f>SUMIFS('4.1 Program Budget - 2024-2027'!AP:AP,'4.1 Program Budget - 2024-2027'!$G:$G,$B21,'4.1 Program Budget - 2024-2027'!$H:$H,README!$M$9)</f>
        <v>8.5503</v>
      </c>
      <c r="L21" s="759">
        <f>SUMIFS('4.1 Program Budget - 2024-2027'!AQ:AQ,'4.1 Program Budget - 2024-2027'!$G:$G,$B21,'4.1 Program Budget - 2024-2027'!$H:$H,README!$M$9)</f>
        <v>315540.94799999997</v>
      </c>
      <c r="M21" s="1139">
        <f>SUMIFS('4.1 Program Budget - 2024-2027'!AR:AR,'4.1 Program Budget - 2024-2027'!$G:$G,$B21,'4.1 Program Budget - 2024-2027'!$H:$H,README!$M$9)</f>
        <v>179.1021499</v>
      </c>
      <c r="N21" s="1139">
        <f>SUMIFS('4.1 Program Budget - 2024-2027'!AS:AS,'4.1 Program Budget - 2024-2027'!$G:$G,$B21,'4.1 Program Budget - 2024-2027'!$H:$H,README!$M$9)</f>
        <v>3301.4890958000001</v>
      </c>
      <c r="O21" s="25">
        <f>SUMIFS('4.1 Program Budget - 2024-2027'!BC:BC,'4.1 Program Budget - 2024-2027'!$G:$G,$B21,'4.1 Program Budget - 2024-2027'!$H:$H,README!$M$9)</f>
        <v>6513509.3846802507</v>
      </c>
      <c r="P21" s="759">
        <f>SUMIFS('4.1 Program Budget - 2024-2027'!BG:BG,'4.1 Program Budget - 2024-2027'!$G:$G,$B21,'4.1 Program Budget - 2024-2027'!$H:$H,README!$M$9)</f>
        <v>801940.10600000003</v>
      </c>
      <c r="Q21" s="759">
        <f>SUMIFS('4.1 Program Budget - 2024-2027'!BH:BH,'4.1 Program Budget - 2024-2027'!$G:$G,$B21,'4.1 Program Budget - 2024-2027'!$H:$H,README!$M$9)</f>
        <v>8.5503</v>
      </c>
      <c r="R21" s="759">
        <f>SUMIFS('4.1 Program Budget - 2024-2027'!BI:BI,'4.1 Program Budget - 2024-2027'!$G:$G,$B21,'4.1 Program Budget - 2024-2027'!$H:$H,README!$M$9)</f>
        <v>273972.94799999997</v>
      </c>
      <c r="S21" s="1139">
        <f>SUMIFS('4.1 Program Budget - 2024-2027'!BJ:BJ,'4.1 Program Budget - 2024-2027'!$G:$G,$B21,'4.1 Program Budget - 2024-2027'!$H:$H,README!$M$9)</f>
        <v>186.59561780000001</v>
      </c>
      <c r="T21" s="1139">
        <f>SUMIFS('4.1 Program Budget - 2024-2027'!BK:BK,'4.1 Program Budget - 2024-2027'!$G:$G,$B21,'4.1 Program Budget - 2024-2027'!$H:$H,README!$M$9)</f>
        <v>3057.4890958000001</v>
      </c>
      <c r="U21" s="25">
        <f>SUMIFS('4.1 Program Budget - 2024-2027'!BU:BU,'4.1 Program Budget - 2024-2027'!$G:$G,$B21,'4.1 Program Budget - 2024-2027'!$H:$H,README!$M$9)</f>
        <v>6503214.0200900808</v>
      </c>
      <c r="V21" s="759">
        <f>SUMIFS('4.1 Program Budget - 2024-2027'!BY:BY,'4.1 Program Budget - 2024-2027'!$G:$G,$B21,'4.1 Program Budget - 2024-2027'!$H:$H,README!$M$9)</f>
        <v>801940.10600000003</v>
      </c>
      <c r="W21" s="759">
        <f>SUMIFS('4.1 Program Budget - 2024-2027'!BZ:BZ,'4.1 Program Budget - 2024-2027'!$G:$G,$B21,'4.1 Program Budget - 2024-2027'!$H:$H,README!$M$9)</f>
        <v>8.5503</v>
      </c>
      <c r="X21" s="759">
        <f>SUMIFS('4.1 Program Budget - 2024-2027'!CA:CA,'4.1 Program Budget - 2024-2027'!$G:$G,$B21,'4.1 Program Budget - 2024-2027'!$H:$H,README!$M$9)</f>
        <v>249124.948</v>
      </c>
      <c r="Y21" s="1139">
        <f>SUMIFS('4.1 Program Budget - 2024-2027'!CB:CB,'4.1 Program Budget - 2024-2027'!$G:$G,$B21,'4.1 Program Budget - 2024-2027'!$H:$H,README!$M$9)</f>
        <v>203.33717089999999</v>
      </c>
      <c r="Z21" s="1139">
        <f>SUMIFS('4.1 Program Budget - 2024-2027'!CC:CC,'4.1 Program Budget - 2024-2027'!$G:$G,$B21,'4.1 Program Budget - 2024-2027'!$H:$H,README!$M$9)</f>
        <v>2912.4890958000001</v>
      </c>
      <c r="AA21" s="758">
        <f>SUMIFS('4.2 Program Budget 2028-2031'!I:I,'4.2 Program Budget 2028-2031'!D:D,B21,'4.2 Program Budget 2028-2031'!F:F,README!$M$9)</f>
        <v>6711316.8687329637</v>
      </c>
      <c r="AB21" s="759">
        <f>SUMIFS('4.2 Program Budget 2028-2031'!J:J,'4.2 Program Budget 2028-2031'!$D:$D,$B21,'4.2 Program Budget 2028-2031'!$F:$F,README!$M$9)</f>
        <v>1921006.44</v>
      </c>
      <c r="AC21" s="759">
        <f>SUMIFS('4.2 Program Budget 2028-2031'!K:K,'4.2 Program Budget 2028-2031'!$D:$D,$B21,'4.2 Program Budget 2028-2031'!$F:$F,README!$M$9)</f>
        <v>326.37</v>
      </c>
      <c r="AD21" s="759">
        <f>SUMIFS('4.2 Program Budget 2028-2031'!L:L,'4.2 Program Budget 2028-2031'!$D:$D,$B21,'4.2 Program Budget 2028-2031'!$F:$F,README!$M$9)</f>
        <v>116251.64</v>
      </c>
      <c r="AE21" s="759">
        <f>SUMIFS('4.2 Program Budget 2028-2031'!M:M,'4.2 Program Budget 2028-2031'!$D:$D,$B21,'4.2 Program Budget 2028-2031'!$F:$F,README!$M$9)</f>
        <v>430.21</v>
      </c>
      <c r="AF21" s="759">
        <f>SUMIFS('4.2 Program Budget 2028-2031'!N:N,'4.2 Program Budget 2028-2031'!$D:$D,$B21,'4.2 Program Budget 2028-2031'!$F:$F,README!$M$9)</f>
        <v>680.07</v>
      </c>
      <c r="AG21" s="758">
        <f>SUMIFS('4.2 Program Budget 2028-2031'!T:T,'4.2 Program Budget 2028-2031'!$D:$D,$B21,'4.2 Program Budget 2028-2031'!$F:$F,README!$M$9)</f>
        <v>6926079.0085324189</v>
      </c>
      <c r="AH21" s="759">
        <f>SUMIFS('4.2 Program Budget 2028-2031'!U:U,'4.2 Program Budget 2028-2031'!$D:$D,$B21,'4.2 Program Budget 2028-2031'!$F:$F,README!$M$9)</f>
        <v>1947490</v>
      </c>
      <c r="AI21" s="759">
        <f>SUMIFS('4.2 Program Budget 2028-2031'!V:V,'4.2 Program Budget 2028-2031'!$D:$D,$B21,'4.2 Program Budget 2028-2031'!$F:$F,README!$M$9)</f>
        <v>327</v>
      </c>
      <c r="AJ21" s="759">
        <f>SUMIFS('4.2 Program Budget 2028-2031'!W:W,'4.2 Program Budget 2028-2031'!$D:$D,$B21,'4.2 Program Budget 2028-2031'!$F:$F,README!$M$9)</f>
        <v>118958</v>
      </c>
      <c r="AK21" s="759">
        <f>SUMIFS('4.2 Program Budget 2028-2031'!X:X,'4.2 Program Budget 2028-2031'!$D:$D,$B21,'4.2 Program Budget 2028-2031'!$F:$F,README!$M$9)</f>
        <v>396</v>
      </c>
      <c r="AL21" s="759">
        <f>SUMIFS('4.2 Program Budget 2028-2031'!Y:Y,'4.2 Program Budget 2028-2031'!$D:$D,$B21,'4.2 Program Budget 2028-2031'!$F:$F,README!$M$9)</f>
        <v>696</v>
      </c>
      <c r="AM21" s="758">
        <f>SUMIFS('4.2 Program Budget 2028-2031'!AE:AE,'4.2 Program Budget 2028-2031'!$D:$D,$B21,'4.2 Program Budget 2028-2031'!$F:$F,README!$M$9)</f>
        <v>7147713.5368054565</v>
      </c>
      <c r="AN21" s="759">
        <f>SUMIFS('4.2 Program Budget 2028-2031'!AF:AF,'4.2 Program Budget 2028-2031'!$D:$D,$B21,'4.2 Program Budget 2028-2031'!$F:$F,README!$M$9)</f>
        <v>1974820</v>
      </c>
      <c r="AO21" s="759">
        <f>SUMIFS('4.2 Program Budget 2028-2031'!AG:AG,'4.2 Program Budget 2028-2031'!$D:$D,$B21,'4.2 Program Budget 2028-2031'!$F:$F,README!$M$9)</f>
        <v>327</v>
      </c>
      <c r="AP21" s="759">
        <f>SUMIFS('4.2 Program Budget 2028-2031'!AH:AH,'4.2 Program Budget 2028-2031'!$D:$D,$B21,'4.2 Program Budget 2028-2031'!$F:$F,README!$M$9)</f>
        <v>121752</v>
      </c>
      <c r="AQ21" s="759">
        <f>SUMIFS('4.2 Program Budget 2028-2031'!AI:AI,'4.2 Program Budget 2028-2031'!$D:$D,$B21,'4.2 Program Budget 2028-2031'!$F:$F,README!$M$9)</f>
        <v>410</v>
      </c>
      <c r="AR21" s="759">
        <f>SUMIFS('4.2 Program Budget 2028-2031'!AJ:AJ,'4.2 Program Budget 2028-2031'!$D:$D,$B21,'4.2 Program Budget 2028-2031'!$F:$F,README!$M$9)</f>
        <v>712</v>
      </c>
      <c r="AS21" s="758">
        <f>SUMIFS('4.2 Program Budget 2028-2031'!AP:AP,'4.2 Program Budget 2028-2031'!$D:$D,$B21,'4.2 Program Budget 2028-2031'!$F:$F,README!$M$9)</f>
        <v>7376440.3699832316</v>
      </c>
      <c r="AT21" s="759">
        <f>SUMIFS('4.2 Program Budget 2028-2031'!AQ:AQ,'4.2 Program Budget 2028-2031'!$D:$D,$B21,'4.2 Program Budget 2028-2031'!$F:$F,README!$M$9)</f>
        <v>2003026</v>
      </c>
      <c r="AU21" s="759">
        <f>SUMIFS('4.2 Program Budget 2028-2031'!AR:AR,'4.2 Program Budget 2028-2031'!$D:$D,$B21,'4.2 Program Budget 2028-2031'!$F:$F,README!$M$9)</f>
        <v>327</v>
      </c>
      <c r="AV21" s="759">
        <f>SUMIFS('4.2 Program Budget 2028-2031'!AS:AS,'4.2 Program Budget 2028-2031'!$D:$D,$B21,'4.2 Program Budget 2028-2031'!$F:$F,README!$M$9)</f>
        <v>124635</v>
      </c>
      <c r="AW21" s="759">
        <f>SUMIFS('4.2 Program Budget 2028-2031'!AT:AT,'4.2 Program Budget 2028-2031'!$D:$D,$B21,'4.2 Program Budget 2028-2031'!$F:$F,README!$M$9)</f>
        <v>439</v>
      </c>
      <c r="AX21" s="759">
        <f>SUMIFS('4.2 Program Budget 2028-2031'!AU:AU,'4.2 Program Budget 2028-2031'!$D:$D,$B21,'4.2 Program Budget 2028-2031'!$F:$F,README!$M$9)</f>
        <v>729</v>
      </c>
      <c r="AZ21" s="761" t="s">
        <v>956</v>
      </c>
    </row>
    <row r="22" spans="1:57">
      <c r="B22" s="757" t="s">
        <v>22</v>
      </c>
      <c r="C22" s="25">
        <f>SUMIFS('4.1 Program Budget - 2024-2027'!S:S,'4.1 Program Budget - 2024-2027'!$G:$G,$B22,'4.1 Program Budget - 2024-2027'!$H:$H,README!$M$9)</f>
        <v>2039261.6324927448</v>
      </c>
      <c r="D22" s="1139">
        <f>SUMIFS('4.1 Program Budget - 2024-2027'!W:W,'4.1 Program Budget - 2024-2027'!$G:$G,$B22,'4.1 Program Budget - 2024-2027'!$H:$H,README!$M$9)</f>
        <v>0</v>
      </c>
      <c r="E22" s="1139">
        <f>SUMIFS('4.1 Program Budget - 2024-2027'!X:X,'4.1 Program Budget - 2024-2027'!$G:$G,$B22,'4.1 Program Budget - 2024-2027'!$H:$H,README!$M$9)</f>
        <v>0</v>
      </c>
      <c r="F22" s="1139">
        <f>SUMIFS('4.1 Program Budget - 2024-2027'!Y:Y,'4.1 Program Budget - 2024-2027'!$G:$G,$B22,'4.1 Program Budget - 2024-2027'!$H:$H,README!$M$9)</f>
        <v>44823</v>
      </c>
      <c r="G22" s="1139">
        <f>SUMIFS('4.1 Program Budget - 2024-2027'!Z:Z,'4.1 Program Budget - 2024-2027'!$G:$G,$B22,'4.1 Program Budget - 2024-2027'!$H:$H,README!$M$9)</f>
        <v>0</v>
      </c>
      <c r="H22" s="1139">
        <f>SUMIFS('4.1 Program Budget - 2024-2027'!AA:AA,'4.1 Program Budget - 2024-2027'!$G:$G,$B22,'4.1 Program Budget - 2024-2027'!$H:$H,README!$M$9)</f>
        <v>430</v>
      </c>
      <c r="I22" s="25">
        <f>SUMIFS('4.1 Program Budget - 2024-2027'!AK:AK,'4.1 Program Budget - 2024-2027'!$G:$G,$B22,'4.1 Program Budget - 2024-2027'!$H:$H,README!$M$9)</f>
        <v>2051054.6098678731</v>
      </c>
      <c r="J22" s="759">
        <f>SUMIFS('4.1 Program Budget - 2024-2027'!AO:AO,'4.1 Program Budget - 2024-2027'!$G:$G,$B22,'4.1 Program Budget - 2024-2027'!$H:$H,README!$M$9)</f>
        <v>0</v>
      </c>
      <c r="K22" s="759">
        <f>SUMIFS('4.1 Program Budget - 2024-2027'!AP:AP,'4.1 Program Budget - 2024-2027'!$G:$G,$B22,'4.1 Program Budget - 2024-2027'!$H:$H,README!$M$9)</f>
        <v>0</v>
      </c>
      <c r="L22" s="759">
        <f>SUMIFS('4.1 Program Budget - 2024-2027'!AQ:AQ,'4.1 Program Budget - 2024-2027'!$G:$G,$B22,'4.1 Program Budget - 2024-2027'!$H:$H,README!$M$9)</f>
        <v>45676</v>
      </c>
      <c r="M22" s="1139">
        <f>SUMIFS('4.1 Program Budget - 2024-2027'!AR:AR,'4.1 Program Budget - 2024-2027'!$G:$G,$B22,'4.1 Program Budget - 2024-2027'!$H:$H,README!$M$9)</f>
        <v>0</v>
      </c>
      <c r="N22" s="1139">
        <f>SUMIFS('4.1 Program Budget - 2024-2027'!AS:AS,'4.1 Program Budget - 2024-2027'!$G:$G,$B22,'4.1 Program Budget - 2024-2027'!$H:$H,README!$M$9)</f>
        <v>438</v>
      </c>
      <c r="O22" s="25">
        <f>SUMIFS('4.1 Program Budget - 2024-2027'!BC:BC,'4.1 Program Budget - 2024-2027'!$G:$G,$B22,'4.1 Program Budget - 2024-2027'!$H:$H,README!$M$9)</f>
        <v>2090857.3619244872</v>
      </c>
      <c r="P22" s="759">
        <f>SUMIFS('4.1 Program Budget - 2024-2027'!BG:BG,'4.1 Program Budget - 2024-2027'!$G:$G,$B22,'4.1 Program Budget - 2024-2027'!$H:$H,README!$M$9)</f>
        <v>0</v>
      </c>
      <c r="Q22" s="759">
        <f>SUMIFS('4.1 Program Budget - 2024-2027'!BH:BH,'4.1 Program Budget - 2024-2027'!$G:$G,$B22,'4.1 Program Budget - 2024-2027'!$H:$H,README!$M$9)</f>
        <v>0</v>
      </c>
      <c r="R22" s="759">
        <f>SUMIFS('4.1 Program Budget - 2024-2027'!BI:BI,'4.1 Program Budget - 2024-2027'!$G:$G,$B22,'4.1 Program Budget - 2024-2027'!$H:$H,README!$M$9)</f>
        <v>34089</v>
      </c>
      <c r="S22" s="1139">
        <f>SUMIFS('4.1 Program Budget - 2024-2027'!BJ:BJ,'4.1 Program Budget - 2024-2027'!$G:$G,$B22,'4.1 Program Budget - 2024-2027'!$H:$H,README!$M$9)</f>
        <v>0</v>
      </c>
      <c r="T22" s="1139">
        <f>SUMIFS('4.1 Program Budget - 2024-2027'!BK:BK,'4.1 Program Budget - 2024-2027'!$G:$G,$B22,'4.1 Program Budget - 2024-2027'!$H:$H,README!$M$9)</f>
        <v>329</v>
      </c>
      <c r="U22" s="25">
        <f>SUMIFS('4.1 Program Budget - 2024-2027'!BU:BU,'4.1 Program Budget - 2024-2027'!$G:$G,$B22,'4.1 Program Budget - 2024-2027'!$H:$H,README!$M$9)</f>
        <v>2075000.3367747786</v>
      </c>
      <c r="V22" s="759">
        <f>SUMIFS('4.1 Program Budget - 2024-2027'!BY:BY,'4.1 Program Budget - 2024-2027'!$G:$G,$B22,'4.1 Program Budget - 2024-2027'!$H:$H,README!$M$9)</f>
        <v>0</v>
      </c>
      <c r="W22" s="759">
        <f>SUMIFS('4.1 Program Budget - 2024-2027'!BZ:BZ,'4.1 Program Budget - 2024-2027'!$G:$G,$B22,'4.1 Program Budget - 2024-2027'!$H:$H,README!$M$9)</f>
        <v>0</v>
      </c>
      <c r="X22" s="759">
        <f>SUMIFS('4.1 Program Budget - 2024-2027'!CA:CA,'4.1 Program Budget - 2024-2027'!$G:$G,$B22,'4.1 Program Budget - 2024-2027'!$H:$H,README!$M$9)</f>
        <v>25705</v>
      </c>
      <c r="Y22" s="1139">
        <f>SUMIFS('4.1 Program Budget - 2024-2027'!CB:CB,'4.1 Program Budget - 2024-2027'!$G:$G,$B22,'4.1 Program Budget - 2024-2027'!$H:$H,README!$M$9)</f>
        <v>0</v>
      </c>
      <c r="Z22" s="1139">
        <f>SUMIFS('4.1 Program Budget - 2024-2027'!CC:CC,'4.1 Program Budget - 2024-2027'!$G:$G,$B22,'4.1 Program Budget - 2024-2027'!$H:$H,README!$M$9)</f>
        <v>248</v>
      </c>
      <c r="AA22" s="758">
        <f>SUMIFS('4.2 Program Budget 2028-2031'!I:I,'4.2 Program Budget 2028-2031'!D:D,B22,'4.2 Program Budget 2028-2031'!F:F,README!$M$9)</f>
        <v>2141400.3475515717</v>
      </c>
      <c r="AB22" s="759">
        <f>SUMIFS('4.2 Program Budget 2028-2031'!J:J,'4.2 Program Budget 2028-2031'!$D:$D,$B22,'4.2 Program Budget 2028-2031'!$F:$F,README!$M$9)</f>
        <v>143228</v>
      </c>
      <c r="AC22" s="759">
        <f>SUMIFS('4.2 Program Budget 2028-2031'!K:K,'4.2 Program Budget 2028-2031'!$D:$D,$B22,'4.2 Program Budget 2028-2031'!$F:$F,README!$M$9)</f>
        <v>59</v>
      </c>
      <c r="AD22" s="759">
        <f>SUMIFS('4.2 Program Budget 2028-2031'!L:L,'4.2 Program Budget 2028-2031'!$D:$D,$B22,'4.2 Program Budget 2028-2031'!$F:$F,README!$M$9)</f>
        <v>8471</v>
      </c>
      <c r="AE22" s="759">
        <f>SUMIFS('4.2 Program Budget 2028-2031'!M:M,'4.2 Program Budget 2028-2031'!$D:$D,$B22,'4.2 Program Budget 2028-2031'!$F:$F,README!$M$9)</f>
        <v>24</v>
      </c>
      <c r="AF22" s="759">
        <f>SUMIFS('4.2 Program Budget 2028-2031'!N:N,'4.2 Program Budget 2028-2031'!$D:$D,$B22,'4.2 Program Budget 2028-2031'!$F:$F,README!$M$9)</f>
        <v>50</v>
      </c>
      <c r="AG22" s="758">
        <f>SUMIFS('4.2 Program Budget 2028-2031'!T:T,'4.2 Program Budget 2028-2031'!$D:$D,$B22,'4.2 Program Budget 2028-2031'!$F:$F,README!$M$9)</f>
        <v>2209925.1586732222</v>
      </c>
      <c r="AH22" s="759">
        <f>SUMIFS('4.2 Program Budget 2028-2031'!U:U,'4.2 Program Budget 2028-2031'!$D:$D,$B22,'4.2 Program Budget 2028-2031'!$F:$F,README!$M$9)</f>
        <v>143228</v>
      </c>
      <c r="AI22" s="759">
        <f>SUMIFS('4.2 Program Budget 2028-2031'!V:V,'4.2 Program Budget 2028-2031'!$D:$D,$B22,'4.2 Program Budget 2028-2031'!$F:$F,README!$M$9)</f>
        <v>59</v>
      </c>
      <c r="AJ22" s="759">
        <f>SUMIFS('4.2 Program Budget 2028-2031'!W:W,'4.2 Program Budget 2028-2031'!$D:$D,$B22,'4.2 Program Budget 2028-2031'!$F:$F,README!$M$9)</f>
        <v>8471</v>
      </c>
      <c r="AK22" s="759">
        <f>SUMIFS('4.2 Program Budget 2028-2031'!X:X,'4.2 Program Budget 2028-2031'!$D:$D,$B22,'4.2 Program Budget 2028-2031'!$F:$F,README!$M$9)</f>
        <v>20</v>
      </c>
      <c r="AL22" s="759">
        <f>SUMIFS('4.2 Program Budget 2028-2031'!Y:Y,'4.2 Program Budget 2028-2031'!$D:$D,$B22,'4.2 Program Budget 2028-2031'!$F:$F,README!$M$9)</f>
        <v>50</v>
      </c>
      <c r="AM22" s="758">
        <f>SUMIFS('4.2 Program Budget 2028-2031'!AE:AE,'4.2 Program Budget 2028-2031'!$D:$D,$B22,'4.2 Program Budget 2028-2031'!$F:$F,README!$M$9)</f>
        <v>2280642.7637507655</v>
      </c>
      <c r="AN22" s="759">
        <f>SUMIFS('4.2 Program Budget 2028-2031'!AF:AF,'4.2 Program Budget 2028-2031'!$D:$D,$B22,'4.2 Program Budget 2028-2031'!$F:$F,README!$M$9)</f>
        <v>143228</v>
      </c>
      <c r="AO22" s="759">
        <f>SUMIFS('4.2 Program Budget 2028-2031'!AG:AG,'4.2 Program Budget 2028-2031'!$D:$D,$B22,'4.2 Program Budget 2028-2031'!$F:$F,README!$M$9)</f>
        <v>59</v>
      </c>
      <c r="AP22" s="759">
        <f>SUMIFS('4.2 Program Budget 2028-2031'!AH:AH,'4.2 Program Budget 2028-2031'!$D:$D,$B22,'4.2 Program Budget 2028-2031'!$F:$F,README!$M$9)</f>
        <v>8471</v>
      </c>
      <c r="AQ22" s="759">
        <f>SUMIFS('4.2 Program Budget 2028-2031'!AI:AI,'4.2 Program Budget 2028-2031'!$D:$D,$B22,'4.2 Program Budget 2028-2031'!$F:$F,README!$M$9)</f>
        <v>20</v>
      </c>
      <c r="AR22" s="759">
        <f>SUMIFS('4.2 Program Budget 2028-2031'!AJ:AJ,'4.2 Program Budget 2028-2031'!$D:$D,$B22,'4.2 Program Budget 2028-2031'!$F:$F,README!$M$9)</f>
        <v>50</v>
      </c>
      <c r="AS22" s="758">
        <f>SUMIFS('4.2 Program Budget 2028-2031'!AP:AP,'4.2 Program Budget 2028-2031'!$D:$D,$B22,'4.2 Program Budget 2028-2031'!$F:$F,README!$M$9)</f>
        <v>2353623.3321907902</v>
      </c>
      <c r="AT22" s="759">
        <f>SUMIFS('4.2 Program Budget 2028-2031'!AQ:AQ,'4.2 Program Budget 2028-2031'!$D:$D,$B22,'4.2 Program Budget 2028-2031'!$F:$F,README!$M$9)</f>
        <v>143228</v>
      </c>
      <c r="AU22" s="759">
        <f>SUMIFS('4.2 Program Budget 2028-2031'!AR:AR,'4.2 Program Budget 2028-2031'!$D:$D,$B22,'4.2 Program Budget 2028-2031'!$F:$F,README!$M$9)</f>
        <v>59</v>
      </c>
      <c r="AV22" s="759">
        <f>SUMIFS('4.2 Program Budget 2028-2031'!AS:AS,'4.2 Program Budget 2028-2031'!$D:$D,$B22,'4.2 Program Budget 2028-2031'!$F:$F,README!$M$9)</f>
        <v>8471</v>
      </c>
      <c r="AW22" s="759">
        <f>SUMIFS('4.2 Program Budget 2028-2031'!AT:AT,'4.2 Program Budget 2028-2031'!$D:$D,$B22,'4.2 Program Budget 2028-2031'!$F:$F,README!$M$9)</f>
        <v>22</v>
      </c>
      <c r="AX22" s="759">
        <f>SUMIFS('4.2 Program Budget 2028-2031'!AU:AU,'4.2 Program Budget 2028-2031'!$D:$D,$B22,'4.2 Program Budget 2028-2031'!$F:$F,README!$M$9)</f>
        <v>50</v>
      </c>
      <c r="AZ22" s="761" t="s">
        <v>957</v>
      </c>
      <c r="BB22" s="1140"/>
      <c r="BC22" s="1141"/>
      <c r="BD22" s="1141"/>
      <c r="BE22" s="1141"/>
    </row>
    <row r="23" spans="1:57">
      <c r="B23" s="757" t="s">
        <v>25</v>
      </c>
      <c r="C23" s="25">
        <f>SUMIFS('4.1 Program Budget - 2024-2027'!S:S,'4.1 Program Budget - 2024-2027'!$G:$G,$B23,'4.1 Program Budget - 2024-2027'!$H:$H,README!$M$9)</f>
        <v>1500270.7580558951</v>
      </c>
      <c r="D23" s="1139">
        <f>SUMIFS('4.1 Program Budget - 2024-2027'!W:W,'4.1 Program Budget - 2024-2027'!$G:$G,$B23,'4.1 Program Budget - 2024-2027'!$H:$H,README!$M$9)</f>
        <v>0</v>
      </c>
      <c r="E23" s="1139">
        <f>SUMIFS('4.1 Program Budget - 2024-2027'!X:X,'4.1 Program Budget - 2024-2027'!$G:$G,$B23,'4.1 Program Budget - 2024-2027'!$H:$H,README!$M$9)</f>
        <v>0</v>
      </c>
      <c r="F23" s="1139">
        <f>SUMIFS('4.1 Program Budget - 2024-2027'!Y:Y,'4.1 Program Budget - 2024-2027'!$G:$G,$B23,'4.1 Program Budget - 2024-2027'!$H:$H,README!$M$9)</f>
        <v>389891.82089999999</v>
      </c>
      <c r="G23" s="1139">
        <f>SUMIFS('4.1 Program Budget - 2024-2027'!Z:Z,'4.1 Program Budget - 2024-2027'!$G:$G,$B23,'4.1 Program Budget - 2024-2027'!$H:$H,README!$M$9)</f>
        <v>0</v>
      </c>
      <c r="H23" s="1139">
        <f>SUMIFS('4.1 Program Budget - 2024-2027'!AA:AA,'4.1 Program Budget - 2024-2027'!$G:$G,$B23,'4.1 Program Budget - 2024-2027'!$H:$H,README!$M$9)</f>
        <v>2281</v>
      </c>
      <c r="I23" s="25">
        <f>SUMIFS('4.1 Program Budget - 2024-2027'!AK:AK,'4.1 Program Budget - 2024-2027'!$G:$G,$B23,'4.1 Program Budget - 2024-2027'!$H:$H,README!$M$9)</f>
        <v>1499466.0922209579</v>
      </c>
      <c r="J23" s="759">
        <f>SUMIFS('4.1 Program Budget - 2024-2027'!AO:AO,'4.1 Program Budget - 2024-2027'!$G:$G,$B23,'4.1 Program Budget - 2024-2027'!$H:$H,README!$M$9)</f>
        <v>0</v>
      </c>
      <c r="K23" s="759">
        <f>SUMIFS('4.1 Program Budget - 2024-2027'!AP:AP,'4.1 Program Budget - 2024-2027'!$G:$G,$B23,'4.1 Program Budget - 2024-2027'!$H:$H,README!$M$9)</f>
        <v>0</v>
      </c>
      <c r="L23" s="759">
        <f>SUMIFS('4.1 Program Budget - 2024-2027'!AQ:AQ,'4.1 Program Budget - 2024-2027'!$G:$G,$B23,'4.1 Program Budget - 2024-2027'!$H:$H,README!$M$9)</f>
        <v>397308</v>
      </c>
      <c r="M23" s="1139">
        <f>SUMIFS('4.1 Program Budget - 2024-2027'!AR:AR,'4.1 Program Budget - 2024-2027'!$G:$G,$B23,'4.1 Program Budget - 2024-2027'!$H:$H,README!$M$9)</f>
        <v>0</v>
      </c>
      <c r="N23" s="1139">
        <f>SUMIFS('4.1 Program Budget - 2024-2027'!AS:AS,'4.1 Program Budget - 2024-2027'!$G:$G,$B23,'4.1 Program Budget - 2024-2027'!$H:$H,README!$M$9)</f>
        <v>2324</v>
      </c>
      <c r="O23" s="25">
        <f>SUMIFS('4.1 Program Budget - 2024-2027'!BC:BC,'4.1 Program Budget - 2024-2027'!$G:$G,$B23,'4.1 Program Budget - 2024-2027'!$H:$H,README!$M$9)</f>
        <v>1437483.0503746993</v>
      </c>
      <c r="P23" s="759">
        <f>SUMIFS('4.1 Program Budget - 2024-2027'!BG:BG,'4.1 Program Budget - 2024-2027'!$G:$G,$B23,'4.1 Program Budget - 2024-2027'!$H:$H,README!$M$9)</f>
        <v>0</v>
      </c>
      <c r="Q23" s="759">
        <f>SUMIFS('4.1 Program Budget - 2024-2027'!BH:BH,'4.1 Program Budget - 2024-2027'!$G:$G,$B23,'4.1 Program Budget - 2024-2027'!$H:$H,README!$M$9)</f>
        <v>0</v>
      </c>
      <c r="R23" s="759">
        <f>SUMIFS('4.1 Program Budget - 2024-2027'!BI:BI,'4.1 Program Budget - 2024-2027'!$G:$G,$B23,'4.1 Program Budget - 2024-2027'!$H:$H,README!$M$9)</f>
        <v>295994</v>
      </c>
      <c r="S23" s="1139">
        <f>SUMIFS('4.1 Program Budget - 2024-2027'!BJ:BJ,'4.1 Program Budget - 2024-2027'!$G:$G,$B23,'4.1 Program Budget - 2024-2027'!$H:$H,README!$M$9)</f>
        <v>0</v>
      </c>
      <c r="T23" s="1139">
        <f>SUMIFS('4.1 Program Budget - 2024-2027'!BK:BK,'4.1 Program Budget - 2024-2027'!$G:$G,$B23,'4.1 Program Budget - 2024-2027'!$H:$H,README!$M$9)</f>
        <v>1732</v>
      </c>
      <c r="U23" s="25">
        <f>SUMIFS('4.1 Program Budget - 2024-2027'!BU:BU,'4.1 Program Budget - 2024-2027'!$G:$G,$B23,'4.1 Program Budget - 2024-2027'!$H:$H,README!$M$9)</f>
        <v>1336839.0761188427</v>
      </c>
      <c r="V23" s="759">
        <f>SUMIFS('4.1 Program Budget - 2024-2027'!BY:BY,'4.1 Program Budget - 2024-2027'!$G:$G,$B23,'4.1 Program Budget - 2024-2027'!$H:$H,README!$M$9)</f>
        <v>0</v>
      </c>
      <c r="W23" s="759">
        <f>SUMIFS('4.1 Program Budget - 2024-2027'!BZ:BZ,'4.1 Program Budget - 2024-2027'!$G:$G,$B23,'4.1 Program Budget - 2024-2027'!$H:$H,README!$M$9)</f>
        <v>0</v>
      </c>
      <c r="X23" s="759">
        <f>SUMIFS('4.1 Program Budget - 2024-2027'!CA:CA,'4.1 Program Budget - 2024-2027'!$G:$G,$B23,'4.1 Program Budget - 2024-2027'!$H:$H,README!$M$9)</f>
        <v>223192</v>
      </c>
      <c r="Y23" s="1139">
        <f>SUMIFS('4.1 Program Budget - 2024-2027'!CB:CB,'4.1 Program Budget - 2024-2027'!$G:$G,$B23,'4.1 Program Budget - 2024-2027'!$H:$H,README!$M$9)</f>
        <v>0</v>
      </c>
      <c r="Z23" s="1139">
        <f>SUMIFS('4.1 Program Budget - 2024-2027'!CC:CC,'4.1 Program Budget - 2024-2027'!$G:$G,$B23,'4.1 Program Budget - 2024-2027'!$H:$H,README!$M$9)</f>
        <v>1306</v>
      </c>
      <c r="AA23" s="758">
        <f>SUMIFS('4.2 Program Budget 2028-2031'!I:I,'4.2 Program Budget 2028-2031'!D:D,B23,'4.2 Program Budget 2028-2031'!F:F,README!$M$9)</f>
        <v>1379617.9265546456</v>
      </c>
      <c r="AB23" s="759">
        <f>SUMIFS('4.2 Program Budget 2028-2031'!J:J,'4.2 Program Budget 2028-2031'!$D:$D,$B23,'4.2 Program Budget 2028-2031'!$F:$F,README!$M$9)</f>
        <v>631836</v>
      </c>
      <c r="AC23" s="759">
        <f>SUMIFS('4.2 Program Budget 2028-2031'!K:K,'4.2 Program Budget 2028-2031'!$D:$D,$B23,'4.2 Program Budget 2028-2031'!$F:$F,README!$M$9)</f>
        <v>98</v>
      </c>
      <c r="AD23" s="759">
        <f>SUMIFS('4.2 Program Budget 2028-2031'!L:L,'4.2 Program Budget 2028-2031'!$D:$D,$B23,'4.2 Program Budget 2028-2031'!$F:$F,README!$M$9)</f>
        <v>44638</v>
      </c>
      <c r="AE23" s="759">
        <f>SUMIFS('4.2 Program Budget 2028-2031'!M:M,'4.2 Program Budget 2028-2031'!$D:$D,$B23,'4.2 Program Budget 2028-2031'!$F:$F,README!$M$9)</f>
        <v>106</v>
      </c>
      <c r="AF23" s="759">
        <f>SUMIFS('4.2 Program Budget 2028-2031'!N:N,'4.2 Program Budget 2028-2031'!$D:$D,$B23,'4.2 Program Budget 2028-2031'!$F:$F,README!$M$9)</f>
        <v>261</v>
      </c>
      <c r="AG23" s="758">
        <f>SUMIFS('4.2 Program Budget 2028-2031'!T:T,'4.2 Program Budget 2028-2031'!$D:$D,$B23,'4.2 Program Budget 2028-2031'!$F:$F,README!$M$9)</f>
        <v>1423765.7002043943</v>
      </c>
      <c r="AH23" s="759">
        <f>SUMIFS('4.2 Program Budget 2028-2031'!U:U,'4.2 Program Budget 2028-2031'!$D:$D,$B23,'4.2 Program Budget 2028-2031'!$F:$F,README!$M$9)</f>
        <v>631836</v>
      </c>
      <c r="AI23" s="759">
        <f>SUMIFS('4.2 Program Budget 2028-2031'!V:V,'4.2 Program Budget 2028-2031'!$D:$D,$B23,'4.2 Program Budget 2028-2031'!$F:$F,README!$M$9)</f>
        <v>98</v>
      </c>
      <c r="AJ23" s="759">
        <f>SUMIFS('4.2 Program Budget 2028-2031'!W:W,'4.2 Program Budget 2028-2031'!$D:$D,$B23,'4.2 Program Budget 2028-2031'!$F:$F,README!$M$9)</f>
        <v>44638</v>
      </c>
      <c r="AK23" s="759">
        <f>SUMIFS('4.2 Program Budget 2028-2031'!X:X,'4.2 Program Budget 2028-2031'!$D:$D,$B23,'4.2 Program Budget 2028-2031'!$F:$F,README!$M$9)</f>
        <v>85</v>
      </c>
      <c r="AL23" s="759">
        <f>SUMIFS('4.2 Program Budget 2028-2031'!Y:Y,'4.2 Program Budget 2028-2031'!$D:$D,$B23,'4.2 Program Budget 2028-2031'!$F:$F,README!$M$9)</f>
        <v>261</v>
      </c>
      <c r="AM23" s="758">
        <f>SUMIFS('4.2 Program Budget 2028-2031'!AE:AE,'4.2 Program Budget 2028-2031'!$D:$D,$B23,'4.2 Program Budget 2028-2031'!$F:$F,README!$M$9)</f>
        <v>1469326.2026109349</v>
      </c>
      <c r="AN23" s="759">
        <f>SUMIFS('4.2 Program Budget 2028-2031'!AF:AF,'4.2 Program Budget 2028-2031'!$D:$D,$B23,'4.2 Program Budget 2028-2031'!$F:$F,README!$M$9)</f>
        <v>631836</v>
      </c>
      <c r="AO23" s="759">
        <f>SUMIFS('4.2 Program Budget 2028-2031'!AG:AG,'4.2 Program Budget 2028-2031'!$D:$D,$B23,'4.2 Program Budget 2028-2031'!$F:$F,README!$M$9)</f>
        <v>98</v>
      </c>
      <c r="AP23" s="759">
        <f>SUMIFS('4.2 Program Budget 2028-2031'!AH:AH,'4.2 Program Budget 2028-2031'!$D:$D,$B23,'4.2 Program Budget 2028-2031'!$F:$F,README!$M$9)</f>
        <v>44638</v>
      </c>
      <c r="AQ23" s="759">
        <f>SUMIFS('4.2 Program Budget 2028-2031'!AI:AI,'4.2 Program Budget 2028-2031'!$D:$D,$B23,'4.2 Program Budget 2028-2031'!$F:$F,README!$M$9)</f>
        <v>84</v>
      </c>
      <c r="AR23" s="759">
        <f>SUMIFS('4.2 Program Budget 2028-2031'!AJ:AJ,'4.2 Program Budget 2028-2031'!$D:$D,$B23,'4.2 Program Budget 2028-2031'!$F:$F,README!$M$9)</f>
        <v>261</v>
      </c>
      <c r="AS23" s="758">
        <f>SUMIFS('4.2 Program Budget 2028-2031'!AP:AP,'4.2 Program Budget 2028-2031'!$D:$D,$B23,'4.2 Program Budget 2028-2031'!$F:$F,README!$M$9)</f>
        <v>1516344.6410944848</v>
      </c>
      <c r="AT23" s="759">
        <f>SUMIFS('4.2 Program Budget 2028-2031'!AQ:AQ,'4.2 Program Budget 2028-2031'!$D:$D,$B23,'4.2 Program Budget 2028-2031'!$F:$F,README!$M$9)</f>
        <v>631836</v>
      </c>
      <c r="AU23" s="759">
        <f>SUMIFS('4.2 Program Budget 2028-2031'!AR:AR,'4.2 Program Budget 2028-2031'!$D:$D,$B23,'4.2 Program Budget 2028-2031'!$F:$F,README!$M$9)</f>
        <v>98</v>
      </c>
      <c r="AV23" s="759">
        <f>SUMIFS('4.2 Program Budget 2028-2031'!AS:AS,'4.2 Program Budget 2028-2031'!$D:$D,$B23,'4.2 Program Budget 2028-2031'!$F:$F,README!$M$9)</f>
        <v>44638</v>
      </c>
      <c r="AW23" s="759">
        <f>SUMIFS('4.2 Program Budget 2028-2031'!AT:AT,'4.2 Program Budget 2028-2031'!$D:$D,$B23,'4.2 Program Budget 2028-2031'!$F:$F,README!$M$9)</f>
        <v>91</v>
      </c>
      <c r="AX23" s="759">
        <f>SUMIFS('4.2 Program Budget 2028-2031'!AU:AU,'4.2 Program Budget 2028-2031'!$D:$D,$B23,'4.2 Program Budget 2028-2031'!$F:$F,README!$M$9)</f>
        <v>261</v>
      </c>
      <c r="AZ23" s="761"/>
      <c r="BB23" s="1140"/>
      <c r="BC23" s="1141"/>
      <c r="BD23" s="1141"/>
      <c r="BE23" s="1141"/>
    </row>
    <row r="24" spans="1:57">
      <c r="B24" s="757" t="s">
        <v>27</v>
      </c>
      <c r="C24" s="25">
        <f>SUMIFS('4.1 Program Budget - 2024-2027'!S:S,'4.1 Program Budget - 2024-2027'!$G:$G,$B24,'4.1 Program Budget - 2024-2027'!$H:$H,README!$M$9)</f>
        <v>912512.29014669394</v>
      </c>
      <c r="D24" s="1139">
        <f>SUMIFS('4.1 Program Budget - 2024-2027'!W:W,'4.1 Program Budget - 2024-2027'!$G:$G,$B24,'4.1 Program Budget - 2024-2027'!$H:$H,README!$M$9)</f>
        <v>0</v>
      </c>
      <c r="E24" s="1139">
        <f>SUMIFS('4.1 Program Budget - 2024-2027'!X:X,'4.1 Program Budget - 2024-2027'!$G:$G,$B24,'4.1 Program Budget - 2024-2027'!$H:$H,README!$M$9)</f>
        <v>0</v>
      </c>
      <c r="F24" s="1139">
        <f>SUMIFS('4.1 Program Budget - 2024-2027'!Y:Y,'4.1 Program Budget - 2024-2027'!$G:$G,$B24,'4.1 Program Budget - 2024-2027'!$H:$H,README!$M$9)</f>
        <v>7548</v>
      </c>
      <c r="G24" s="1139">
        <f>SUMIFS('4.1 Program Budget - 2024-2027'!Z:Z,'4.1 Program Budget - 2024-2027'!$G:$G,$B24,'4.1 Program Budget - 2024-2027'!$H:$H,README!$M$9)</f>
        <v>0</v>
      </c>
      <c r="H24" s="1139">
        <f>SUMIFS('4.1 Program Budget - 2024-2027'!AA:AA,'4.1 Program Budget - 2024-2027'!$G:$G,$B24,'4.1 Program Budget - 2024-2027'!$H:$H,README!$M$9)</f>
        <v>44</v>
      </c>
      <c r="I24" s="25">
        <f>SUMIFS('4.1 Program Budget - 2024-2027'!AK:AK,'4.1 Program Budget - 2024-2027'!$G:$G,$B24,'4.1 Program Budget - 2024-2027'!$H:$H,README!$M$9)</f>
        <v>917192.37912212196</v>
      </c>
      <c r="J24" s="759">
        <f>SUMIFS('4.1 Program Budget - 2024-2027'!AO:AO,'4.1 Program Budget - 2024-2027'!$G:$G,$B24,'4.1 Program Budget - 2024-2027'!$H:$H,README!$M$9)</f>
        <v>0</v>
      </c>
      <c r="K24" s="759">
        <f>SUMIFS('4.1 Program Budget - 2024-2027'!AP:AP,'4.1 Program Budget - 2024-2027'!$G:$G,$B24,'4.1 Program Budget - 2024-2027'!$H:$H,README!$M$9)</f>
        <v>0</v>
      </c>
      <c r="L24" s="759">
        <f>SUMIFS('4.1 Program Budget - 2024-2027'!AQ:AQ,'4.1 Program Budget - 2024-2027'!$G:$G,$B24,'4.1 Program Budget - 2024-2027'!$H:$H,README!$M$9)</f>
        <v>7692</v>
      </c>
      <c r="M24" s="1139">
        <f>SUMIFS('4.1 Program Budget - 2024-2027'!AR:AR,'4.1 Program Budget - 2024-2027'!$G:$G,$B24,'4.1 Program Budget - 2024-2027'!$H:$H,README!$M$9)</f>
        <v>0</v>
      </c>
      <c r="N24" s="1139">
        <f>SUMIFS('4.1 Program Budget - 2024-2027'!AS:AS,'4.1 Program Budget - 2024-2027'!$G:$G,$B24,'4.1 Program Budget - 2024-2027'!$H:$H,README!$M$9)</f>
        <v>45</v>
      </c>
      <c r="O24" s="25">
        <f>SUMIFS('4.1 Program Budget - 2024-2027'!BC:BC,'4.1 Program Budget - 2024-2027'!$G:$G,$B24,'4.1 Program Budget - 2024-2027'!$H:$H,README!$M$9)</f>
        <v>972607.78586842574</v>
      </c>
      <c r="P24" s="759">
        <f>SUMIFS('4.1 Program Budget - 2024-2027'!BG:BG,'4.1 Program Budget - 2024-2027'!$G:$G,$B24,'4.1 Program Budget - 2024-2027'!$H:$H,README!$M$9)</f>
        <v>0</v>
      </c>
      <c r="Q24" s="759">
        <f>SUMIFS('4.1 Program Budget - 2024-2027'!BH:BH,'4.1 Program Budget - 2024-2027'!$G:$G,$B24,'4.1 Program Budget - 2024-2027'!$H:$H,README!$M$9)</f>
        <v>0</v>
      </c>
      <c r="R24" s="759">
        <f>SUMIFS('4.1 Program Budget - 2024-2027'!BI:BI,'4.1 Program Budget - 2024-2027'!$G:$G,$B24,'4.1 Program Budget - 2024-2027'!$H:$H,README!$M$9)</f>
        <v>5731</v>
      </c>
      <c r="S24" s="1139">
        <f>SUMIFS('4.1 Program Budget - 2024-2027'!BJ:BJ,'4.1 Program Budget - 2024-2027'!$G:$G,$B24,'4.1 Program Budget - 2024-2027'!$H:$H,README!$M$9)</f>
        <v>0</v>
      </c>
      <c r="T24" s="1139">
        <f>SUMIFS('4.1 Program Budget - 2024-2027'!BK:BK,'4.1 Program Budget - 2024-2027'!$G:$G,$B24,'4.1 Program Budget - 2024-2027'!$H:$H,README!$M$9)</f>
        <v>34</v>
      </c>
      <c r="U24" s="25">
        <f>SUMIFS('4.1 Program Budget - 2024-2027'!BU:BU,'4.1 Program Budget - 2024-2027'!$G:$G,$B24,'4.1 Program Budget - 2024-2027'!$H:$H,README!$M$9)</f>
        <v>966067.66059948714</v>
      </c>
      <c r="V24" s="759">
        <f>SUMIFS('4.1 Program Budget - 2024-2027'!BY:BY,'4.1 Program Budget - 2024-2027'!$G:$G,$B24,'4.1 Program Budget - 2024-2027'!$H:$H,README!$M$9)</f>
        <v>0</v>
      </c>
      <c r="W24" s="759">
        <f>SUMIFS('4.1 Program Budget - 2024-2027'!BZ:BZ,'4.1 Program Budget - 2024-2027'!$G:$G,$B24,'4.1 Program Budget - 2024-2027'!$H:$H,README!$M$9)</f>
        <v>0</v>
      </c>
      <c r="X24" s="759">
        <f>SUMIFS('4.1 Program Budget - 2024-2027'!CA:CA,'4.1 Program Budget - 2024-2027'!$G:$G,$B24,'4.1 Program Budget - 2024-2027'!$H:$H,README!$M$9)</f>
        <v>4321</v>
      </c>
      <c r="Y24" s="1139">
        <f>SUMIFS('4.1 Program Budget - 2024-2027'!CB:CB,'4.1 Program Budget - 2024-2027'!$G:$G,$B24,'4.1 Program Budget - 2024-2027'!$H:$H,README!$M$9)</f>
        <v>0</v>
      </c>
      <c r="Z24" s="1139">
        <f>SUMIFS('4.1 Program Budget - 2024-2027'!CC:CC,'4.1 Program Budget - 2024-2027'!$G:$G,$B24,'4.1 Program Budget - 2024-2027'!$H:$H,README!$M$9)</f>
        <v>25</v>
      </c>
      <c r="AA24" s="758">
        <f>SUMIFS('4.2 Program Budget 2028-2031'!I:I,'4.2 Program Budget 2028-2031'!D:D,B24,'4.2 Program Budget 2028-2031'!F:F,README!$M$9)</f>
        <v>996981.82573867077</v>
      </c>
      <c r="AB24" s="759">
        <f>SUMIFS('4.2 Program Budget 2028-2031'!J:J,'4.2 Program Budget 2028-2031'!$D:$D,$B24,'4.2 Program Budget 2028-2031'!$F:$F,README!$M$9)</f>
        <v>112685</v>
      </c>
      <c r="AC24" s="759">
        <f>SUMIFS('4.2 Program Budget 2028-2031'!K:K,'4.2 Program Budget 2028-2031'!$D:$D,$B24,'4.2 Program Budget 2028-2031'!$F:$F,README!$M$9)</f>
        <v>36</v>
      </c>
      <c r="AD24" s="759">
        <f>SUMIFS('4.2 Program Budget 2028-2031'!L:L,'4.2 Program Budget 2028-2031'!$D:$D,$B24,'4.2 Program Budget 2028-2031'!$F:$F,README!$M$9)</f>
        <v>864</v>
      </c>
      <c r="AE24" s="759">
        <f>SUMIFS('4.2 Program Budget 2028-2031'!M:M,'4.2 Program Budget 2028-2031'!$D:$D,$B24,'4.2 Program Budget 2028-2031'!$F:$F,README!$M$9)</f>
        <v>19</v>
      </c>
      <c r="AF24" s="759">
        <f>SUMIFS('4.2 Program Budget 2028-2031'!N:N,'4.2 Program Budget 2028-2031'!$D:$D,$B24,'4.2 Program Budget 2028-2031'!$F:$F,README!$M$9)</f>
        <v>5</v>
      </c>
      <c r="AG24" s="758">
        <f>SUMIFS('4.2 Program Budget 2028-2031'!T:T,'4.2 Program Budget 2028-2031'!$D:$D,$B24,'4.2 Program Budget 2028-2031'!$F:$F,README!$M$9)</f>
        <v>1028885.2441623083</v>
      </c>
      <c r="AH24" s="759">
        <f>SUMIFS('4.2 Program Budget 2028-2031'!U:U,'4.2 Program Budget 2028-2031'!$D:$D,$B24,'4.2 Program Budget 2028-2031'!$F:$F,README!$M$9)</f>
        <v>112685</v>
      </c>
      <c r="AI24" s="759">
        <f>SUMIFS('4.2 Program Budget 2028-2031'!V:V,'4.2 Program Budget 2028-2031'!$D:$D,$B24,'4.2 Program Budget 2028-2031'!$F:$F,README!$M$9)</f>
        <v>36</v>
      </c>
      <c r="AJ24" s="759">
        <f>SUMIFS('4.2 Program Budget 2028-2031'!W:W,'4.2 Program Budget 2028-2031'!$D:$D,$B24,'4.2 Program Budget 2028-2031'!$F:$F,README!$M$9)</f>
        <v>864</v>
      </c>
      <c r="AK24" s="759">
        <f>SUMIFS('4.2 Program Budget 2028-2031'!X:X,'4.2 Program Budget 2028-2031'!$D:$D,$B24,'4.2 Program Budget 2028-2031'!$F:$F,README!$M$9)</f>
        <v>15</v>
      </c>
      <c r="AL24" s="759">
        <f>SUMIFS('4.2 Program Budget 2028-2031'!Y:Y,'4.2 Program Budget 2028-2031'!$D:$D,$B24,'4.2 Program Budget 2028-2031'!$F:$F,README!$M$9)</f>
        <v>5</v>
      </c>
      <c r="AM24" s="758">
        <f>SUMIFS('4.2 Program Budget 2028-2031'!AE:AE,'4.2 Program Budget 2028-2031'!$D:$D,$B24,'4.2 Program Budget 2028-2031'!$F:$F,README!$M$9)</f>
        <v>1061809.5719755022</v>
      </c>
      <c r="AN24" s="759">
        <f>SUMIFS('4.2 Program Budget 2028-2031'!AF:AF,'4.2 Program Budget 2028-2031'!$D:$D,$B24,'4.2 Program Budget 2028-2031'!$F:$F,README!$M$9)</f>
        <v>112685</v>
      </c>
      <c r="AO24" s="759">
        <f>SUMIFS('4.2 Program Budget 2028-2031'!AG:AG,'4.2 Program Budget 2028-2031'!$D:$D,$B24,'4.2 Program Budget 2028-2031'!$F:$F,README!$M$9)</f>
        <v>36</v>
      </c>
      <c r="AP24" s="759">
        <f>SUMIFS('4.2 Program Budget 2028-2031'!AH:AH,'4.2 Program Budget 2028-2031'!$D:$D,$B24,'4.2 Program Budget 2028-2031'!$F:$F,README!$M$9)</f>
        <v>864</v>
      </c>
      <c r="AQ24" s="759">
        <f>SUMIFS('4.2 Program Budget 2028-2031'!AI:AI,'4.2 Program Budget 2028-2031'!$D:$D,$B24,'4.2 Program Budget 2028-2031'!$F:$F,README!$M$9)</f>
        <v>15</v>
      </c>
      <c r="AR24" s="759">
        <f>SUMIFS('4.2 Program Budget 2028-2031'!AJ:AJ,'4.2 Program Budget 2028-2031'!$D:$D,$B24,'4.2 Program Budget 2028-2031'!$F:$F,README!$M$9)</f>
        <v>5</v>
      </c>
      <c r="AS24" s="758">
        <f>SUMIFS('4.2 Program Budget 2028-2031'!AP:AP,'4.2 Program Budget 2028-2031'!$D:$D,$B24,'4.2 Program Budget 2028-2031'!$F:$F,README!$M$9)</f>
        <v>1095787.4782787182</v>
      </c>
      <c r="AT24" s="759">
        <f>SUMIFS('4.2 Program Budget 2028-2031'!AQ:AQ,'4.2 Program Budget 2028-2031'!$D:$D,$B24,'4.2 Program Budget 2028-2031'!$F:$F,README!$M$9)</f>
        <v>112685</v>
      </c>
      <c r="AU24" s="759">
        <f>SUMIFS('4.2 Program Budget 2028-2031'!AR:AR,'4.2 Program Budget 2028-2031'!$D:$D,$B24,'4.2 Program Budget 2028-2031'!$F:$F,README!$M$9)</f>
        <v>36</v>
      </c>
      <c r="AV24" s="759">
        <f>SUMIFS('4.2 Program Budget 2028-2031'!AS:AS,'4.2 Program Budget 2028-2031'!$D:$D,$B24,'4.2 Program Budget 2028-2031'!$F:$F,README!$M$9)</f>
        <v>864</v>
      </c>
      <c r="AW24" s="759">
        <f>SUMIFS('4.2 Program Budget 2028-2031'!AT:AT,'4.2 Program Budget 2028-2031'!$D:$D,$B24,'4.2 Program Budget 2028-2031'!$F:$F,README!$M$9)</f>
        <v>16</v>
      </c>
      <c r="AX24" s="759">
        <f>SUMIFS('4.2 Program Budget 2028-2031'!AU:AU,'4.2 Program Budget 2028-2031'!$D:$D,$B24,'4.2 Program Budget 2028-2031'!$F:$F,README!$M$9)</f>
        <v>5</v>
      </c>
      <c r="AZ24" s="761"/>
      <c r="BB24" s="1140"/>
      <c r="BC24" s="1141"/>
      <c r="BD24" s="1141"/>
      <c r="BE24" s="1141"/>
    </row>
    <row r="25" spans="1:57">
      <c r="B25" s="757" t="s">
        <v>29</v>
      </c>
      <c r="C25" s="25">
        <f>SUMIFS('4.1 Program Budget - 2024-2027'!S:S,'4.1 Program Budget - 2024-2027'!$G:$G,$B25,'4.1 Program Budget - 2024-2027'!$H:$H,README!$M$9)</f>
        <v>1645389.7508036585</v>
      </c>
      <c r="D25" s="1139">
        <f>SUMIFS('4.1 Program Budget - 2024-2027'!W:W,'4.1 Program Budget - 2024-2027'!$G:$G,$B25,'4.1 Program Budget - 2024-2027'!$H:$H,README!$M$9)</f>
        <v>0</v>
      </c>
      <c r="E25" s="1139">
        <f>SUMIFS('4.1 Program Budget - 2024-2027'!X:X,'4.1 Program Budget - 2024-2027'!$G:$G,$B25,'4.1 Program Budget - 2024-2027'!$H:$H,README!$M$9)</f>
        <v>0</v>
      </c>
      <c r="F25" s="1139">
        <f>SUMIFS('4.1 Program Budget - 2024-2027'!Y:Y,'4.1 Program Budget - 2024-2027'!$G:$G,$B25,'4.1 Program Budget - 2024-2027'!$H:$H,README!$M$9)</f>
        <v>0</v>
      </c>
      <c r="G25" s="1139">
        <f>SUMIFS('4.1 Program Budget - 2024-2027'!Z:Z,'4.1 Program Budget - 2024-2027'!$G:$G,$B25,'4.1 Program Budget - 2024-2027'!$H:$H,README!$M$9)</f>
        <v>0</v>
      </c>
      <c r="H25" s="1139">
        <f>SUMIFS('4.1 Program Budget - 2024-2027'!AA:AA,'4.1 Program Budget - 2024-2027'!$G:$G,$B25,'4.1 Program Budget - 2024-2027'!$H:$H,README!$M$9)</f>
        <v>0</v>
      </c>
      <c r="I25" s="25">
        <f>SUMIFS('4.1 Program Budget - 2024-2027'!AK:AK,'4.1 Program Budget - 2024-2027'!$G:$G,$B25,'4.1 Program Budget - 2024-2027'!$H:$H,README!$M$9)</f>
        <v>1652861.4233807516</v>
      </c>
      <c r="J25" s="759">
        <f>SUMIFS('4.1 Program Budget - 2024-2027'!AO:AO,'4.1 Program Budget - 2024-2027'!$G:$G,$B25,'4.1 Program Budget - 2024-2027'!$H:$H,README!$M$9)</f>
        <v>0</v>
      </c>
      <c r="K25" s="759">
        <f>SUMIFS('4.1 Program Budget - 2024-2027'!AP:AP,'4.1 Program Budget - 2024-2027'!$G:$G,$B25,'4.1 Program Budget - 2024-2027'!$H:$H,README!$M$9)</f>
        <v>0</v>
      </c>
      <c r="L25" s="759">
        <f>SUMIFS('4.1 Program Budget - 2024-2027'!AQ:AQ,'4.1 Program Budget - 2024-2027'!$G:$G,$B25,'4.1 Program Budget - 2024-2027'!$H:$H,README!$M$9)</f>
        <v>0</v>
      </c>
      <c r="M25" s="1139">
        <f>SUMIFS('4.1 Program Budget - 2024-2027'!AR:AR,'4.1 Program Budget - 2024-2027'!$G:$G,$B25,'4.1 Program Budget - 2024-2027'!$H:$H,README!$M$9)</f>
        <v>0</v>
      </c>
      <c r="N25" s="1139">
        <f>SUMIFS('4.1 Program Budget - 2024-2027'!AS:AS,'4.1 Program Budget - 2024-2027'!$G:$G,$B25,'4.1 Program Budget - 2024-2027'!$H:$H,README!$M$9)</f>
        <v>0</v>
      </c>
      <c r="O25" s="25">
        <f>SUMIFS('4.1 Program Budget - 2024-2027'!BC:BC,'4.1 Program Budget - 2024-2027'!$G:$G,$B25,'4.1 Program Budget - 2024-2027'!$H:$H,README!$M$9)</f>
        <v>1661486.8566789813</v>
      </c>
      <c r="P25" s="759">
        <f>SUMIFS('4.1 Program Budget - 2024-2027'!BG:BG,'4.1 Program Budget - 2024-2027'!$G:$G,$B25,'4.1 Program Budget - 2024-2027'!$H:$H,README!$M$9)</f>
        <v>0</v>
      </c>
      <c r="Q25" s="759">
        <f>SUMIFS('4.1 Program Budget - 2024-2027'!BH:BH,'4.1 Program Budget - 2024-2027'!$G:$G,$B25,'4.1 Program Budget - 2024-2027'!$H:$H,README!$M$9)</f>
        <v>0</v>
      </c>
      <c r="R25" s="759">
        <f>SUMIFS('4.1 Program Budget - 2024-2027'!BI:BI,'4.1 Program Budget - 2024-2027'!$G:$G,$B25,'4.1 Program Budget - 2024-2027'!$H:$H,README!$M$9)</f>
        <v>0</v>
      </c>
      <c r="S25" s="1139">
        <f>SUMIFS('4.1 Program Budget - 2024-2027'!BJ:BJ,'4.1 Program Budget - 2024-2027'!$G:$G,$B25,'4.1 Program Budget - 2024-2027'!$H:$H,README!$M$9)</f>
        <v>0</v>
      </c>
      <c r="T25" s="1139">
        <f>SUMIFS('4.1 Program Budget - 2024-2027'!BK:BK,'4.1 Program Budget - 2024-2027'!$G:$G,$B25,'4.1 Program Budget - 2024-2027'!$H:$H,README!$M$9)</f>
        <v>0</v>
      </c>
      <c r="U25" s="25">
        <f>SUMIFS('4.1 Program Budget - 2024-2027'!BU:BU,'4.1 Program Budget - 2024-2027'!$G:$G,$B25,'4.1 Program Budget - 2024-2027'!$H:$H,README!$M$9)</f>
        <v>1671307.6332180835</v>
      </c>
      <c r="V25" s="759">
        <f>SUMIFS('4.1 Program Budget - 2024-2027'!BY:BY,'4.1 Program Budget - 2024-2027'!$G:$G,$B25,'4.1 Program Budget - 2024-2027'!$H:$H,README!$M$9)</f>
        <v>0</v>
      </c>
      <c r="W25" s="759">
        <f>SUMIFS('4.1 Program Budget - 2024-2027'!BZ:BZ,'4.1 Program Budget - 2024-2027'!$G:$G,$B25,'4.1 Program Budget - 2024-2027'!$H:$H,README!$M$9)</f>
        <v>0</v>
      </c>
      <c r="X25" s="759">
        <f>SUMIFS('4.1 Program Budget - 2024-2027'!CA:CA,'4.1 Program Budget - 2024-2027'!$G:$G,$B25,'4.1 Program Budget - 2024-2027'!$H:$H,README!$M$9)</f>
        <v>0</v>
      </c>
      <c r="Y25" s="1139">
        <f>SUMIFS('4.1 Program Budget - 2024-2027'!CB:CB,'4.1 Program Budget - 2024-2027'!$G:$G,$B25,'4.1 Program Budget - 2024-2027'!$H:$H,README!$M$9)</f>
        <v>0</v>
      </c>
      <c r="Z25" s="1139">
        <f>SUMIFS('4.1 Program Budget - 2024-2027'!CC:CC,'4.1 Program Budget - 2024-2027'!$G:$G,$B25,'4.1 Program Budget - 2024-2027'!$H:$H,README!$M$9)</f>
        <v>0</v>
      </c>
      <c r="AA25" s="758">
        <f>SUMIFS('4.2 Program Budget 2028-2031'!I:I,'4.2 Program Budget 2028-2031'!D:D,B25,'4.2 Program Budget 2028-2031'!F:F,README!$M$9)</f>
        <v>1724789.4774810623</v>
      </c>
      <c r="AB25" s="759">
        <f>SUMIFS('4.2 Program Budget 2028-2031'!J:J,'4.2 Program Budget 2028-2031'!$D:$D,$B25,'4.2 Program Budget 2028-2031'!$F:$F,README!$M$9)</f>
        <v>0</v>
      </c>
      <c r="AC25" s="759">
        <f>SUMIFS('4.2 Program Budget 2028-2031'!K:K,'4.2 Program Budget 2028-2031'!$D:$D,$B25,'4.2 Program Budget 2028-2031'!$F:$F,README!$M$9)</f>
        <v>0</v>
      </c>
      <c r="AD25" s="759">
        <f>SUMIFS('4.2 Program Budget 2028-2031'!L:L,'4.2 Program Budget 2028-2031'!$D:$D,$B25,'4.2 Program Budget 2028-2031'!$F:$F,README!$M$9)</f>
        <v>0</v>
      </c>
      <c r="AE25" s="759">
        <f>SUMIFS('4.2 Program Budget 2028-2031'!M:M,'4.2 Program Budget 2028-2031'!$D:$D,$B25,'4.2 Program Budget 2028-2031'!$F:$F,README!$M$9)</f>
        <v>0</v>
      </c>
      <c r="AF25" s="759">
        <f>SUMIFS('4.2 Program Budget 2028-2031'!N:N,'4.2 Program Budget 2028-2031'!$D:$D,$B25,'4.2 Program Budget 2028-2031'!$F:$F,README!$M$9)</f>
        <v>0</v>
      </c>
      <c r="AG25" s="758">
        <f>SUMIFS('4.2 Program Budget 2028-2031'!T:T,'4.2 Program Budget 2028-2031'!$D:$D,$B25,'4.2 Program Budget 2028-2031'!$F:$F,README!$M$9)</f>
        <v>1779982.7407604563</v>
      </c>
      <c r="AH25" s="759">
        <f>SUMIFS('4.2 Program Budget 2028-2031'!U:U,'4.2 Program Budget 2028-2031'!$D:$D,$B25,'4.2 Program Budget 2028-2031'!$F:$F,README!$M$9)</f>
        <v>0</v>
      </c>
      <c r="AI25" s="759">
        <f>SUMIFS('4.2 Program Budget 2028-2031'!V:V,'4.2 Program Budget 2028-2031'!$D:$D,$B25,'4.2 Program Budget 2028-2031'!$F:$F,README!$M$9)</f>
        <v>0</v>
      </c>
      <c r="AJ25" s="759">
        <f>SUMIFS('4.2 Program Budget 2028-2031'!W:W,'4.2 Program Budget 2028-2031'!$D:$D,$B25,'4.2 Program Budget 2028-2031'!$F:$F,README!$M$9)</f>
        <v>0</v>
      </c>
      <c r="AK25" s="759">
        <f>SUMIFS('4.2 Program Budget 2028-2031'!X:X,'4.2 Program Budget 2028-2031'!$D:$D,$B25,'4.2 Program Budget 2028-2031'!$F:$F,README!$M$9)</f>
        <v>0</v>
      </c>
      <c r="AL25" s="759">
        <f>SUMIFS('4.2 Program Budget 2028-2031'!Y:Y,'4.2 Program Budget 2028-2031'!$D:$D,$B25,'4.2 Program Budget 2028-2031'!$F:$F,README!$M$9)</f>
        <v>0</v>
      </c>
      <c r="AM25" s="758">
        <f>SUMIFS('4.2 Program Budget 2028-2031'!AE:AE,'4.2 Program Budget 2028-2031'!$D:$D,$B25,'4.2 Program Budget 2028-2031'!$F:$F,README!$M$9)</f>
        <v>1836942.188464791</v>
      </c>
      <c r="AN25" s="759">
        <f>SUMIFS('4.2 Program Budget 2028-2031'!AF:AF,'4.2 Program Budget 2028-2031'!$D:$D,$B25,'4.2 Program Budget 2028-2031'!$F:$F,README!$M$9)</f>
        <v>0</v>
      </c>
      <c r="AO25" s="759">
        <f>SUMIFS('4.2 Program Budget 2028-2031'!AG:AG,'4.2 Program Budget 2028-2031'!$D:$D,$B25,'4.2 Program Budget 2028-2031'!$F:$F,README!$M$9)</f>
        <v>0</v>
      </c>
      <c r="AP25" s="759">
        <f>SUMIFS('4.2 Program Budget 2028-2031'!AH:AH,'4.2 Program Budget 2028-2031'!$D:$D,$B25,'4.2 Program Budget 2028-2031'!$F:$F,README!$M$9)</f>
        <v>0</v>
      </c>
      <c r="AQ25" s="759">
        <f>SUMIFS('4.2 Program Budget 2028-2031'!AI:AI,'4.2 Program Budget 2028-2031'!$D:$D,$B25,'4.2 Program Budget 2028-2031'!$F:$F,README!$M$9)</f>
        <v>0</v>
      </c>
      <c r="AR25" s="759">
        <f>SUMIFS('4.2 Program Budget 2028-2031'!AJ:AJ,'4.2 Program Budget 2028-2031'!$D:$D,$B25,'4.2 Program Budget 2028-2031'!$F:$F,README!$M$9)</f>
        <v>0</v>
      </c>
      <c r="AS25" s="758">
        <f>SUMIFS('4.2 Program Budget 2028-2031'!AP:AP,'4.2 Program Budget 2028-2031'!$D:$D,$B25,'4.2 Program Budget 2028-2031'!$F:$F,README!$M$9)</f>
        <v>1895724.3384956643</v>
      </c>
      <c r="AT25" s="759">
        <f>SUMIFS('4.2 Program Budget 2028-2031'!AQ:AQ,'4.2 Program Budget 2028-2031'!$D:$D,$B25,'4.2 Program Budget 2028-2031'!$F:$F,README!$M$9)</f>
        <v>0</v>
      </c>
      <c r="AU25" s="759">
        <f>SUMIFS('4.2 Program Budget 2028-2031'!AR:AR,'4.2 Program Budget 2028-2031'!$D:$D,$B25,'4.2 Program Budget 2028-2031'!$F:$F,README!$M$9)</f>
        <v>0</v>
      </c>
      <c r="AV25" s="759">
        <f>SUMIFS('4.2 Program Budget 2028-2031'!AS:AS,'4.2 Program Budget 2028-2031'!$D:$D,$B25,'4.2 Program Budget 2028-2031'!$F:$F,README!$M$9)</f>
        <v>0</v>
      </c>
      <c r="AW25" s="759">
        <f>SUMIFS('4.2 Program Budget 2028-2031'!AT:AT,'4.2 Program Budget 2028-2031'!$D:$D,$B25,'4.2 Program Budget 2028-2031'!$F:$F,README!$M$9)</f>
        <v>0</v>
      </c>
      <c r="AX25" s="759">
        <f>SUMIFS('4.2 Program Budget 2028-2031'!AU:AU,'4.2 Program Budget 2028-2031'!$D:$D,$B25,'4.2 Program Budget 2028-2031'!$F:$F,README!$M$9)</f>
        <v>0</v>
      </c>
      <c r="AZ25" s="761"/>
      <c r="BB25" s="1140"/>
      <c r="BC25" s="1141"/>
      <c r="BD25" s="1141"/>
      <c r="BE25" s="1141"/>
    </row>
    <row r="26" spans="1:57">
      <c r="B26" s="757" t="s">
        <v>30</v>
      </c>
      <c r="C26" s="25">
        <f>SUMIFS('4.1 Program Budget - 2024-2027'!S:S,'4.1 Program Budget - 2024-2027'!$G:$G,$B26,'4.1 Program Budget - 2024-2027'!$H:$H,README!$M$9)</f>
        <v>3742558.0173240593</v>
      </c>
      <c r="D26" s="1139">
        <f>SUMIFS('4.1 Program Budget - 2024-2027'!W:W,'4.1 Program Budget - 2024-2027'!$G:$G,$B26,'4.1 Program Budget - 2024-2027'!$H:$H,README!$M$9)</f>
        <v>0</v>
      </c>
      <c r="E26" s="1139">
        <f>SUMIFS('4.1 Program Budget - 2024-2027'!X:X,'4.1 Program Budget - 2024-2027'!$G:$G,$B26,'4.1 Program Budget - 2024-2027'!$H:$H,README!$M$9)</f>
        <v>0</v>
      </c>
      <c r="F26" s="1139">
        <f>SUMIFS('4.1 Program Budget - 2024-2027'!Y:Y,'4.1 Program Budget - 2024-2027'!$G:$G,$B26,'4.1 Program Budget - 2024-2027'!$H:$H,README!$M$9)</f>
        <v>28558</v>
      </c>
      <c r="G26" s="1139">
        <f>SUMIFS('4.1 Program Budget - 2024-2027'!Z:Z,'4.1 Program Budget - 2024-2027'!$G:$G,$B26,'4.1 Program Budget - 2024-2027'!$H:$H,README!$M$9)</f>
        <v>0</v>
      </c>
      <c r="H26" s="1139">
        <f>SUMIFS('4.1 Program Budget - 2024-2027'!AA:AA,'4.1 Program Budget - 2024-2027'!$G:$G,$B26,'4.1 Program Budget - 2024-2027'!$H:$H,README!$M$9)</f>
        <v>167</v>
      </c>
      <c r="I26" s="25">
        <f>SUMIFS('4.1 Program Budget - 2024-2027'!AK:AK,'4.1 Program Budget - 2024-2027'!$G:$G,$B26,'4.1 Program Budget - 2024-2027'!$H:$H,README!$M$9)</f>
        <v>3801259.4074041578</v>
      </c>
      <c r="J26" s="759">
        <f>SUMIFS('4.1 Program Budget - 2024-2027'!AO:AO,'4.1 Program Budget - 2024-2027'!$G:$G,$B26,'4.1 Program Budget - 2024-2027'!$H:$H,README!$M$9)</f>
        <v>0</v>
      </c>
      <c r="K26" s="759">
        <f>SUMIFS('4.1 Program Budget - 2024-2027'!AP:AP,'4.1 Program Budget - 2024-2027'!$G:$G,$B26,'4.1 Program Budget - 2024-2027'!$H:$H,README!$M$9)</f>
        <v>0</v>
      </c>
      <c r="L26" s="759">
        <f>SUMIFS('4.1 Program Budget - 2024-2027'!AQ:AQ,'4.1 Program Budget - 2024-2027'!$G:$G,$B26,'4.1 Program Budget - 2024-2027'!$H:$H,README!$M$9)</f>
        <v>29101</v>
      </c>
      <c r="M26" s="1139">
        <f>SUMIFS('4.1 Program Budget - 2024-2027'!AR:AR,'4.1 Program Budget - 2024-2027'!$G:$G,$B26,'4.1 Program Budget - 2024-2027'!$H:$H,README!$M$9)</f>
        <v>0</v>
      </c>
      <c r="N26" s="1139">
        <f>SUMIFS('4.1 Program Budget - 2024-2027'!AS:AS,'4.1 Program Budget - 2024-2027'!$G:$G,$B26,'4.1 Program Budget - 2024-2027'!$H:$H,README!$M$9)</f>
        <v>170</v>
      </c>
      <c r="O26" s="25">
        <f>SUMIFS('4.1 Program Budget - 2024-2027'!BC:BC,'4.1 Program Budget - 2024-2027'!$G:$G,$B26,'4.1 Program Budget - 2024-2027'!$H:$H,README!$M$9)</f>
        <v>3903980.4859136408</v>
      </c>
      <c r="P26" s="759">
        <f>SUMIFS('4.1 Program Budget - 2024-2027'!BG:BG,'4.1 Program Budget - 2024-2027'!$G:$G,$B26,'4.1 Program Budget - 2024-2027'!$H:$H,README!$M$9)</f>
        <v>0</v>
      </c>
      <c r="Q26" s="759">
        <f>SUMIFS('4.1 Program Budget - 2024-2027'!BH:BH,'4.1 Program Budget - 2024-2027'!$G:$G,$B26,'4.1 Program Budget - 2024-2027'!$H:$H,README!$M$9)</f>
        <v>0</v>
      </c>
      <c r="R26" s="759">
        <f>SUMIFS('4.1 Program Budget - 2024-2027'!BI:BI,'4.1 Program Budget - 2024-2027'!$G:$G,$B26,'4.1 Program Budget - 2024-2027'!$H:$H,README!$M$9)</f>
        <v>21680</v>
      </c>
      <c r="S26" s="1139">
        <f>SUMIFS('4.1 Program Budget - 2024-2027'!BJ:BJ,'4.1 Program Budget - 2024-2027'!$G:$G,$B26,'4.1 Program Budget - 2024-2027'!$H:$H,README!$M$9)</f>
        <v>0</v>
      </c>
      <c r="T26" s="1139">
        <f>SUMIFS('4.1 Program Budget - 2024-2027'!BK:BK,'4.1 Program Budget - 2024-2027'!$G:$G,$B26,'4.1 Program Budget - 2024-2027'!$H:$H,README!$M$9)</f>
        <v>127</v>
      </c>
      <c r="U26" s="25">
        <f>SUMIFS('4.1 Program Budget - 2024-2027'!BU:BU,'4.1 Program Budget - 2024-2027'!$G:$G,$B26,'4.1 Program Budget - 2024-2027'!$H:$H,README!$M$9)</f>
        <v>3954555.4324012413</v>
      </c>
      <c r="V26" s="759">
        <f>SUMIFS('4.1 Program Budget - 2024-2027'!BY:BY,'4.1 Program Budget - 2024-2027'!$G:$G,$B26,'4.1 Program Budget - 2024-2027'!$H:$H,README!$M$9)</f>
        <v>0</v>
      </c>
      <c r="W26" s="759">
        <f>SUMIFS('4.1 Program Budget - 2024-2027'!BZ:BZ,'4.1 Program Budget - 2024-2027'!$G:$G,$B26,'4.1 Program Budget - 2024-2027'!$H:$H,README!$M$9)</f>
        <v>0</v>
      </c>
      <c r="X26" s="759">
        <f>SUMIFS('4.1 Program Budget - 2024-2027'!CA:CA,'4.1 Program Budget - 2024-2027'!$G:$G,$B26,'4.1 Program Budget - 2024-2027'!$H:$H,README!$M$9)</f>
        <v>16348</v>
      </c>
      <c r="Y26" s="1139">
        <f>SUMIFS('4.1 Program Budget - 2024-2027'!CB:CB,'4.1 Program Budget - 2024-2027'!$G:$G,$B26,'4.1 Program Budget - 2024-2027'!$H:$H,README!$M$9)</f>
        <v>0</v>
      </c>
      <c r="Z26" s="1139">
        <f>SUMIFS('4.1 Program Budget - 2024-2027'!CC:CC,'4.1 Program Budget - 2024-2027'!$G:$G,$B26,'4.1 Program Budget - 2024-2027'!$H:$H,README!$M$9)</f>
        <v>96</v>
      </c>
      <c r="AA26" s="758">
        <f>SUMIFS('4.2 Program Budget 2028-2031'!I:I,'4.2 Program Budget 2028-2031'!D:D,B26,'4.2 Program Budget 2028-2031'!F:F,README!$M$9)</f>
        <v>4081101.2062380812</v>
      </c>
      <c r="AB26" s="759">
        <f>SUMIFS('4.2 Program Budget 2028-2031'!J:J,'4.2 Program Budget 2028-2031'!$D:$D,$B26,'4.2 Program Budget 2028-2031'!$F:$F,README!$M$9)</f>
        <v>168676</v>
      </c>
      <c r="AC26" s="759">
        <f>SUMIFS('4.2 Program Budget 2028-2031'!K:K,'4.2 Program Budget 2028-2031'!$D:$D,$B26,'4.2 Program Budget 2028-2031'!$F:$F,README!$M$9)</f>
        <v>87</v>
      </c>
      <c r="AD26" s="759">
        <f>SUMIFS('4.2 Program Budget 2028-2031'!L:L,'4.2 Program Budget 2028-2031'!$D:$D,$B26,'4.2 Program Budget 2028-2031'!$F:$F,README!$M$9)</f>
        <v>3270</v>
      </c>
      <c r="AE26" s="759">
        <f>SUMIFS('4.2 Program Budget 2028-2031'!M:M,'4.2 Program Budget 2028-2031'!$D:$D,$B26,'4.2 Program Budget 2028-2031'!$F:$F,README!$M$9)</f>
        <v>28</v>
      </c>
      <c r="AF26" s="759">
        <f>SUMIFS('4.2 Program Budget 2028-2031'!N:N,'4.2 Program Budget 2028-2031'!$D:$D,$B26,'4.2 Program Budget 2028-2031'!$F:$F,README!$M$9)</f>
        <v>19</v>
      </c>
      <c r="AG26" s="758">
        <f>SUMIFS('4.2 Program Budget 2028-2031'!T:T,'4.2 Program Budget 2028-2031'!$D:$D,$B26,'4.2 Program Budget 2028-2031'!$F:$F,README!$M$9)</f>
        <v>4211696.4448376996</v>
      </c>
      <c r="AH26" s="759">
        <f>SUMIFS('4.2 Program Budget 2028-2031'!U:U,'4.2 Program Budget 2028-2031'!$D:$D,$B26,'4.2 Program Budget 2028-2031'!$F:$F,README!$M$9)</f>
        <v>168676</v>
      </c>
      <c r="AI26" s="759">
        <f>SUMIFS('4.2 Program Budget 2028-2031'!V:V,'4.2 Program Budget 2028-2031'!$D:$D,$B26,'4.2 Program Budget 2028-2031'!$F:$F,README!$M$9)</f>
        <v>87</v>
      </c>
      <c r="AJ26" s="759">
        <f>SUMIFS('4.2 Program Budget 2028-2031'!W:W,'4.2 Program Budget 2028-2031'!$D:$D,$B26,'4.2 Program Budget 2028-2031'!$F:$F,README!$M$9)</f>
        <v>3270</v>
      </c>
      <c r="AK26" s="759">
        <f>SUMIFS('4.2 Program Budget 2028-2031'!X:X,'4.2 Program Budget 2028-2031'!$D:$D,$B26,'4.2 Program Budget 2028-2031'!$F:$F,README!$M$9)</f>
        <v>23</v>
      </c>
      <c r="AL26" s="759">
        <f>SUMIFS('4.2 Program Budget 2028-2031'!Y:Y,'4.2 Program Budget 2028-2031'!$D:$D,$B26,'4.2 Program Budget 2028-2031'!$F:$F,README!$M$9)</f>
        <v>19</v>
      </c>
      <c r="AM26" s="758">
        <f>SUMIFS('4.2 Program Budget 2028-2031'!AE:AE,'4.2 Program Budget 2028-2031'!$D:$D,$B26,'4.2 Program Budget 2028-2031'!$F:$F,README!$M$9)</f>
        <v>4346470.7310725059</v>
      </c>
      <c r="AN26" s="759">
        <f>SUMIFS('4.2 Program Budget 2028-2031'!AF:AF,'4.2 Program Budget 2028-2031'!$D:$D,$B26,'4.2 Program Budget 2028-2031'!$F:$F,README!$M$9)</f>
        <v>168676</v>
      </c>
      <c r="AO26" s="759">
        <f>SUMIFS('4.2 Program Budget 2028-2031'!AG:AG,'4.2 Program Budget 2028-2031'!$D:$D,$B26,'4.2 Program Budget 2028-2031'!$F:$F,README!$M$9)</f>
        <v>87</v>
      </c>
      <c r="AP26" s="759">
        <f>SUMIFS('4.2 Program Budget 2028-2031'!AH:AH,'4.2 Program Budget 2028-2031'!$D:$D,$B26,'4.2 Program Budget 2028-2031'!$F:$F,README!$M$9)</f>
        <v>3270</v>
      </c>
      <c r="AQ26" s="759">
        <f>SUMIFS('4.2 Program Budget 2028-2031'!AI:AI,'4.2 Program Budget 2028-2031'!$D:$D,$B26,'4.2 Program Budget 2028-2031'!$F:$F,README!$M$9)</f>
        <v>22</v>
      </c>
      <c r="AR26" s="759">
        <f>SUMIFS('4.2 Program Budget 2028-2031'!AJ:AJ,'4.2 Program Budget 2028-2031'!$D:$D,$B26,'4.2 Program Budget 2028-2031'!$F:$F,README!$M$9)</f>
        <v>19</v>
      </c>
      <c r="AS26" s="758">
        <f>SUMIFS('4.2 Program Budget 2028-2031'!AP:AP,'4.2 Program Budget 2028-2031'!$D:$D,$B26,'4.2 Program Budget 2028-2031'!$F:$F,README!$M$9)</f>
        <v>4485557.7944668261</v>
      </c>
      <c r="AT26" s="759">
        <f>SUMIFS('4.2 Program Budget 2028-2031'!AQ:AQ,'4.2 Program Budget 2028-2031'!$D:$D,$B26,'4.2 Program Budget 2028-2031'!$F:$F,README!$M$9)</f>
        <v>168676</v>
      </c>
      <c r="AU26" s="759">
        <f>SUMIFS('4.2 Program Budget 2028-2031'!AR:AR,'4.2 Program Budget 2028-2031'!$D:$D,$B26,'4.2 Program Budget 2028-2031'!$F:$F,README!$M$9)</f>
        <v>87</v>
      </c>
      <c r="AV26" s="759">
        <f>SUMIFS('4.2 Program Budget 2028-2031'!AS:AS,'4.2 Program Budget 2028-2031'!$D:$D,$B26,'4.2 Program Budget 2028-2031'!$F:$F,README!$M$9)</f>
        <v>3270</v>
      </c>
      <c r="AW26" s="759">
        <f>SUMIFS('4.2 Program Budget 2028-2031'!AT:AT,'4.2 Program Budget 2028-2031'!$D:$D,$B26,'4.2 Program Budget 2028-2031'!$F:$F,README!$M$9)</f>
        <v>24</v>
      </c>
      <c r="AX26" s="759">
        <f>SUMIFS('4.2 Program Budget 2028-2031'!AU:AU,'4.2 Program Budget 2028-2031'!$D:$D,$B26,'4.2 Program Budget 2028-2031'!$F:$F,README!$M$9)</f>
        <v>19</v>
      </c>
      <c r="AZ26" s="761"/>
      <c r="BB26" s="1140"/>
      <c r="BC26" s="1141"/>
      <c r="BD26" s="1141"/>
      <c r="BE26" s="1141"/>
    </row>
    <row r="27" spans="1:57">
      <c r="A27" s="245">
        <v>1</v>
      </c>
      <c r="B27" s="757" t="s">
        <v>32</v>
      </c>
      <c r="C27" s="25">
        <f>SUMIFS('4.1 Program Budget - 2024-2027'!S:S,'4.1 Program Budget - 2024-2027'!$G:$G,$B27,'4.1 Program Budget - 2024-2027'!$H:$H,README!$M$9)</f>
        <v>5557584.0602359446</v>
      </c>
      <c r="D27" s="1139">
        <f>SUMIFS('4.1 Program Budget - 2024-2027'!W:W,'4.1 Program Budget - 2024-2027'!$G:$G,$B27,'4.1 Program Budget - 2024-2027'!$H:$H,README!$M$9)</f>
        <v>0</v>
      </c>
      <c r="E27" s="1139">
        <f>SUMIFS('4.1 Program Budget - 2024-2027'!X:X,'4.1 Program Budget - 2024-2027'!$G:$G,$B27,'4.1 Program Budget - 2024-2027'!$H:$H,README!$M$9)</f>
        <v>0</v>
      </c>
      <c r="F27" s="1139">
        <f>SUMIFS('4.1 Program Budget - 2024-2027'!Y:Y,'4.1 Program Budget - 2024-2027'!$G:$G,$B27,'4.1 Program Budget - 2024-2027'!$H:$H,README!$M$9)</f>
        <v>0</v>
      </c>
      <c r="G27" s="1139">
        <f>SUMIFS('4.1 Program Budget - 2024-2027'!Z:Z,'4.1 Program Budget - 2024-2027'!$G:$G,$B27,'4.1 Program Budget - 2024-2027'!$H:$H,README!$M$9)</f>
        <v>0</v>
      </c>
      <c r="H27" s="1139">
        <f>SUMIFS('4.1 Program Budget - 2024-2027'!AA:AA,'4.1 Program Budget - 2024-2027'!$G:$G,$B27,'4.1 Program Budget - 2024-2027'!$H:$H,README!$M$9)</f>
        <v>0</v>
      </c>
      <c r="I27" s="25">
        <f>SUMIFS('4.1 Program Budget - 2024-2027'!AK:AK,'4.1 Program Budget - 2024-2027'!$G:$G,$B27,'4.1 Program Budget - 2024-2027'!$H:$H,README!$M$9)</f>
        <v>5610756.6124667795</v>
      </c>
      <c r="J27" s="759">
        <f>SUMIFS('4.1 Program Budget - 2024-2027'!AO:AO,'4.1 Program Budget - 2024-2027'!$G:$G,$B27,'4.1 Program Budget - 2024-2027'!$H:$H,README!$M$9)</f>
        <v>0</v>
      </c>
      <c r="K27" s="759">
        <f>SUMIFS('4.1 Program Budget - 2024-2027'!AP:AP,'4.1 Program Budget - 2024-2027'!$G:$G,$B27,'4.1 Program Budget - 2024-2027'!$H:$H,README!$M$9)</f>
        <v>0</v>
      </c>
      <c r="L27" s="759">
        <f>SUMIFS('4.1 Program Budget - 2024-2027'!AQ:AQ,'4.1 Program Budget - 2024-2027'!$G:$G,$B27,'4.1 Program Budget - 2024-2027'!$H:$H,README!$M$9)</f>
        <v>0</v>
      </c>
      <c r="M27" s="1139">
        <f>SUMIFS('4.1 Program Budget - 2024-2027'!AR:AR,'4.1 Program Budget - 2024-2027'!$G:$G,$B27,'4.1 Program Budget - 2024-2027'!$H:$H,README!$M$9)</f>
        <v>0</v>
      </c>
      <c r="N27" s="1139">
        <f>SUMIFS('4.1 Program Budget - 2024-2027'!AS:AS,'4.1 Program Budget - 2024-2027'!$G:$G,$B27,'4.1 Program Budget - 2024-2027'!$H:$H,README!$M$9)</f>
        <v>0</v>
      </c>
      <c r="O27" s="25">
        <f>SUMIFS('4.1 Program Budget - 2024-2027'!BC:BC,'4.1 Program Budget - 2024-2027'!$G:$G,$B27,'4.1 Program Budget - 2024-2027'!$H:$H,README!$M$9)</f>
        <v>5669141.0886707846</v>
      </c>
      <c r="P27" s="759">
        <f>SUMIFS('4.1 Program Budget - 2024-2027'!BG:BG,'4.1 Program Budget - 2024-2027'!$G:$G,$B27,'4.1 Program Budget - 2024-2027'!$H:$H,README!$M$9)</f>
        <v>0</v>
      </c>
      <c r="Q27" s="759">
        <f>SUMIFS('4.1 Program Budget - 2024-2027'!BH:BH,'4.1 Program Budget - 2024-2027'!$G:$G,$B27,'4.1 Program Budget - 2024-2027'!$H:$H,README!$M$9)</f>
        <v>0</v>
      </c>
      <c r="R27" s="759">
        <f>SUMIFS('4.1 Program Budget - 2024-2027'!BI:BI,'4.1 Program Budget - 2024-2027'!$G:$G,$B27,'4.1 Program Budget - 2024-2027'!$H:$H,README!$M$9)</f>
        <v>0</v>
      </c>
      <c r="S27" s="1139">
        <f>SUMIFS('4.1 Program Budget - 2024-2027'!BJ:BJ,'4.1 Program Budget - 2024-2027'!$G:$G,$B27,'4.1 Program Budget - 2024-2027'!$H:$H,README!$M$9)</f>
        <v>0</v>
      </c>
      <c r="T27" s="1139">
        <f>SUMIFS('4.1 Program Budget - 2024-2027'!BK:BK,'4.1 Program Budget - 2024-2027'!$G:$G,$B27,'4.1 Program Budget - 2024-2027'!$H:$H,README!$M$9)</f>
        <v>0</v>
      </c>
      <c r="U27" s="25">
        <f>SUMIFS('4.1 Program Budget - 2024-2027'!BU:BU,'4.1 Program Budget - 2024-2027'!$G:$G,$B27,'4.1 Program Budget - 2024-2027'!$H:$H,README!$M$9)</f>
        <v>5730682.1623149877</v>
      </c>
      <c r="V27" s="759">
        <f>SUMIFS('4.1 Program Budget - 2024-2027'!BY:BY,'4.1 Program Budget - 2024-2027'!$G:$G,$B27,'4.1 Program Budget - 2024-2027'!$H:$H,README!$M$9)</f>
        <v>0</v>
      </c>
      <c r="W27" s="759">
        <f>SUMIFS('4.1 Program Budget - 2024-2027'!BZ:BZ,'4.1 Program Budget - 2024-2027'!$G:$G,$B27,'4.1 Program Budget - 2024-2027'!$H:$H,README!$M$9)</f>
        <v>0</v>
      </c>
      <c r="X27" s="759">
        <f>SUMIFS('4.1 Program Budget - 2024-2027'!CA:CA,'4.1 Program Budget - 2024-2027'!$G:$G,$B27,'4.1 Program Budget - 2024-2027'!$H:$H,README!$M$9)</f>
        <v>0</v>
      </c>
      <c r="Y27" s="1139">
        <f>SUMIFS('4.1 Program Budget - 2024-2027'!CB:CB,'4.1 Program Budget - 2024-2027'!$G:$G,$B27,'4.1 Program Budget - 2024-2027'!$H:$H,README!$M$9)</f>
        <v>0</v>
      </c>
      <c r="Z27" s="1139">
        <f>SUMIFS('4.1 Program Budget - 2024-2027'!CC:CC,'4.1 Program Budget - 2024-2027'!$G:$G,$B27,'4.1 Program Budget - 2024-2027'!$H:$H,README!$M$9)</f>
        <v>0</v>
      </c>
      <c r="AA27" s="758">
        <f>SUMIFS('4.2 Program Budget 2028-2031'!I:I,'4.2 Program Budget 2028-2031'!D:D,B27,'4.2 Program Budget 2028-2031'!F:F,README!$M$9)</f>
        <v>5914063.9915090678</v>
      </c>
      <c r="AB27" s="759">
        <f>SUMIFS('4.2 Program Budget 2028-2031'!J:J,'4.2 Program Budget 2028-2031'!$D:$D,$B27,'4.2 Program Budget 2028-2031'!$F:$F,README!$M$9)</f>
        <v>0</v>
      </c>
      <c r="AC27" s="759">
        <f>SUMIFS('4.2 Program Budget 2028-2031'!K:K,'4.2 Program Budget 2028-2031'!$D:$D,$B27,'4.2 Program Budget 2028-2031'!$F:$F,README!$M$9)</f>
        <v>0</v>
      </c>
      <c r="AD27" s="759">
        <f>SUMIFS('4.2 Program Budget 2028-2031'!L:L,'4.2 Program Budget 2028-2031'!$D:$D,$B27,'4.2 Program Budget 2028-2031'!$F:$F,README!$M$9)</f>
        <v>0</v>
      </c>
      <c r="AE27" s="759">
        <f>SUMIFS('4.2 Program Budget 2028-2031'!M:M,'4.2 Program Budget 2028-2031'!$D:$D,$B27,'4.2 Program Budget 2028-2031'!$F:$F,README!$M$9)</f>
        <v>0</v>
      </c>
      <c r="AF27" s="759">
        <f>SUMIFS('4.2 Program Budget 2028-2031'!N:N,'4.2 Program Budget 2028-2031'!$D:$D,$B27,'4.2 Program Budget 2028-2031'!$F:$F,README!$M$9)</f>
        <v>0</v>
      </c>
      <c r="AG27" s="758">
        <f>SUMIFS('4.2 Program Budget 2028-2031'!T:T,'4.2 Program Budget 2028-2031'!$D:$D,$B27,'4.2 Program Budget 2028-2031'!$F:$F,README!$M$9)</f>
        <v>6103314.0392373586</v>
      </c>
      <c r="AH27" s="759">
        <f>SUMIFS('4.2 Program Budget 2028-2031'!U:U,'4.2 Program Budget 2028-2031'!$D:$D,$B27,'4.2 Program Budget 2028-2031'!$F:$F,README!$M$9)</f>
        <v>0</v>
      </c>
      <c r="AI27" s="759">
        <f>SUMIFS('4.2 Program Budget 2028-2031'!V:V,'4.2 Program Budget 2028-2031'!$D:$D,$B27,'4.2 Program Budget 2028-2031'!$F:$F,README!$M$9)</f>
        <v>0</v>
      </c>
      <c r="AJ27" s="759">
        <f>SUMIFS('4.2 Program Budget 2028-2031'!W:W,'4.2 Program Budget 2028-2031'!$D:$D,$B27,'4.2 Program Budget 2028-2031'!$F:$F,README!$M$9)</f>
        <v>0</v>
      </c>
      <c r="AK27" s="759">
        <f>SUMIFS('4.2 Program Budget 2028-2031'!X:X,'4.2 Program Budget 2028-2031'!$D:$D,$B27,'4.2 Program Budget 2028-2031'!$F:$F,README!$M$9)</f>
        <v>0</v>
      </c>
      <c r="AL27" s="759">
        <f>SUMIFS('4.2 Program Budget 2028-2031'!Y:Y,'4.2 Program Budget 2028-2031'!$D:$D,$B27,'4.2 Program Budget 2028-2031'!$F:$F,README!$M$9)</f>
        <v>0</v>
      </c>
      <c r="AM27" s="758">
        <f>SUMIFS('4.2 Program Budget 2028-2031'!AE:AE,'4.2 Program Budget 2028-2031'!$D:$D,$B27,'4.2 Program Budget 2028-2031'!$F:$F,README!$M$9)</f>
        <v>6298620.0884929541</v>
      </c>
      <c r="AN27" s="759">
        <f>SUMIFS('4.2 Program Budget 2028-2031'!AF:AF,'4.2 Program Budget 2028-2031'!$D:$D,$B27,'4.2 Program Budget 2028-2031'!$F:$F,README!$M$9)</f>
        <v>0</v>
      </c>
      <c r="AO27" s="759">
        <f>SUMIFS('4.2 Program Budget 2028-2031'!AG:AG,'4.2 Program Budget 2028-2031'!$D:$D,$B27,'4.2 Program Budget 2028-2031'!$F:$F,README!$M$9)</f>
        <v>0</v>
      </c>
      <c r="AP27" s="759">
        <f>SUMIFS('4.2 Program Budget 2028-2031'!AH:AH,'4.2 Program Budget 2028-2031'!$D:$D,$B27,'4.2 Program Budget 2028-2031'!$F:$F,README!$M$9)</f>
        <v>0</v>
      </c>
      <c r="AQ27" s="759">
        <f>SUMIFS('4.2 Program Budget 2028-2031'!AI:AI,'4.2 Program Budget 2028-2031'!$D:$D,$B27,'4.2 Program Budget 2028-2031'!$F:$F,README!$M$9)</f>
        <v>0</v>
      </c>
      <c r="AR27" s="759">
        <f>SUMIFS('4.2 Program Budget 2028-2031'!AJ:AJ,'4.2 Program Budget 2028-2031'!$D:$D,$B27,'4.2 Program Budget 2028-2031'!$F:$F,README!$M$9)</f>
        <v>0</v>
      </c>
      <c r="AS27" s="758">
        <f>SUMIFS('4.2 Program Budget 2028-2031'!AP:AP,'4.2 Program Budget 2028-2031'!$D:$D,$B27,'4.2 Program Budget 2028-2031'!$F:$F,README!$M$9)</f>
        <v>6500175.9313247288</v>
      </c>
      <c r="AT27" s="759">
        <f>SUMIFS('4.2 Program Budget 2028-2031'!AQ:AQ,'4.2 Program Budget 2028-2031'!$D:$D,$B27,'4.2 Program Budget 2028-2031'!$F:$F,README!$M$9)</f>
        <v>0</v>
      </c>
      <c r="AU27" s="759">
        <f>SUMIFS('4.2 Program Budget 2028-2031'!AR:AR,'4.2 Program Budget 2028-2031'!$D:$D,$B27,'4.2 Program Budget 2028-2031'!$F:$F,README!$M$9)</f>
        <v>0</v>
      </c>
      <c r="AV27" s="759">
        <f>SUMIFS('4.2 Program Budget 2028-2031'!AS:AS,'4.2 Program Budget 2028-2031'!$D:$D,$B27,'4.2 Program Budget 2028-2031'!$F:$F,README!$M$9)</f>
        <v>0</v>
      </c>
      <c r="AW27" s="759">
        <f>SUMIFS('4.2 Program Budget 2028-2031'!AT:AT,'4.2 Program Budget 2028-2031'!$D:$D,$B27,'4.2 Program Budget 2028-2031'!$F:$F,README!$M$9)</f>
        <v>0</v>
      </c>
      <c r="AX27" s="759">
        <f>SUMIFS('4.2 Program Budget 2028-2031'!AU:AU,'4.2 Program Budget 2028-2031'!$D:$D,$B27,'4.2 Program Budget 2028-2031'!$F:$F,README!$M$9)</f>
        <v>0</v>
      </c>
      <c r="AZ27" s="761"/>
      <c r="BB27" s="1140"/>
      <c r="BC27" s="1141"/>
      <c r="BD27" s="1141"/>
      <c r="BE27" s="1141"/>
    </row>
    <row r="28" spans="1:57">
      <c r="A28" s="245">
        <v>2</v>
      </c>
      <c r="B28" s="757" t="s">
        <v>34</v>
      </c>
      <c r="C28" s="25">
        <f>SUMIFS('4.1 Program Budget - 2024-2027'!S:S,'4.1 Program Budget - 2024-2027'!$G:$G,$B28,'4.1 Program Budget - 2024-2027'!$H:$H,README!$M$9)</f>
        <v>525447.51849025069</v>
      </c>
      <c r="D28" s="1139">
        <f>SUMIFS('4.1 Program Budget - 2024-2027'!W:W,'4.1 Program Budget - 2024-2027'!$G:$G,$B28,'4.1 Program Budget - 2024-2027'!$H:$H,README!$M$9)</f>
        <v>0</v>
      </c>
      <c r="E28" s="1139">
        <f>SUMIFS('4.1 Program Budget - 2024-2027'!X:X,'4.1 Program Budget - 2024-2027'!$G:$G,$B28,'4.1 Program Budget - 2024-2027'!$H:$H,README!$M$9)</f>
        <v>0</v>
      </c>
      <c r="F28" s="1139">
        <f>SUMIFS('4.1 Program Budget - 2024-2027'!Y:Y,'4.1 Program Budget - 2024-2027'!$G:$G,$B28,'4.1 Program Budget - 2024-2027'!$H:$H,README!$M$9)</f>
        <v>0</v>
      </c>
      <c r="G28" s="1139">
        <f>SUMIFS('4.1 Program Budget - 2024-2027'!Z:Z,'4.1 Program Budget - 2024-2027'!$G:$G,$B28,'4.1 Program Budget - 2024-2027'!$H:$H,README!$M$9)</f>
        <v>0</v>
      </c>
      <c r="H28" s="1139">
        <f>SUMIFS('4.1 Program Budget - 2024-2027'!AA:AA,'4.1 Program Budget - 2024-2027'!$G:$G,$B28,'4.1 Program Budget - 2024-2027'!$H:$H,README!$M$9)</f>
        <v>0</v>
      </c>
      <c r="I28" s="25">
        <f>SUMIFS('4.1 Program Budget - 2024-2027'!AK:AK,'4.1 Program Budget - 2024-2027'!$G:$G,$B28,'4.1 Program Budget - 2024-2027'!$H:$H,README!$M$9)</f>
        <v>532117.84258812142</v>
      </c>
      <c r="J28" s="759">
        <f>SUMIFS('4.1 Program Budget - 2024-2027'!AO:AO,'4.1 Program Budget - 2024-2027'!$G:$G,$B28,'4.1 Program Budget - 2024-2027'!$H:$H,README!$M$9)</f>
        <v>0</v>
      </c>
      <c r="K28" s="759">
        <f>SUMIFS('4.1 Program Budget - 2024-2027'!AP:AP,'4.1 Program Budget - 2024-2027'!$G:$G,$B28,'4.1 Program Budget - 2024-2027'!$H:$H,README!$M$9)</f>
        <v>0</v>
      </c>
      <c r="L28" s="759">
        <f>SUMIFS('4.1 Program Budget - 2024-2027'!AQ:AQ,'4.1 Program Budget - 2024-2027'!$G:$G,$B28,'4.1 Program Budget - 2024-2027'!$H:$H,README!$M$9)</f>
        <v>0</v>
      </c>
      <c r="M28" s="1139">
        <f>SUMIFS('4.1 Program Budget - 2024-2027'!AR:AR,'4.1 Program Budget - 2024-2027'!$G:$G,$B28,'4.1 Program Budget - 2024-2027'!$H:$H,README!$M$9)</f>
        <v>0</v>
      </c>
      <c r="N28" s="1139">
        <f>SUMIFS('4.1 Program Budget - 2024-2027'!AS:AS,'4.1 Program Budget - 2024-2027'!$G:$G,$B28,'4.1 Program Budget - 2024-2027'!$H:$H,README!$M$9)</f>
        <v>0</v>
      </c>
      <c r="O28" s="25">
        <f>SUMIFS('4.1 Program Budget - 2024-2027'!BC:BC,'4.1 Program Budget - 2024-2027'!$G:$G,$B28,'4.1 Program Budget - 2024-2027'!$H:$H,README!$M$9)</f>
        <v>540827.89167846448</v>
      </c>
      <c r="P28" s="759">
        <f>SUMIFS('4.1 Program Budget - 2024-2027'!BG:BG,'4.1 Program Budget - 2024-2027'!$G:$G,$B28,'4.1 Program Budget - 2024-2027'!$H:$H,README!$M$9)</f>
        <v>0</v>
      </c>
      <c r="Q28" s="759">
        <f>SUMIFS('4.1 Program Budget - 2024-2027'!BH:BH,'4.1 Program Budget - 2024-2027'!$G:$G,$B28,'4.1 Program Budget - 2024-2027'!$H:$H,README!$M$9)</f>
        <v>0</v>
      </c>
      <c r="R28" s="759">
        <f>SUMIFS('4.1 Program Budget - 2024-2027'!BI:BI,'4.1 Program Budget - 2024-2027'!$G:$G,$B28,'4.1 Program Budget - 2024-2027'!$H:$H,README!$M$9)</f>
        <v>0</v>
      </c>
      <c r="S28" s="1139">
        <f>SUMIFS('4.1 Program Budget - 2024-2027'!BJ:BJ,'4.1 Program Budget - 2024-2027'!$G:$G,$B28,'4.1 Program Budget - 2024-2027'!$H:$H,README!$M$9)</f>
        <v>0</v>
      </c>
      <c r="T28" s="1139">
        <f>SUMIFS('4.1 Program Budget - 2024-2027'!BK:BK,'4.1 Program Budget - 2024-2027'!$G:$G,$B28,'4.1 Program Budget - 2024-2027'!$H:$H,README!$M$9)</f>
        <v>0</v>
      </c>
      <c r="U28" s="25">
        <f>SUMIFS('4.1 Program Budget - 2024-2027'!BU:BU,'4.1 Program Budget - 2024-2027'!$G:$G,$B28,'4.1 Program Budget - 2024-2027'!$H:$H,README!$M$9)</f>
        <v>551308.91411495325</v>
      </c>
      <c r="V28" s="759">
        <f>SUMIFS('4.1 Program Budget - 2024-2027'!BY:BY,'4.1 Program Budget - 2024-2027'!$G:$G,$B28,'4.1 Program Budget - 2024-2027'!$H:$H,README!$M$9)</f>
        <v>0</v>
      </c>
      <c r="W28" s="759">
        <f>SUMIFS('4.1 Program Budget - 2024-2027'!BZ:BZ,'4.1 Program Budget - 2024-2027'!$G:$G,$B28,'4.1 Program Budget - 2024-2027'!$H:$H,README!$M$9)</f>
        <v>0</v>
      </c>
      <c r="X28" s="759">
        <f>SUMIFS('4.1 Program Budget - 2024-2027'!CA:CA,'4.1 Program Budget - 2024-2027'!$G:$G,$B28,'4.1 Program Budget - 2024-2027'!$H:$H,README!$M$9)</f>
        <v>0</v>
      </c>
      <c r="Y28" s="1139">
        <f>SUMIFS('4.1 Program Budget - 2024-2027'!CB:CB,'4.1 Program Budget - 2024-2027'!$G:$G,$B28,'4.1 Program Budget - 2024-2027'!$H:$H,README!$M$9)</f>
        <v>0</v>
      </c>
      <c r="Z28" s="1139">
        <f>SUMIFS('4.1 Program Budget - 2024-2027'!CC:CC,'4.1 Program Budget - 2024-2027'!$G:$G,$B28,'4.1 Program Budget - 2024-2027'!$H:$H,README!$M$9)</f>
        <v>0</v>
      </c>
      <c r="AA28" s="758">
        <f>SUMIFS('4.2 Program Budget 2028-2031'!I:I,'4.2 Program Budget 2028-2031'!D:D,B28,'4.2 Program Budget 2028-2031'!F:F,README!$M$9)</f>
        <v>568950.79936663178</v>
      </c>
      <c r="AB28" s="759">
        <f>SUMIFS('4.2 Program Budget 2028-2031'!J:J,'4.2 Program Budget 2028-2031'!$D:$D,$B28,'4.2 Program Budget 2028-2031'!$F:$F,README!$M$9)</f>
        <v>0</v>
      </c>
      <c r="AC28" s="759">
        <f>SUMIFS('4.2 Program Budget 2028-2031'!K:K,'4.2 Program Budget 2028-2031'!$D:$D,$B28,'4.2 Program Budget 2028-2031'!$F:$F,README!$M$9)</f>
        <v>0</v>
      </c>
      <c r="AD28" s="759">
        <f>SUMIFS('4.2 Program Budget 2028-2031'!L:L,'4.2 Program Budget 2028-2031'!$D:$D,$B28,'4.2 Program Budget 2028-2031'!$F:$F,README!$M$9)</f>
        <v>0</v>
      </c>
      <c r="AE28" s="759">
        <f>SUMIFS('4.2 Program Budget 2028-2031'!M:M,'4.2 Program Budget 2028-2031'!$D:$D,$B28,'4.2 Program Budget 2028-2031'!$F:$F,README!$M$9)</f>
        <v>0</v>
      </c>
      <c r="AF28" s="759">
        <f>SUMIFS('4.2 Program Budget 2028-2031'!N:N,'4.2 Program Budget 2028-2031'!$D:$D,$B28,'4.2 Program Budget 2028-2031'!$F:$F,README!$M$9)</f>
        <v>0</v>
      </c>
      <c r="AG28" s="758">
        <f>SUMIFS('4.2 Program Budget 2028-2031'!T:T,'4.2 Program Budget 2028-2031'!$D:$D,$B28,'4.2 Program Budget 2028-2031'!$F:$F,README!$M$9)</f>
        <v>587157.22494636406</v>
      </c>
      <c r="AH28" s="759">
        <f>SUMIFS('4.2 Program Budget 2028-2031'!U:U,'4.2 Program Budget 2028-2031'!$D:$D,$B28,'4.2 Program Budget 2028-2031'!$F:$F,README!$M$9)</f>
        <v>0</v>
      </c>
      <c r="AI28" s="759">
        <f>SUMIFS('4.2 Program Budget 2028-2031'!V:V,'4.2 Program Budget 2028-2031'!$D:$D,$B28,'4.2 Program Budget 2028-2031'!$F:$F,README!$M$9)</f>
        <v>0</v>
      </c>
      <c r="AJ28" s="759">
        <f>SUMIFS('4.2 Program Budget 2028-2031'!W:W,'4.2 Program Budget 2028-2031'!$D:$D,$B28,'4.2 Program Budget 2028-2031'!$F:$F,README!$M$9)</f>
        <v>0</v>
      </c>
      <c r="AK28" s="759">
        <f>SUMIFS('4.2 Program Budget 2028-2031'!X:X,'4.2 Program Budget 2028-2031'!$D:$D,$B28,'4.2 Program Budget 2028-2031'!$F:$F,README!$M$9)</f>
        <v>0</v>
      </c>
      <c r="AL28" s="759">
        <f>SUMIFS('4.2 Program Budget 2028-2031'!Y:Y,'4.2 Program Budget 2028-2031'!$D:$D,$B28,'4.2 Program Budget 2028-2031'!$F:$F,README!$M$9)</f>
        <v>0</v>
      </c>
      <c r="AM28" s="758">
        <f>SUMIFS('4.2 Program Budget 2028-2031'!AE:AE,'4.2 Program Budget 2028-2031'!$D:$D,$B28,'4.2 Program Budget 2028-2031'!$F:$F,README!$M$9)</f>
        <v>605946.25614464772</v>
      </c>
      <c r="AN28" s="759">
        <f>SUMIFS('4.2 Program Budget 2028-2031'!AF:AF,'4.2 Program Budget 2028-2031'!$D:$D,$B28,'4.2 Program Budget 2028-2031'!$F:$F,README!$M$9)</f>
        <v>0</v>
      </c>
      <c r="AO28" s="759">
        <f>SUMIFS('4.2 Program Budget 2028-2031'!AG:AG,'4.2 Program Budget 2028-2031'!$D:$D,$B28,'4.2 Program Budget 2028-2031'!$F:$F,README!$M$9)</f>
        <v>0</v>
      </c>
      <c r="AP28" s="759">
        <f>SUMIFS('4.2 Program Budget 2028-2031'!AH:AH,'4.2 Program Budget 2028-2031'!$D:$D,$B28,'4.2 Program Budget 2028-2031'!$F:$F,README!$M$9)</f>
        <v>0</v>
      </c>
      <c r="AQ28" s="759">
        <f>SUMIFS('4.2 Program Budget 2028-2031'!AI:AI,'4.2 Program Budget 2028-2031'!$D:$D,$B28,'4.2 Program Budget 2028-2031'!$F:$F,README!$M$9)</f>
        <v>0</v>
      </c>
      <c r="AR28" s="759">
        <f>SUMIFS('4.2 Program Budget 2028-2031'!AJ:AJ,'4.2 Program Budget 2028-2031'!$D:$D,$B28,'4.2 Program Budget 2028-2031'!$F:$F,README!$M$9)</f>
        <v>0</v>
      </c>
      <c r="AS28" s="758">
        <f>SUMIFS('4.2 Program Budget 2028-2031'!AP:AP,'4.2 Program Budget 2028-2031'!$D:$D,$B28,'4.2 Program Budget 2028-2031'!$F:$F,README!$M$9)</f>
        <v>625336.53634127649</v>
      </c>
      <c r="AT28" s="759">
        <f>SUMIFS('4.2 Program Budget 2028-2031'!AQ:AQ,'4.2 Program Budget 2028-2031'!$D:$D,$B28,'4.2 Program Budget 2028-2031'!$F:$F,README!$M$9)</f>
        <v>0</v>
      </c>
      <c r="AU28" s="759">
        <f>SUMIFS('4.2 Program Budget 2028-2031'!AR:AR,'4.2 Program Budget 2028-2031'!$D:$D,$B28,'4.2 Program Budget 2028-2031'!$F:$F,README!$M$9)</f>
        <v>0</v>
      </c>
      <c r="AV28" s="759">
        <f>SUMIFS('4.2 Program Budget 2028-2031'!AS:AS,'4.2 Program Budget 2028-2031'!$D:$D,$B28,'4.2 Program Budget 2028-2031'!$F:$F,README!$M$9)</f>
        <v>0</v>
      </c>
      <c r="AW28" s="759">
        <f>SUMIFS('4.2 Program Budget 2028-2031'!AT:AT,'4.2 Program Budget 2028-2031'!$D:$D,$B28,'4.2 Program Budget 2028-2031'!$F:$F,README!$M$9)</f>
        <v>0</v>
      </c>
      <c r="AX28" s="759">
        <f>SUMIFS('4.2 Program Budget 2028-2031'!AU:AU,'4.2 Program Budget 2028-2031'!$D:$D,$B28,'4.2 Program Budget 2028-2031'!$F:$F,README!$M$9)</f>
        <v>0</v>
      </c>
      <c r="AZ28" s="761"/>
      <c r="BB28" s="1140"/>
      <c r="BC28" s="1141"/>
      <c r="BD28" s="1141"/>
      <c r="BE28" s="1141"/>
    </row>
    <row r="29" spans="1:57">
      <c r="A29" s="245">
        <v>3</v>
      </c>
      <c r="B29" s="757" t="s">
        <v>36</v>
      </c>
      <c r="C29" s="25">
        <f>SUMIFS('4.1 Program Budget - 2024-2027'!S:S,'4.1 Program Budget - 2024-2027'!$G:$G,$B29,'4.1 Program Budget - 2024-2027'!$H:$H,README!$M$9)</f>
        <v>0</v>
      </c>
      <c r="D29" s="1139">
        <f>SUMIFS('4.1 Program Budget - 2024-2027'!W:W,'4.1 Program Budget - 2024-2027'!$G:$G,$B29,'4.1 Program Budget - 2024-2027'!$H:$H,README!$M$9)</f>
        <v>0</v>
      </c>
      <c r="E29" s="1139">
        <f>SUMIFS('4.1 Program Budget - 2024-2027'!X:X,'4.1 Program Budget - 2024-2027'!$G:$G,$B29,'4.1 Program Budget - 2024-2027'!$H:$H,README!$M$9)</f>
        <v>0</v>
      </c>
      <c r="F29" s="1139">
        <f>SUMIFS('4.1 Program Budget - 2024-2027'!Y:Y,'4.1 Program Budget - 2024-2027'!$G:$G,$B29,'4.1 Program Budget - 2024-2027'!$H:$H,README!$M$9)</f>
        <v>0</v>
      </c>
      <c r="G29" s="1139">
        <f>SUMIFS('4.1 Program Budget - 2024-2027'!Z:Z,'4.1 Program Budget - 2024-2027'!$G:$G,$B29,'4.1 Program Budget - 2024-2027'!$H:$H,README!$M$9)</f>
        <v>0</v>
      </c>
      <c r="H29" s="1139">
        <f>SUMIFS('4.1 Program Budget - 2024-2027'!AA:AA,'4.1 Program Budget - 2024-2027'!$G:$G,$B29,'4.1 Program Budget - 2024-2027'!$H:$H,README!$M$9)</f>
        <v>0</v>
      </c>
      <c r="I29" s="25">
        <f>SUMIFS('4.1 Program Budget - 2024-2027'!AK:AK,'4.1 Program Budget - 2024-2027'!$G:$G,$B29,'4.1 Program Budget - 2024-2027'!$H:$H,README!$M$9)</f>
        <v>0</v>
      </c>
      <c r="J29" s="759">
        <f>SUMIFS('4.1 Program Budget - 2024-2027'!AO:AO,'4.1 Program Budget - 2024-2027'!$G:$G,$B29,'4.1 Program Budget - 2024-2027'!$H:$H,README!$M$9)</f>
        <v>0</v>
      </c>
      <c r="K29" s="759">
        <f>SUMIFS('4.1 Program Budget - 2024-2027'!AP:AP,'4.1 Program Budget - 2024-2027'!$G:$G,$B29,'4.1 Program Budget - 2024-2027'!$H:$H,README!$M$9)</f>
        <v>0</v>
      </c>
      <c r="L29" s="759">
        <f>SUMIFS('4.1 Program Budget - 2024-2027'!AQ:AQ,'4.1 Program Budget - 2024-2027'!$G:$G,$B29,'4.1 Program Budget - 2024-2027'!$H:$H,README!$M$9)</f>
        <v>0</v>
      </c>
      <c r="M29" s="1139">
        <f>SUMIFS('4.1 Program Budget - 2024-2027'!AR:AR,'4.1 Program Budget - 2024-2027'!$G:$G,$B29,'4.1 Program Budget - 2024-2027'!$H:$H,README!$M$9)</f>
        <v>0</v>
      </c>
      <c r="N29" s="1139">
        <f>SUMIFS('4.1 Program Budget - 2024-2027'!AS:AS,'4.1 Program Budget - 2024-2027'!$G:$G,$B29,'4.1 Program Budget - 2024-2027'!$H:$H,README!$M$9)</f>
        <v>0</v>
      </c>
      <c r="O29" s="25">
        <f>SUMIFS('4.1 Program Budget - 2024-2027'!BC:BC,'4.1 Program Budget - 2024-2027'!$G:$G,$B29,'4.1 Program Budget - 2024-2027'!$H:$H,README!$M$9)</f>
        <v>0</v>
      </c>
      <c r="P29" s="759">
        <f>SUMIFS('4.1 Program Budget - 2024-2027'!BG:BG,'4.1 Program Budget - 2024-2027'!$G:$G,$B29,'4.1 Program Budget - 2024-2027'!$H:$H,README!$M$9)</f>
        <v>0</v>
      </c>
      <c r="Q29" s="759">
        <f>SUMIFS('4.1 Program Budget - 2024-2027'!BH:BH,'4.1 Program Budget - 2024-2027'!$G:$G,$B29,'4.1 Program Budget - 2024-2027'!$H:$H,README!$M$9)</f>
        <v>0</v>
      </c>
      <c r="R29" s="759">
        <f>SUMIFS('4.1 Program Budget - 2024-2027'!BI:BI,'4.1 Program Budget - 2024-2027'!$G:$G,$B29,'4.1 Program Budget - 2024-2027'!$H:$H,README!$M$9)</f>
        <v>0</v>
      </c>
      <c r="S29" s="1139">
        <f>SUMIFS('4.1 Program Budget - 2024-2027'!BJ:BJ,'4.1 Program Budget - 2024-2027'!$G:$G,$B29,'4.1 Program Budget - 2024-2027'!$H:$H,README!$M$9)</f>
        <v>0</v>
      </c>
      <c r="T29" s="1139">
        <f>SUMIFS('4.1 Program Budget - 2024-2027'!BK:BK,'4.1 Program Budget - 2024-2027'!$G:$G,$B29,'4.1 Program Budget - 2024-2027'!$H:$H,README!$M$9)</f>
        <v>0</v>
      </c>
      <c r="U29" s="25">
        <f>SUMIFS('4.1 Program Budget - 2024-2027'!BU:BU,'4.1 Program Budget - 2024-2027'!$G:$G,$B29,'4.1 Program Budget - 2024-2027'!$H:$H,README!$M$9)</f>
        <v>0</v>
      </c>
      <c r="V29" s="759">
        <f>SUMIFS('4.1 Program Budget - 2024-2027'!BY:BY,'4.1 Program Budget - 2024-2027'!$G:$G,$B29,'4.1 Program Budget - 2024-2027'!$H:$H,README!$M$9)</f>
        <v>0</v>
      </c>
      <c r="W29" s="759">
        <f>SUMIFS('4.1 Program Budget - 2024-2027'!BZ:BZ,'4.1 Program Budget - 2024-2027'!$G:$G,$B29,'4.1 Program Budget - 2024-2027'!$H:$H,README!$M$9)</f>
        <v>0</v>
      </c>
      <c r="X29" s="759">
        <f>SUMIFS('4.1 Program Budget - 2024-2027'!CA:CA,'4.1 Program Budget - 2024-2027'!$G:$G,$B29,'4.1 Program Budget - 2024-2027'!$H:$H,README!$M$9)</f>
        <v>0</v>
      </c>
      <c r="Y29" s="1139">
        <f>SUMIFS('4.1 Program Budget - 2024-2027'!CB:CB,'4.1 Program Budget - 2024-2027'!$G:$G,$B29,'4.1 Program Budget - 2024-2027'!$H:$H,README!$M$9)</f>
        <v>0</v>
      </c>
      <c r="Z29" s="1139">
        <f>SUMIFS('4.1 Program Budget - 2024-2027'!CC:CC,'4.1 Program Budget - 2024-2027'!$G:$G,$B29,'4.1 Program Budget - 2024-2027'!$H:$H,README!$M$9)</f>
        <v>0</v>
      </c>
      <c r="AA29" s="758">
        <f>SUMIFS('4.2 Program Budget 2028-2031'!I:I,'4.2 Program Budget 2028-2031'!D:D,B29,'4.2 Program Budget 2028-2031'!F:F,README!$M$9)</f>
        <v>0</v>
      </c>
      <c r="AB29" s="759">
        <f>SUMIFS('4.2 Program Budget 2028-2031'!J:J,'4.2 Program Budget 2028-2031'!$D:$D,$B29,'4.2 Program Budget 2028-2031'!$F:$F,README!$M$9)</f>
        <v>0</v>
      </c>
      <c r="AC29" s="759">
        <f>SUMIFS('4.2 Program Budget 2028-2031'!K:K,'4.2 Program Budget 2028-2031'!$D:$D,$B29,'4.2 Program Budget 2028-2031'!$F:$F,README!$M$9)</f>
        <v>0</v>
      </c>
      <c r="AD29" s="759">
        <f>SUMIFS('4.2 Program Budget 2028-2031'!L:L,'4.2 Program Budget 2028-2031'!$D:$D,$B29,'4.2 Program Budget 2028-2031'!$F:$F,README!$M$9)</f>
        <v>0</v>
      </c>
      <c r="AE29" s="759">
        <f>SUMIFS('4.2 Program Budget 2028-2031'!M:M,'4.2 Program Budget 2028-2031'!$D:$D,$B29,'4.2 Program Budget 2028-2031'!$F:$F,README!$M$9)</f>
        <v>0</v>
      </c>
      <c r="AF29" s="759">
        <f>SUMIFS('4.2 Program Budget 2028-2031'!N:N,'4.2 Program Budget 2028-2031'!$D:$D,$B29,'4.2 Program Budget 2028-2031'!$F:$F,README!$M$9)</f>
        <v>0</v>
      </c>
      <c r="AG29" s="758">
        <f>SUMIFS('4.2 Program Budget 2028-2031'!T:T,'4.2 Program Budget 2028-2031'!$D:$D,$B29,'4.2 Program Budget 2028-2031'!$F:$F,README!$M$9)</f>
        <v>0</v>
      </c>
      <c r="AH29" s="759">
        <f>SUMIFS('4.2 Program Budget 2028-2031'!U:U,'4.2 Program Budget 2028-2031'!$D:$D,$B29,'4.2 Program Budget 2028-2031'!$F:$F,README!$M$9)</f>
        <v>0</v>
      </c>
      <c r="AI29" s="759">
        <f>SUMIFS('4.2 Program Budget 2028-2031'!V:V,'4.2 Program Budget 2028-2031'!$D:$D,$B29,'4.2 Program Budget 2028-2031'!$F:$F,README!$M$9)</f>
        <v>0</v>
      </c>
      <c r="AJ29" s="759">
        <f>SUMIFS('4.2 Program Budget 2028-2031'!W:W,'4.2 Program Budget 2028-2031'!$D:$D,$B29,'4.2 Program Budget 2028-2031'!$F:$F,README!$M$9)</f>
        <v>0</v>
      </c>
      <c r="AK29" s="759">
        <f>SUMIFS('4.2 Program Budget 2028-2031'!X:X,'4.2 Program Budget 2028-2031'!$D:$D,$B29,'4.2 Program Budget 2028-2031'!$F:$F,README!$M$9)</f>
        <v>0</v>
      </c>
      <c r="AL29" s="759">
        <f>SUMIFS('4.2 Program Budget 2028-2031'!Y:Y,'4.2 Program Budget 2028-2031'!$D:$D,$B29,'4.2 Program Budget 2028-2031'!$F:$F,README!$M$9)</f>
        <v>0</v>
      </c>
      <c r="AM29" s="758">
        <f>SUMIFS('4.2 Program Budget 2028-2031'!AE:AE,'4.2 Program Budget 2028-2031'!$D:$D,$B29,'4.2 Program Budget 2028-2031'!$F:$F,README!$M$9)</f>
        <v>0</v>
      </c>
      <c r="AN29" s="759">
        <f>SUMIFS('4.2 Program Budget 2028-2031'!AF:AF,'4.2 Program Budget 2028-2031'!$D:$D,$B29,'4.2 Program Budget 2028-2031'!$F:$F,README!$M$9)</f>
        <v>0</v>
      </c>
      <c r="AO29" s="759">
        <f>SUMIFS('4.2 Program Budget 2028-2031'!AG:AG,'4.2 Program Budget 2028-2031'!$D:$D,$B29,'4.2 Program Budget 2028-2031'!$F:$F,README!$M$9)</f>
        <v>0</v>
      </c>
      <c r="AP29" s="759">
        <f>SUMIFS('4.2 Program Budget 2028-2031'!AH:AH,'4.2 Program Budget 2028-2031'!$D:$D,$B29,'4.2 Program Budget 2028-2031'!$F:$F,README!$M$9)</f>
        <v>0</v>
      </c>
      <c r="AQ29" s="759">
        <f>SUMIFS('4.2 Program Budget 2028-2031'!AI:AI,'4.2 Program Budget 2028-2031'!$D:$D,$B29,'4.2 Program Budget 2028-2031'!$F:$F,README!$M$9)</f>
        <v>0</v>
      </c>
      <c r="AR29" s="759">
        <f>SUMIFS('4.2 Program Budget 2028-2031'!AJ:AJ,'4.2 Program Budget 2028-2031'!$D:$D,$B29,'4.2 Program Budget 2028-2031'!$F:$F,README!$M$9)</f>
        <v>0</v>
      </c>
      <c r="AS29" s="758">
        <f>SUMIFS('4.2 Program Budget 2028-2031'!AP:AP,'4.2 Program Budget 2028-2031'!$D:$D,$B29,'4.2 Program Budget 2028-2031'!$F:$F,README!$M$9)</f>
        <v>0</v>
      </c>
      <c r="AT29" s="759">
        <f>SUMIFS('4.2 Program Budget 2028-2031'!AQ:AQ,'4.2 Program Budget 2028-2031'!$D:$D,$B29,'4.2 Program Budget 2028-2031'!$F:$F,README!$M$9)</f>
        <v>0</v>
      </c>
      <c r="AU29" s="759">
        <f>SUMIFS('4.2 Program Budget 2028-2031'!AR:AR,'4.2 Program Budget 2028-2031'!$D:$D,$B29,'4.2 Program Budget 2028-2031'!$F:$F,README!$M$9)</f>
        <v>0</v>
      </c>
      <c r="AV29" s="759">
        <f>SUMIFS('4.2 Program Budget 2028-2031'!AS:AS,'4.2 Program Budget 2028-2031'!$D:$D,$B29,'4.2 Program Budget 2028-2031'!$F:$F,README!$M$9)</f>
        <v>0</v>
      </c>
      <c r="AW29" s="759">
        <f>SUMIFS('4.2 Program Budget 2028-2031'!AT:AT,'4.2 Program Budget 2028-2031'!$D:$D,$B29,'4.2 Program Budget 2028-2031'!$F:$F,README!$M$9)</f>
        <v>0</v>
      </c>
      <c r="AX29" s="759">
        <f>SUMIFS('4.2 Program Budget 2028-2031'!AU:AU,'4.2 Program Budget 2028-2031'!$D:$D,$B29,'4.2 Program Budget 2028-2031'!$F:$F,README!$M$9)</f>
        <v>0</v>
      </c>
      <c r="AZ29" s="761"/>
      <c r="BB29" s="1140"/>
      <c r="BC29" s="1141"/>
      <c r="BD29" s="1141"/>
      <c r="BE29" s="1141"/>
    </row>
    <row r="30" spans="1:57">
      <c r="A30" s="245">
        <v>4</v>
      </c>
      <c r="B30" s="19" t="s">
        <v>958</v>
      </c>
      <c r="C30" s="31">
        <f>SUM(C21:C29)</f>
        <v>22403255.862152651</v>
      </c>
      <c r="D30" s="1142">
        <f t="shared" ref="D30:F30" si="10">SUM(D21:D29)</f>
        <v>801940.11</v>
      </c>
      <c r="E30" s="1142">
        <f t="shared" si="10"/>
        <v>8.5500000000000007</v>
      </c>
      <c r="F30" s="1142">
        <f t="shared" si="10"/>
        <v>782394.7709</v>
      </c>
      <c r="G30" s="31">
        <f t="shared" ref="G30" si="11">SUM(G21:G29)</f>
        <v>155.19999999999999</v>
      </c>
      <c r="H30" s="31">
        <f t="shared" ref="H30" si="12">SUM(H21:H29)</f>
        <v>6199.49</v>
      </c>
      <c r="I30" s="31">
        <f>SUM(I21:I29)</f>
        <v>22571993.615870696</v>
      </c>
      <c r="J30" s="1142">
        <f t="shared" ref="J30:N30" si="13">SUM(J21:J29)</f>
        <v>801940.10600000003</v>
      </c>
      <c r="K30" s="1142">
        <f t="shared" si="13"/>
        <v>8.5503</v>
      </c>
      <c r="L30" s="1142">
        <f t="shared" si="13"/>
        <v>795317.94799999997</v>
      </c>
      <c r="M30" s="31">
        <f t="shared" si="13"/>
        <v>179.1021499</v>
      </c>
      <c r="N30" s="31">
        <f t="shared" si="13"/>
        <v>6278.4890957999996</v>
      </c>
      <c r="O30" s="31">
        <f>SUM(O21:O29)</f>
        <v>22789893.905789729</v>
      </c>
      <c r="P30" s="1142">
        <f t="shared" ref="P30:T30" si="14">SUM(P21:P29)</f>
        <v>801940.10600000003</v>
      </c>
      <c r="Q30" s="1142">
        <f t="shared" si="14"/>
        <v>8.5503</v>
      </c>
      <c r="R30" s="1142">
        <f t="shared" si="14"/>
        <v>631466.94799999997</v>
      </c>
      <c r="S30" s="31">
        <f t="shared" si="14"/>
        <v>186.59561780000001</v>
      </c>
      <c r="T30" s="31">
        <f t="shared" si="14"/>
        <v>5279.4890957999996</v>
      </c>
      <c r="U30" s="31">
        <f>SUM(U21:U29)</f>
        <v>22788975.235632453</v>
      </c>
      <c r="V30" s="1142">
        <f t="shared" ref="V30:Z30" si="15">SUM(V21:V29)</f>
        <v>801940.10600000003</v>
      </c>
      <c r="W30" s="1142">
        <f t="shared" si="15"/>
        <v>8.5503</v>
      </c>
      <c r="X30" s="1142">
        <f t="shared" si="15"/>
        <v>518690.94799999997</v>
      </c>
      <c r="Y30" s="31">
        <f t="shared" si="15"/>
        <v>203.33717089999999</v>
      </c>
      <c r="Z30" s="31">
        <f t="shared" si="15"/>
        <v>4587.4890957999996</v>
      </c>
      <c r="AA30" s="31">
        <f>SUM(AA21:AA29)</f>
        <v>23518222.443172693</v>
      </c>
      <c r="AB30" s="1142">
        <f t="shared" ref="AB30:AF30" si="16">SUM(AB21:AB29)</f>
        <v>2977431.44</v>
      </c>
      <c r="AC30" s="1142">
        <f t="shared" si="16"/>
        <v>606.37</v>
      </c>
      <c r="AD30" s="1142">
        <f t="shared" si="16"/>
        <v>173494.64</v>
      </c>
      <c r="AE30" s="31">
        <f t="shared" si="16"/>
        <v>607.21</v>
      </c>
      <c r="AF30" s="31">
        <f t="shared" si="16"/>
        <v>1015.07</v>
      </c>
      <c r="AG30" s="31">
        <f>SUM(AG21:AG29)</f>
        <v>24270805.561354224</v>
      </c>
      <c r="AH30" s="1142">
        <f t="shared" ref="AH30:AL30" si="17">SUM(AH21:AH29)</f>
        <v>3003915</v>
      </c>
      <c r="AI30" s="1142">
        <f t="shared" si="17"/>
        <v>607</v>
      </c>
      <c r="AJ30" s="1142">
        <f t="shared" si="17"/>
        <v>176201</v>
      </c>
      <c r="AK30" s="31">
        <f t="shared" si="17"/>
        <v>539</v>
      </c>
      <c r="AL30" s="31">
        <f t="shared" si="17"/>
        <v>1031</v>
      </c>
      <c r="AM30" s="31">
        <f>SUM(AM21:AM29)</f>
        <v>25047471.339317556</v>
      </c>
      <c r="AN30" s="1142">
        <f t="shared" ref="AN30:AR30" si="18">SUM(AN21:AN29)</f>
        <v>3031245</v>
      </c>
      <c r="AO30" s="1142">
        <f t="shared" si="18"/>
        <v>607</v>
      </c>
      <c r="AP30" s="1142">
        <f t="shared" si="18"/>
        <v>178995</v>
      </c>
      <c r="AQ30" s="31">
        <f t="shared" si="18"/>
        <v>551</v>
      </c>
      <c r="AR30" s="31">
        <f t="shared" si="18"/>
        <v>1047</v>
      </c>
      <c r="AS30" s="31">
        <f>SUM(AS21:AS29)</f>
        <v>25848990.42217572</v>
      </c>
      <c r="AT30" s="1142">
        <f t="shared" ref="AT30:AX30" si="19">SUM(AT21:AT29)</f>
        <v>3059451</v>
      </c>
      <c r="AU30" s="1142">
        <f t="shared" si="19"/>
        <v>607</v>
      </c>
      <c r="AV30" s="1142">
        <f t="shared" si="19"/>
        <v>181878</v>
      </c>
      <c r="AW30" s="31">
        <f t="shared" si="19"/>
        <v>592</v>
      </c>
      <c r="AX30" s="31">
        <f t="shared" si="19"/>
        <v>1064</v>
      </c>
      <c r="AZ30" s="762" t="s">
        <v>959</v>
      </c>
      <c r="BB30" s="1140"/>
      <c r="BC30" s="1141"/>
      <c r="BD30" s="1141"/>
      <c r="BE30" s="1141"/>
    </row>
    <row r="31" spans="1:57" ht="17.100000000000001" customHeight="1" thickTop="1" thickBot="1">
      <c r="B31" s="23" t="s">
        <v>960</v>
      </c>
      <c r="C31" s="88">
        <v>5948440</v>
      </c>
      <c r="D31" s="766"/>
      <c r="E31" s="767"/>
      <c r="F31" s="768"/>
      <c r="G31" s="767"/>
      <c r="H31" s="767"/>
      <c r="I31" s="88">
        <v>6434367</v>
      </c>
      <c r="J31" s="766"/>
      <c r="K31" s="767"/>
      <c r="L31" s="768"/>
      <c r="M31" s="767"/>
      <c r="N31" s="767"/>
      <c r="O31" s="88">
        <v>5870685</v>
      </c>
      <c r="P31" s="766"/>
      <c r="Q31" s="767"/>
      <c r="R31" s="768"/>
      <c r="S31" s="767"/>
      <c r="T31" s="767"/>
      <c r="U31" s="88">
        <v>5501798</v>
      </c>
      <c r="V31" s="766"/>
      <c r="W31" s="767"/>
      <c r="X31" s="768"/>
      <c r="Y31" s="767"/>
      <c r="Z31" s="767"/>
      <c r="AA31" s="88">
        <v>5269410</v>
      </c>
      <c r="AB31" s="766"/>
      <c r="AC31" s="767"/>
      <c r="AD31" s="768"/>
      <c r="AE31" s="767"/>
      <c r="AF31" s="767"/>
      <c r="AG31" s="88">
        <v>5572922</v>
      </c>
      <c r="AH31" s="766"/>
      <c r="AI31" s="767"/>
      <c r="AJ31" s="768"/>
      <c r="AK31" s="767"/>
      <c r="AL31" s="767"/>
      <c r="AM31" s="88">
        <v>5895043</v>
      </c>
      <c r="AN31" s="766"/>
      <c r="AO31" s="767"/>
      <c r="AP31" s="768"/>
      <c r="AQ31" s="767"/>
      <c r="AR31" s="767"/>
      <c r="AS31" s="88">
        <v>6267572</v>
      </c>
      <c r="AT31" s="766"/>
      <c r="AU31" s="767"/>
      <c r="AV31" s="768"/>
      <c r="AW31" s="767"/>
      <c r="AX31" s="767"/>
      <c r="AZ31" s="761" t="s">
        <v>961</v>
      </c>
      <c r="BB31" s="1140"/>
      <c r="BC31" s="1141"/>
      <c r="BD31" s="1144"/>
      <c r="BE31" s="1141"/>
    </row>
    <row r="32" spans="1:57" ht="16.5" customHeight="1" thickTop="1" thickBot="1">
      <c r="B32" s="23" t="s">
        <v>962</v>
      </c>
      <c r="C32" s="114">
        <v>0.3</v>
      </c>
      <c r="D32" s="766"/>
      <c r="E32" s="767"/>
      <c r="F32" s="768"/>
      <c r="G32" s="767"/>
      <c r="H32" s="767"/>
      <c r="I32" s="114">
        <v>0.33</v>
      </c>
      <c r="J32" s="766"/>
      <c r="K32" s="767"/>
      <c r="L32" s="768"/>
      <c r="M32" s="767"/>
      <c r="N32" s="767"/>
      <c r="O32" s="114">
        <v>0.3</v>
      </c>
      <c r="P32" s="766"/>
      <c r="Q32" s="767"/>
      <c r="R32" s="768"/>
      <c r="S32" s="767"/>
      <c r="T32" s="767"/>
      <c r="U32" s="114">
        <v>0.28999999999999998</v>
      </c>
      <c r="V32" s="766"/>
      <c r="W32" s="767"/>
      <c r="X32" s="768"/>
      <c r="Y32" s="767"/>
      <c r="Z32" s="767"/>
      <c r="AA32" s="114">
        <v>0.27</v>
      </c>
      <c r="AB32" s="766"/>
      <c r="AC32" s="767"/>
      <c r="AD32" s="768"/>
      <c r="AE32" s="767"/>
      <c r="AF32" s="767"/>
      <c r="AG32" s="114">
        <v>0.28000000000000003</v>
      </c>
      <c r="AH32" s="766"/>
      <c r="AI32" s="767"/>
      <c r="AJ32" s="768"/>
      <c r="AK32" s="767"/>
      <c r="AL32" s="767"/>
      <c r="AM32" s="114">
        <v>0.28999999999999998</v>
      </c>
      <c r="AN32" s="766"/>
      <c r="AO32" s="767"/>
      <c r="AP32" s="768"/>
      <c r="AQ32" s="767"/>
      <c r="AR32" s="767"/>
      <c r="AS32" s="114">
        <v>0.3</v>
      </c>
      <c r="AT32" s="766"/>
      <c r="AU32" s="767"/>
      <c r="AV32" s="768"/>
      <c r="AW32" s="767"/>
      <c r="AX32" s="767"/>
      <c r="AZ32" s="1415" t="s">
        <v>963</v>
      </c>
      <c r="BB32" s="1140"/>
      <c r="BC32" s="1141"/>
      <c r="BD32" s="1144"/>
      <c r="BE32" s="1141"/>
    </row>
    <row r="33" spans="1:57">
      <c r="B33" s="23" t="s">
        <v>964</v>
      </c>
      <c r="C33" s="114">
        <v>0.37</v>
      </c>
      <c r="D33" s="766"/>
      <c r="E33" s="767"/>
      <c r="F33" s="768"/>
      <c r="G33" s="767"/>
      <c r="H33" s="767"/>
      <c r="I33" s="114">
        <v>0.4</v>
      </c>
      <c r="J33" s="766"/>
      <c r="K33" s="767"/>
      <c r="L33" s="768"/>
      <c r="M33" s="767"/>
      <c r="N33" s="767"/>
      <c r="O33" s="114">
        <v>0.36</v>
      </c>
      <c r="P33" s="766"/>
      <c r="Q33" s="767"/>
      <c r="R33" s="768"/>
      <c r="S33" s="767"/>
      <c r="T33" s="767"/>
      <c r="U33" s="114">
        <v>0.34</v>
      </c>
      <c r="V33" s="766"/>
      <c r="W33" s="767"/>
      <c r="X33" s="768"/>
      <c r="Y33" s="767"/>
      <c r="Z33" s="767"/>
      <c r="AA33" s="114">
        <v>0.32</v>
      </c>
      <c r="AB33" s="766"/>
      <c r="AC33" s="767"/>
      <c r="AD33" s="768"/>
      <c r="AE33" s="767"/>
      <c r="AF33" s="767"/>
      <c r="AG33" s="114">
        <v>0.33</v>
      </c>
      <c r="AH33" s="766"/>
      <c r="AI33" s="767"/>
      <c r="AJ33" s="768"/>
      <c r="AK33" s="767"/>
      <c r="AL33" s="767"/>
      <c r="AM33" s="114">
        <v>0.33</v>
      </c>
      <c r="AN33" s="766"/>
      <c r="AO33" s="767"/>
      <c r="AP33" s="768"/>
      <c r="AQ33" s="767"/>
      <c r="AR33" s="767"/>
      <c r="AS33" s="114">
        <v>0.34</v>
      </c>
      <c r="AT33" s="766"/>
      <c r="AU33" s="767"/>
      <c r="AV33" s="768"/>
      <c r="AW33" s="767"/>
      <c r="AX33" s="767"/>
      <c r="AZ33" s="1416"/>
      <c r="BB33" s="1140"/>
      <c r="BC33" s="1141"/>
      <c r="BD33" s="1144"/>
      <c r="BE33" s="1141"/>
    </row>
    <row r="34" spans="1:57" ht="31.5" customHeight="1" thickTop="1" thickBot="1">
      <c r="B34" s="38" t="s">
        <v>26</v>
      </c>
      <c r="C34" s="39"/>
      <c r="D34" s="756"/>
      <c r="E34" s="756"/>
      <c r="F34" s="40"/>
      <c r="G34" s="756"/>
      <c r="H34" s="756"/>
      <c r="I34" s="39"/>
      <c r="J34" s="756"/>
      <c r="K34" s="756"/>
      <c r="L34" s="40"/>
      <c r="M34" s="756"/>
      <c r="N34" s="756"/>
      <c r="O34" s="39"/>
      <c r="P34" s="756"/>
      <c r="Q34" s="756"/>
      <c r="R34" s="40"/>
      <c r="S34" s="756"/>
      <c r="T34" s="756"/>
      <c r="U34" s="39"/>
      <c r="V34" s="756"/>
      <c r="W34" s="756"/>
      <c r="X34" s="40"/>
      <c r="Y34" s="756"/>
      <c r="Z34" s="756"/>
      <c r="AA34" s="39"/>
      <c r="AB34" s="756"/>
      <c r="AC34" s="756"/>
      <c r="AD34" s="40"/>
      <c r="AE34" s="756"/>
      <c r="AF34" s="756"/>
      <c r="AG34" s="39"/>
      <c r="AH34" s="756"/>
      <c r="AI34" s="756"/>
      <c r="AJ34" s="40"/>
      <c r="AK34" s="756"/>
      <c r="AL34" s="756"/>
      <c r="AM34" s="39"/>
      <c r="AN34" s="756"/>
      <c r="AO34" s="756"/>
      <c r="AP34" s="40"/>
      <c r="AQ34" s="756"/>
      <c r="AR34" s="756"/>
      <c r="AS34" s="39"/>
      <c r="AT34" s="756"/>
      <c r="AU34" s="756"/>
      <c r="AV34" s="40"/>
      <c r="AW34" s="756"/>
      <c r="AX34" s="756"/>
      <c r="AZ34" s="30"/>
      <c r="BB34" s="1145"/>
    </row>
    <row r="35" spans="1:57" ht="16.5" customHeight="1" thickTop="1" thickBot="1">
      <c r="B35" s="757" t="s">
        <v>17</v>
      </c>
      <c r="C35" s="25">
        <f>SUMIFS('4.1 Program Budget - 2024-2027'!S:S,'4.1 Program Budget - 2024-2027'!$G:$G,$B35,'4.1 Program Budget - 2024-2027'!$H:$H,README!$M$10)</f>
        <v>20205509.439493656</v>
      </c>
      <c r="D35" s="1139">
        <f>SUMIFS('4.1 Program Budget - 2024-2027'!W:W,'4.1 Program Budget - 2024-2027'!$G:$G,$B35,'4.1 Program Budget - 2024-2027'!$H:$H,README!$M$10)</f>
        <v>747634.76</v>
      </c>
      <c r="E35" s="1139">
        <f>SUMIFS('4.1 Program Budget - 2024-2027'!X:X,'4.1 Program Budget - 2024-2027'!$G:$G,$B35,'4.1 Program Budget - 2024-2027'!$H:$H,README!$M$10)</f>
        <v>107.3</v>
      </c>
      <c r="F35" s="1139">
        <f>SUMIFS('4.1 Program Budget - 2024-2027'!Y:Y,'4.1 Program Budget - 2024-2027'!$G:$G,$B35,'4.1 Program Budget - 2024-2027'!$H:$H,README!$M$10)</f>
        <v>698912.03999999992</v>
      </c>
      <c r="G35" s="1139">
        <f>SUMIFS('4.1 Program Budget - 2024-2027'!Z:Z,'4.1 Program Budget - 2024-2027'!$G:$G,$B35,'4.1 Program Budget - 2024-2027'!$H:$H,README!$M$10)</f>
        <v>281.24</v>
      </c>
      <c r="H35" s="1139">
        <f>SUMIFS('4.1 Program Budget - 2024-2027'!AA:AA,'4.1 Program Budget - 2024-2027'!$G:$G,$B35,'4.1 Program Budget - 2024-2027'!$H:$H,README!$M$10)</f>
        <v>4088.6299999999997</v>
      </c>
      <c r="I35" s="25">
        <f>SUMIFS('4.1 Program Budget - 2024-2027'!AK:AK,'4.1 Program Budget - 2024-2027'!$G:$G,$B35,'4.1 Program Budget - 2024-2027'!$H:$H,README!$M$10)</f>
        <v>20234942.596671551</v>
      </c>
      <c r="J35" s="759">
        <f>SUMIFS('4.1 Program Budget - 2024-2027'!AO:AO,'4.1 Program Budget - 2024-2027'!$G:$G,$B35,'4.1 Program Budget - 2024-2027'!$H:$H,README!$M$10)</f>
        <v>747634.76910999999</v>
      </c>
      <c r="K35" s="759">
        <f>SUMIFS('4.1 Program Budget - 2024-2027'!AP:AP,'4.1 Program Budget - 2024-2027'!$G:$G,$B35,'4.1 Program Budget - 2024-2027'!$H:$H,README!$M$10)</f>
        <v>107.30128000000001</v>
      </c>
      <c r="L35" s="759">
        <f>SUMIFS('4.1 Program Budget - 2024-2027'!AQ:AQ,'4.1 Program Budget - 2024-2027'!$G:$G,$B35,'4.1 Program Budget - 2024-2027'!$H:$H,README!$M$10)</f>
        <v>698912.03700000001</v>
      </c>
      <c r="M35" s="1139">
        <f>SUMIFS('4.1 Program Budget - 2024-2027'!AR:AR,'4.1 Program Budget - 2024-2027'!$G:$G,$B35,'4.1 Program Budget - 2024-2027'!$H:$H,README!$M$10)</f>
        <v>310.66080147000002</v>
      </c>
      <c r="N35" s="1139">
        <f>SUMIFS('4.1 Program Budget - 2024-2027'!AS:AS,'4.1 Program Budget - 2024-2027'!$G:$G,$B35,'4.1 Program Budget - 2024-2027'!$H:$H,README!$M$10)</f>
        <v>4088.6354170000004</v>
      </c>
      <c r="O35" s="25">
        <f>SUMIFS('4.1 Program Budget - 2024-2027'!BC:BC,'4.1 Program Budget - 2024-2027'!$G:$G,$B35,'4.1 Program Budget - 2024-2027'!$H:$H,README!$M$10)</f>
        <v>20259119.936648022</v>
      </c>
      <c r="P35" s="759">
        <f>SUMIFS('4.1 Program Budget - 2024-2027'!BG:BG,'4.1 Program Budget - 2024-2027'!$G:$G,$B35,'4.1 Program Budget - 2024-2027'!$H:$H,README!$M$10)</f>
        <v>747634.76910999999</v>
      </c>
      <c r="Q35" s="759">
        <f>SUMIFS('4.1 Program Budget - 2024-2027'!BH:BH,'4.1 Program Budget - 2024-2027'!$G:$G,$B35,'4.1 Program Budget - 2024-2027'!$H:$H,README!$M$10)</f>
        <v>107.30128000000001</v>
      </c>
      <c r="R35" s="759">
        <f>SUMIFS('4.1 Program Budget - 2024-2027'!BI:BI,'4.1 Program Budget - 2024-2027'!$G:$G,$B35,'4.1 Program Budget - 2024-2027'!$H:$H,README!$M$10)</f>
        <v>698912.03700000001</v>
      </c>
      <c r="S35" s="1139">
        <f>SUMIFS('4.1 Program Budget - 2024-2027'!BJ:BJ,'4.1 Program Budget - 2024-2027'!$G:$G,$B35,'4.1 Program Budget - 2024-2027'!$H:$H,README!$M$10)</f>
        <v>323.24880765</v>
      </c>
      <c r="T35" s="1139">
        <f>SUMIFS('4.1 Program Budget - 2024-2027'!BK:BK,'4.1 Program Budget - 2024-2027'!$G:$G,$B35,'4.1 Program Budget - 2024-2027'!$H:$H,README!$M$10)</f>
        <v>4088.6354170000004</v>
      </c>
      <c r="U35" s="25">
        <f>SUMIFS('4.1 Program Budget - 2024-2027'!BU:BU,'4.1 Program Budget - 2024-2027'!$G:$G,$B35,'4.1 Program Budget - 2024-2027'!$H:$H,README!$M$10)</f>
        <v>20309686.60122475</v>
      </c>
      <c r="V35" s="759">
        <f>SUMIFS('4.1 Program Budget - 2024-2027'!BY:BY,'4.1 Program Budget - 2024-2027'!$G:$G,$B35,'4.1 Program Budget - 2024-2027'!$H:$H,README!$M$10)</f>
        <v>747634.76910999999</v>
      </c>
      <c r="W35" s="759">
        <f>SUMIFS('4.1 Program Budget - 2024-2027'!BZ:BZ,'4.1 Program Budget - 2024-2027'!$G:$G,$B35,'4.1 Program Budget - 2024-2027'!$H:$H,README!$M$10)</f>
        <v>107.30128000000001</v>
      </c>
      <c r="X35" s="759">
        <f>SUMIFS('4.1 Program Budget - 2024-2027'!CA:CA,'4.1 Program Budget - 2024-2027'!$G:$G,$B35,'4.1 Program Budget - 2024-2027'!$H:$H,README!$M$10)</f>
        <v>698912.03700000001</v>
      </c>
      <c r="Y35" s="1139">
        <f>SUMIFS('4.1 Program Budget - 2024-2027'!CB:CB,'4.1 Program Budget - 2024-2027'!$G:$G,$B35,'4.1 Program Budget - 2024-2027'!$H:$H,README!$M$10)</f>
        <v>331.88507243999999</v>
      </c>
      <c r="Z35" s="1139">
        <f>SUMIFS('4.1 Program Budget - 2024-2027'!CC:CC,'4.1 Program Budget - 2024-2027'!$G:$G,$B35,'4.1 Program Budget - 2024-2027'!$H:$H,README!$M$10)</f>
        <v>4088.6354170000004</v>
      </c>
      <c r="AA35" s="758">
        <f>SUMIFS('4.2 Program Budget 2028-2031'!I:I,'4.2 Program Budget 2028-2031'!D:D,B35,'4.2 Program Budget 2028-2031'!F:F,README!$M$10)</f>
        <v>20959596.572463945</v>
      </c>
      <c r="AB35" s="759">
        <f>SUMIFS('4.2 Program Budget 2028-2031'!J:J,'4.2 Program Budget 2028-2031'!$D:$D,$B35,'4.2 Program Budget 2028-2031'!$F:$F,README!$M$10)</f>
        <v>771559.1</v>
      </c>
      <c r="AC35" s="759">
        <f>SUMIFS('4.2 Program Budget 2028-2031'!K:K,'4.2 Program Budget 2028-2031'!$D:$D,$B35,'4.2 Program Budget 2028-2031'!$F:$F,README!$M$10)</f>
        <v>110.73</v>
      </c>
      <c r="AD35" s="759">
        <f>SUMIFS('4.2 Program Budget 2028-2031'!L:L,'4.2 Program Budget 2028-2031'!$D:$D,$B35,'4.2 Program Budget 2028-2031'!$F:$F,README!$M$10)</f>
        <v>721277.23</v>
      </c>
      <c r="AE35" s="759">
        <f>SUMIFS('4.2 Program Budget 2028-2031'!M:M,'4.2 Program Budget 2028-2031'!$D:$D,$B35,'4.2 Program Budget 2028-2031'!$F:$F,README!$M$10)</f>
        <v>358.83</v>
      </c>
      <c r="AF35" s="759">
        <f>SUMIFS('4.2 Program Budget 2028-2031'!N:N,'4.2 Program Budget 2028-2031'!$D:$D,$B35,'4.2 Program Budget 2028-2031'!$F:$F,README!$M$10)</f>
        <v>4219.47</v>
      </c>
      <c r="AG35" s="758">
        <f>SUMIFS('4.2 Program Budget 2028-2031'!T:T,'4.2 Program Budget 2028-2031'!$D:$D,$B35,'4.2 Program Budget 2028-2031'!$F:$F,README!$M$10)</f>
        <v>21630303.662782792</v>
      </c>
      <c r="AH35" s="759">
        <f>SUMIFS('4.2 Program Budget 2028-2031'!U:U,'4.2 Program Budget 2028-2031'!$D:$D,$B35,'4.2 Program Budget 2028-2031'!$F:$F,README!$M$10)</f>
        <v>796248.99</v>
      </c>
      <c r="AI35" s="759">
        <f>SUMIFS('4.2 Program Budget 2028-2031'!V:V,'4.2 Program Budget 2028-2031'!$D:$D,$B35,'4.2 Program Budget 2028-2031'!$F:$F,README!$M$10)</f>
        <v>114.28</v>
      </c>
      <c r="AJ35" s="759">
        <f>SUMIFS('4.2 Program Budget 2028-2031'!W:W,'4.2 Program Budget 2028-2031'!$D:$D,$B35,'4.2 Program Budget 2028-2031'!$F:$F,README!$M$10)</f>
        <v>744358.1</v>
      </c>
      <c r="AK35" s="759">
        <f>SUMIFS('4.2 Program Budget 2028-2031'!X:X,'4.2 Program Budget 2028-2031'!$D:$D,$B35,'4.2 Program Budget 2028-2031'!$F:$F,README!$M$10)</f>
        <v>336.98</v>
      </c>
      <c r="AL35" s="759">
        <f>SUMIFS('4.2 Program Budget 2028-2031'!Y:Y,'4.2 Program Budget 2028-2031'!$D:$D,$B35,'4.2 Program Budget 2028-2031'!$F:$F,README!$M$10)</f>
        <v>4354.49</v>
      </c>
      <c r="AM35" s="758">
        <f>SUMIFS('4.2 Program Budget 2028-2031'!AE:AE,'4.2 Program Budget 2028-2031'!$D:$D,$B35,'4.2 Program Budget 2028-2031'!$F:$F,README!$M$10)</f>
        <v>22322473.379991841</v>
      </c>
      <c r="AN35" s="759">
        <f>SUMIFS('4.2 Program Budget 2028-2031'!AF:AF,'4.2 Program Budget 2028-2031'!$D:$D,$B35,'4.2 Program Budget 2028-2031'!$F:$F,README!$M$10)</f>
        <v>821728.96</v>
      </c>
      <c r="AO35" s="759">
        <f>SUMIFS('4.2 Program Budget 2028-2031'!AG:AG,'4.2 Program Budget 2028-2031'!$D:$D,$B35,'4.2 Program Budget 2028-2031'!$F:$F,README!$M$10)</f>
        <v>117.94</v>
      </c>
      <c r="AP35" s="759">
        <f>SUMIFS('4.2 Program Budget 2028-2031'!AH:AH,'4.2 Program Budget 2028-2031'!$D:$D,$B35,'4.2 Program Budget 2028-2031'!$F:$F,README!$M$10)</f>
        <v>768177.56</v>
      </c>
      <c r="AQ35" s="759">
        <f>SUMIFS('4.2 Program Budget 2028-2031'!AI:AI,'4.2 Program Budget 2028-2031'!$D:$D,$B35,'4.2 Program Budget 2028-2031'!$F:$F,README!$M$10)</f>
        <v>361.72</v>
      </c>
      <c r="AR35" s="759">
        <f>SUMIFS('4.2 Program Budget 2028-2031'!AJ:AJ,'4.2 Program Budget 2028-2031'!$D:$D,$B35,'4.2 Program Budget 2028-2031'!$F:$F,README!$M$10)</f>
        <v>4493.84</v>
      </c>
      <c r="AS35" s="758">
        <f>SUMIFS('4.2 Program Budget 2028-2031'!AP:AP,'4.2 Program Budget 2028-2031'!$D:$D,$B35,'4.2 Program Budget 2028-2031'!$F:$F,README!$M$10)</f>
        <v>23036792.528151579</v>
      </c>
      <c r="AT35" s="759">
        <f>SUMIFS('4.2 Program Budget 2028-2031'!AQ:AQ,'4.2 Program Budget 2028-2031'!$D:$D,$B35,'4.2 Program Budget 2028-2031'!$F:$F,README!$M$10)</f>
        <v>848024.29</v>
      </c>
      <c r="AU35" s="759">
        <f>SUMIFS('4.2 Program Budget 2028-2031'!AR:AR,'4.2 Program Budget 2028-2031'!$D:$D,$B35,'4.2 Program Budget 2028-2031'!$F:$F,README!$M$10)</f>
        <v>121.71</v>
      </c>
      <c r="AV35" s="759">
        <f>SUMIFS('4.2 Program Budget 2028-2031'!AS:AS,'4.2 Program Budget 2028-2031'!$D:$D,$B35,'4.2 Program Budget 2028-2031'!$F:$F,README!$M$10)</f>
        <v>792759.24</v>
      </c>
      <c r="AW35" s="759">
        <f>SUMIFS('4.2 Program Budget 2028-2031'!AT:AT,'4.2 Program Budget 2028-2031'!$D:$D,$B35,'4.2 Program Budget 2028-2031'!$F:$F,README!$M$10)</f>
        <v>388.71</v>
      </c>
      <c r="AX35" s="759">
        <f>SUMIFS('4.2 Program Budget 2028-2031'!AU:AU,'4.2 Program Budget 2028-2031'!$D:$D,$B35,'4.2 Program Budget 2028-2031'!$F:$F,README!$M$10)</f>
        <v>4637.6400000000003</v>
      </c>
      <c r="AZ35" s="761" t="s">
        <v>956</v>
      </c>
    </row>
    <row r="36" spans="1:57">
      <c r="B36" s="757" t="s">
        <v>22</v>
      </c>
      <c r="C36" s="25">
        <f>SUMIFS('4.1 Program Budget - 2024-2027'!S:S,'4.1 Program Budget - 2024-2027'!$G:$G,$B36,'4.1 Program Budget - 2024-2027'!$H:$H,README!$M$10)</f>
        <v>0</v>
      </c>
      <c r="D36" s="1139">
        <f>SUMIFS('4.1 Program Budget - 2024-2027'!W:W,'4.1 Program Budget - 2024-2027'!$G:$G,$B36,'4.1 Program Budget - 2024-2027'!$H:$H,README!$M$10)</f>
        <v>0</v>
      </c>
      <c r="E36" s="1139">
        <f>SUMIFS('4.1 Program Budget - 2024-2027'!X:X,'4.1 Program Budget - 2024-2027'!$G:$G,$B36,'4.1 Program Budget - 2024-2027'!$H:$H,README!$M$10)</f>
        <v>0</v>
      </c>
      <c r="F36" s="1139">
        <f>SUMIFS('4.1 Program Budget - 2024-2027'!Y:Y,'4.1 Program Budget - 2024-2027'!$G:$G,$B36,'4.1 Program Budget - 2024-2027'!$H:$H,README!$M$10)</f>
        <v>0</v>
      </c>
      <c r="G36" s="1139">
        <f>SUMIFS('4.1 Program Budget - 2024-2027'!Z:Z,'4.1 Program Budget - 2024-2027'!$G:$G,$B36,'4.1 Program Budget - 2024-2027'!$H:$H,README!$M$10)</f>
        <v>0</v>
      </c>
      <c r="H36" s="1139">
        <f>SUMIFS('4.1 Program Budget - 2024-2027'!AA:AA,'4.1 Program Budget - 2024-2027'!$G:$G,$B36,'4.1 Program Budget - 2024-2027'!$H:$H,README!$M$10)</f>
        <v>0</v>
      </c>
      <c r="I36" s="25">
        <f>SUMIFS('4.1 Program Budget - 2024-2027'!AK:AK,'4.1 Program Budget - 2024-2027'!$G:$G,$B36,'4.1 Program Budget - 2024-2027'!$H:$H,README!$M$10)</f>
        <v>0</v>
      </c>
      <c r="J36" s="759">
        <f>SUMIFS('4.1 Program Budget - 2024-2027'!AO:AO,'4.1 Program Budget - 2024-2027'!$G:$G,$B36,'4.1 Program Budget - 2024-2027'!$H:$H,README!$M$10)</f>
        <v>0</v>
      </c>
      <c r="K36" s="759">
        <f>SUMIFS('4.1 Program Budget - 2024-2027'!AP:AP,'4.1 Program Budget - 2024-2027'!$G:$G,$B36,'4.1 Program Budget - 2024-2027'!$H:$H,README!$M$10)</f>
        <v>0</v>
      </c>
      <c r="L36" s="759">
        <f>SUMIFS('4.1 Program Budget - 2024-2027'!AQ:AQ,'4.1 Program Budget - 2024-2027'!$G:$G,$B36,'4.1 Program Budget - 2024-2027'!$H:$H,README!$M$10)</f>
        <v>0</v>
      </c>
      <c r="M36" s="1139">
        <f>SUMIFS('4.1 Program Budget - 2024-2027'!AR:AR,'4.1 Program Budget - 2024-2027'!$G:$G,$B36,'4.1 Program Budget - 2024-2027'!$H:$H,README!$M$10)</f>
        <v>0</v>
      </c>
      <c r="N36" s="1139">
        <f>SUMIFS('4.1 Program Budget - 2024-2027'!AS:AS,'4.1 Program Budget - 2024-2027'!$G:$G,$B36,'4.1 Program Budget - 2024-2027'!$H:$H,README!$M$10)</f>
        <v>0</v>
      </c>
      <c r="O36" s="25">
        <f>SUMIFS('4.1 Program Budget - 2024-2027'!BC:BC,'4.1 Program Budget - 2024-2027'!$G:$G,$B36,'4.1 Program Budget - 2024-2027'!$H:$H,README!$M$10)</f>
        <v>0</v>
      </c>
      <c r="P36" s="759">
        <f>SUMIFS('4.1 Program Budget - 2024-2027'!BG:BG,'4.1 Program Budget - 2024-2027'!$G:$G,$B36,'4.1 Program Budget - 2024-2027'!$H:$H,README!$M$10)</f>
        <v>0</v>
      </c>
      <c r="Q36" s="759">
        <f>SUMIFS('4.1 Program Budget - 2024-2027'!BH:BH,'4.1 Program Budget - 2024-2027'!$G:$G,$B36,'4.1 Program Budget - 2024-2027'!$H:$H,README!$M$10)</f>
        <v>0</v>
      </c>
      <c r="R36" s="759">
        <f>SUMIFS('4.1 Program Budget - 2024-2027'!BI:BI,'4.1 Program Budget - 2024-2027'!$G:$G,$B36,'4.1 Program Budget - 2024-2027'!$H:$H,README!$M$10)</f>
        <v>0</v>
      </c>
      <c r="S36" s="1139">
        <f>SUMIFS('4.1 Program Budget - 2024-2027'!BJ:BJ,'4.1 Program Budget - 2024-2027'!$G:$G,$B36,'4.1 Program Budget - 2024-2027'!$H:$H,README!$M$10)</f>
        <v>0</v>
      </c>
      <c r="T36" s="1139">
        <f>SUMIFS('4.1 Program Budget - 2024-2027'!BK:BK,'4.1 Program Budget - 2024-2027'!$G:$G,$B36,'4.1 Program Budget - 2024-2027'!$H:$H,README!$M$10)</f>
        <v>0</v>
      </c>
      <c r="U36" s="25">
        <f>SUMIFS('4.1 Program Budget - 2024-2027'!BU:BU,'4.1 Program Budget - 2024-2027'!$G:$G,$B36,'4.1 Program Budget - 2024-2027'!$H:$H,README!$M$10)</f>
        <v>0</v>
      </c>
      <c r="V36" s="759">
        <f>SUMIFS('4.1 Program Budget - 2024-2027'!BY:BY,'4.1 Program Budget - 2024-2027'!$G:$G,$B36,'4.1 Program Budget - 2024-2027'!$H:$H,README!$M$10)</f>
        <v>0</v>
      </c>
      <c r="W36" s="759">
        <f>SUMIFS('4.1 Program Budget - 2024-2027'!BZ:BZ,'4.1 Program Budget - 2024-2027'!$G:$G,$B36,'4.1 Program Budget - 2024-2027'!$H:$H,README!$M$10)</f>
        <v>0</v>
      </c>
      <c r="X36" s="759">
        <f>SUMIFS('4.1 Program Budget - 2024-2027'!CA:CA,'4.1 Program Budget - 2024-2027'!$G:$G,$B36,'4.1 Program Budget - 2024-2027'!$H:$H,README!$M$10)</f>
        <v>0</v>
      </c>
      <c r="Y36" s="1139">
        <f>SUMIFS('4.1 Program Budget - 2024-2027'!CB:CB,'4.1 Program Budget - 2024-2027'!$G:$G,$B36,'4.1 Program Budget - 2024-2027'!$H:$H,README!$M$10)</f>
        <v>0</v>
      </c>
      <c r="Z36" s="1139">
        <f>SUMIFS('4.1 Program Budget - 2024-2027'!CC:CC,'4.1 Program Budget - 2024-2027'!$G:$G,$B36,'4.1 Program Budget - 2024-2027'!$H:$H,README!$M$10)</f>
        <v>0</v>
      </c>
      <c r="AA36" s="758">
        <f>SUMIFS('4.2 Program Budget 2028-2031'!I:I,'4.2 Program Budget 2028-2031'!D:D,B36,'4.2 Program Budget 2028-2031'!F:F,README!$M$10)</f>
        <v>0</v>
      </c>
      <c r="AB36" s="759">
        <f>SUMIFS('4.2 Program Budget 2028-2031'!J:J,'4.2 Program Budget 2028-2031'!$D:$D,$B36,'4.2 Program Budget 2028-2031'!$F:$F,README!$M$10)</f>
        <v>0</v>
      </c>
      <c r="AC36" s="759">
        <f>SUMIFS('4.2 Program Budget 2028-2031'!K:K,'4.2 Program Budget 2028-2031'!$D:$D,$B36,'4.2 Program Budget 2028-2031'!$F:$F,README!$M$10)</f>
        <v>0</v>
      </c>
      <c r="AD36" s="759">
        <f>SUMIFS('4.2 Program Budget 2028-2031'!L:L,'4.2 Program Budget 2028-2031'!$D:$D,$B36,'4.2 Program Budget 2028-2031'!$F:$F,README!$M$10)</f>
        <v>0</v>
      </c>
      <c r="AE36" s="759">
        <f>SUMIFS('4.2 Program Budget 2028-2031'!M:M,'4.2 Program Budget 2028-2031'!$D:$D,$B36,'4.2 Program Budget 2028-2031'!$F:$F,README!$M$10)</f>
        <v>0</v>
      </c>
      <c r="AF36" s="759">
        <f>SUMIFS('4.2 Program Budget 2028-2031'!N:N,'4.2 Program Budget 2028-2031'!$D:$D,$B36,'4.2 Program Budget 2028-2031'!$F:$F,README!$M$10)</f>
        <v>0</v>
      </c>
      <c r="AG36" s="758">
        <f>SUMIFS('4.2 Program Budget 2028-2031'!T:T,'4.2 Program Budget 2028-2031'!$D:$D,$B36,'4.2 Program Budget 2028-2031'!$F:$F,README!$M$10)</f>
        <v>0</v>
      </c>
      <c r="AH36" s="759">
        <f>SUMIFS('4.2 Program Budget 2028-2031'!U:U,'4.2 Program Budget 2028-2031'!$D:$D,$B36,'4.2 Program Budget 2028-2031'!$F:$F,README!$M$10)</f>
        <v>0</v>
      </c>
      <c r="AI36" s="759">
        <f>SUMIFS('4.2 Program Budget 2028-2031'!V:V,'4.2 Program Budget 2028-2031'!$D:$D,$B36,'4.2 Program Budget 2028-2031'!$F:$F,README!$M$10)</f>
        <v>0</v>
      </c>
      <c r="AJ36" s="759">
        <f>SUMIFS('4.2 Program Budget 2028-2031'!W:W,'4.2 Program Budget 2028-2031'!$D:$D,$B36,'4.2 Program Budget 2028-2031'!$F:$F,README!$M$10)</f>
        <v>0</v>
      </c>
      <c r="AK36" s="759">
        <f>SUMIFS('4.2 Program Budget 2028-2031'!X:X,'4.2 Program Budget 2028-2031'!$D:$D,$B36,'4.2 Program Budget 2028-2031'!$F:$F,README!$M$10)</f>
        <v>0</v>
      </c>
      <c r="AL36" s="759">
        <f>SUMIFS('4.2 Program Budget 2028-2031'!Y:Y,'4.2 Program Budget 2028-2031'!$D:$D,$B36,'4.2 Program Budget 2028-2031'!$F:$F,README!$M$10)</f>
        <v>0</v>
      </c>
      <c r="AM36" s="758">
        <f>SUMIFS('4.2 Program Budget 2028-2031'!AE:AE,'4.2 Program Budget 2028-2031'!$D:$D,$B36,'4.2 Program Budget 2028-2031'!$F:$F,README!$M$10)</f>
        <v>0</v>
      </c>
      <c r="AN36" s="759">
        <f>SUMIFS('4.2 Program Budget 2028-2031'!AF:AF,'4.2 Program Budget 2028-2031'!$D:$D,$B36,'4.2 Program Budget 2028-2031'!$F:$F,README!$M$10)</f>
        <v>0</v>
      </c>
      <c r="AO36" s="759">
        <f>SUMIFS('4.2 Program Budget 2028-2031'!AG:AG,'4.2 Program Budget 2028-2031'!$D:$D,$B36,'4.2 Program Budget 2028-2031'!$F:$F,README!$M$10)</f>
        <v>0</v>
      </c>
      <c r="AP36" s="759">
        <f>SUMIFS('4.2 Program Budget 2028-2031'!AH:AH,'4.2 Program Budget 2028-2031'!$D:$D,$B36,'4.2 Program Budget 2028-2031'!$F:$F,README!$M$10)</f>
        <v>0</v>
      </c>
      <c r="AQ36" s="759">
        <f>SUMIFS('4.2 Program Budget 2028-2031'!AI:AI,'4.2 Program Budget 2028-2031'!$D:$D,$B36,'4.2 Program Budget 2028-2031'!$F:$F,README!$M$10)</f>
        <v>0</v>
      </c>
      <c r="AR36" s="759">
        <f>SUMIFS('4.2 Program Budget 2028-2031'!AJ:AJ,'4.2 Program Budget 2028-2031'!$D:$D,$B36,'4.2 Program Budget 2028-2031'!$F:$F,README!$M$10)</f>
        <v>0</v>
      </c>
      <c r="AS36" s="758">
        <f>SUMIFS('4.2 Program Budget 2028-2031'!AP:AP,'4.2 Program Budget 2028-2031'!$D:$D,$B36,'4.2 Program Budget 2028-2031'!$F:$F,README!$M$10)</f>
        <v>0</v>
      </c>
      <c r="AT36" s="759">
        <f>SUMIFS('4.2 Program Budget 2028-2031'!AQ:AQ,'4.2 Program Budget 2028-2031'!$D:$D,$B36,'4.2 Program Budget 2028-2031'!$F:$F,README!$M$10)</f>
        <v>0</v>
      </c>
      <c r="AU36" s="759">
        <f>SUMIFS('4.2 Program Budget 2028-2031'!AR:AR,'4.2 Program Budget 2028-2031'!$D:$D,$B36,'4.2 Program Budget 2028-2031'!$F:$F,README!$M$10)</f>
        <v>0</v>
      </c>
      <c r="AV36" s="759">
        <f>SUMIFS('4.2 Program Budget 2028-2031'!AS:AS,'4.2 Program Budget 2028-2031'!$D:$D,$B36,'4.2 Program Budget 2028-2031'!$F:$F,README!$M$10)</f>
        <v>0</v>
      </c>
      <c r="AW36" s="759">
        <f>SUMIFS('4.2 Program Budget 2028-2031'!AT:AT,'4.2 Program Budget 2028-2031'!$D:$D,$B36,'4.2 Program Budget 2028-2031'!$F:$F,README!$M$10)</f>
        <v>0</v>
      </c>
      <c r="AX36" s="759">
        <f>SUMIFS('4.2 Program Budget 2028-2031'!AU:AU,'4.2 Program Budget 2028-2031'!$D:$D,$B36,'4.2 Program Budget 2028-2031'!$F:$F,README!$M$10)</f>
        <v>0</v>
      </c>
      <c r="AZ36" s="761" t="s">
        <v>957</v>
      </c>
      <c r="BB36" s="1140"/>
      <c r="BC36" s="1141"/>
      <c r="BD36" s="1141"/>
      <c r="BE36" s="1141"/>
    </row>
    <row r="37" spans="1:57">
      <c r="B37" s="757" t="s">
        <v>25</v>
      </c>
      <c r="C37" s="25">
        <f>SUMIFS('4.1 Program Budget - 2024-2027'!S:S,'4.1 Program Budget - 2024-2027'!$G:$G,$B37,'4.1 Program Budget - 2024-2027'!$H:$H,README!$M$10)</f>
        <v>0</v>
      </c>
      <c r="D37" s="1139">
        <f>SUMIFS('4.1 Program Budget - 2024-2027'!W:W,'4.1 Program Budget - 2024-2027'!$G:$G,$B37,'4.1 Program Budget - 2024-2027'!$H:$H,README!$M$10)</f>
        <v>0</v>
      </c>
      <c r="E37" s="1139">
        <f>SUMIFS('4.1 Program Budget - 2024-2027'!X:X,'4.1 Program Budget - 2024-2027'!$G:$G,$B37,'4.1 Program Budget - 2024-2027'!$H:$H,README!$M$10)</f>
        <v>0</v>
      </c>
      <c r="F37" s="1139">
        <f>SUMIFS('4.1 Program Budget - 2024-2027'!Y:Y,'4.1 Program Budget - 2024-2027'!$G:$G,$B37,'4.1 Program Budget - 2024-2027'!$H:$H,README!$M$10)</f>
        <v>0</v>
      </c>
      <c r="G37" s="1139">
        <f>SUMIFS('4.1 Program Budget - 2024-2027'!Z:Z,'4.1 Program Budget - 2024-2027'!$G:$G,$B37,'4.1 Program Budget - 2024-2027'!$H:$H,README!$M$10)</f>
        <v>0</v>
      </c>
      <c r="H37" s="1139">
        <f>SUMIFS('4.1 Program Budget - 2024-2027'!AA:AA,'4.1 Program Budget - 2024-2027'!$G:$G,$B37,'4.1 Program Budget - 2024-2027'!$H:$H,README!$M$10)</f>
        <v>0</v>
      </c>
      <c r="I37" s="25">
        <f>SUMIFS('4.1 Program Budget - 2024-2027'!AK:AK,'4.1 Program Budget - 2024-2027'!$G:$G,$B37,'4.1 Program Budget - 2024-2027'!$H:$H,README!$M$10)</f>
        <v>0</v>
      </c>
      <c r="J37" s="759">
        <f>SUMIFS('4.1 Program Budget - 2024-2027'!AO:AO,'4.1 Program Budget - 2024-2027'!$G:$G,$B37,'4.1 Program Budget - 2024-2027'!$H:$H,README!$M$10)</f>
        <v>0</v>
      </c>
      <c r="K37" s="759">
        <f>SUMIFS('4.1 Program Budget - 2024-2027'!AP:AP,'4.1 Program Budget - 2024-2027'!$G:$G,$B37,'4.1 Program Budget - 2024-2027'!$H:$H,README!$M$10)</f>
        <v>0</v>
      </c>
      <c r="L37" s="759">
        <f>SUMIFS('4.1 Program Budget - 2024-2027'!AQ:AQ,'4.1 Program Budget - 2024-2027'!$G:$G,$B37,'4.1 Program Budget - 2024-2027'!$H:$H,README!$M$10)</f>
        <v>0</v>
      </c>
      <c r="M37" s="1139">
        <f>SUMIFS('4.1 Program Budget - 2024-2027'!AR:AR,'4.1 Program Budget - 2024-2027'!$G:$G,$B37,'4.1 Program Budget - 2024-2027'!$H:$H,README!$M$10)</f>
        <v>0</v>
      </c>
      <c r="N37" s="1139">
        <f>SUMIFS('4.1 Program Budget - 2024-2027'!AS:AS,'4.1 Program Budget - 2024-2027'!$G:$G,$B37,'4.1 Program Budget - 2024-2027'!$H:$H,README!$M$10)</f>
        <v>0</v>
      </c>
      <c r="O37" s="25">
        <f>SUMIFS('4.1 Program Budget - 2024-2027'!BC:BC,'4.1 Program Budget - 2024-2027'!$G:$G,$B37,'4.1 Program Budget - 2024-2027'!$H:$H,README!$M$10)</f>
        <v>0</v>
      </c>
      <c r="P37" s="759">
        <f>SUMIFS('4.1 Program Budget - 2024-2027'!BG:BG,'4.1 Program Budget - 2024-2027'!$G:$G,$B37,'4.1 Program Budget - 2024-2027'!$H:$H,README!$M$10)</f>
        <v>0</v>
      </c>
      <c r="Q37" s="759">
        <f>SUMIFS('4.1 Program Budget - 2024-2027'!BH:BH,'4.1 Program Budget - 2024-2027'!$G:$G,$B37,'4.1 Program Budget - 2024-2027'!$H:$H,README!$M$10)</f>
        <v>0</v>
      </c>
      <c r="R37" s="759">
        <f>SUMIFS('4.1 Program Budget - 2024-2027'!BI:BI,'4.1 Program Budget - 2024-2027'!$G:$G,$B37,'4.1 Program Budget - 2024-2027'!$H:$H,README!$M$10)</f>
        <v>0</v>
      </c>
      <c r="S37" s="1139">
        <f>SUMIFS('4.1 Program Budget - 2024-2027'!BJ:BJ,'4.1 Program Budget - 2024-2027'!$G:$G,$B37,'4.1 Program Budget - 2024-2027'!$H:$H,README!$M$10)</f>
        <v>0</v>
      </c>
      <c r="T37" s="1139">
        <f>SUMIFS('4.1 Program Budget - 2024-2027'!BK:BK,'4.1 Program Budget - 2024-2027'!$G:$G,$B37,'4.1 Program Budget - 2024-2027'!$H:$H,README!$M$10)</f>
        <v>0</v>
      </c>
      <c r="U37" s="25">
        <f>SUMIFS('4.1 Program Budget - 2024-2027'!BU:BU,'4.1 Program Budget - 2024-2027'!$G:$G,$B37,'4.1 Program Budget - 2024-2027'!$H:$H,README!$M$10)</f>
        <v>0</v>
      </c>
      <c r="V37" s="759">
        <f>SUMIFS('4.1 Program Budget - 2024-2027'!BY:BY,'4.1 Program Budget - 2024-2027'!$G:$G,$B37,'4.1 Program Budget - 2024-2027'!$H:$H,README!$M$10)</f>
        <v>0</v>
      </c>
      <c r="W37" s="759">
        <f>SUMIFS('4.1 Program Budget - 2024-2027'!BZ:BZ,'4.1 Program Budget - 2024-2027'!$G:$G,$B37,'4.1 Program Budget - 2024-2027'!$H:$H,README!$M$10)</f>
        <v>0</v>
      </c>
      <c r="X37" s="759">
        <f>SUMIFS('4.1 Program Budget - 2024-2027'!CA:CA,'4.1 Program Budget - 2024-2027'!$G:$G,$B37,'4.1 Program Budget - 2024-2027'!$H:$H,README!$M$10)</f>
        <v>0</v>
      </c>
      <c r="Y37" s="1139">
        <f>SUMIFS('4.1 Program Budget - 2024-2027'!CB:CB,'4.1 Program Budget - 2024-2027'!$G:$G,$B37,'4.1 Program Budget - 2024-2027'!$H:$H,README!$M$10)</f>
        <v>0</v>
      </c>
      <c r="Z37" s="1139">
        <f>SUMIFS('4.1 Program Budget - 2024-2027'!CC:CC,'4.1 Program Budget - 2024-2027'!$G:$G,$B37,'4.1 Program Budget - 2024-2027'!$H:$H,README!$M$10)</f>
        <v>0</v>
      </c>
      <c r="AA37" s="758">
        <f>SUMIFS('4.2 Program Budget 2028-2031'!I:I,'4.2 Program Budget 2028-2031'!D:D,B37,'4.2 Program Budget 2028-2031'!F:F,README!$M$10)</f>
        <v>0</v>
      </c>
      <c r="AB37" s="759">
        <f>SUMIFS('4.2 Program Budget 2028-2031'!J:J,'4.2 Program Budget 2028-2031'!$D:$D,$B37,'4.2 Program Budget 2028-2031'!$F:$F,README!$M$10)</f>
        <v>0</v>
      </c>
      <c r="AC37" s="759">
        <f>SUMIFS('4.2 Program Budget 2028-2031'!K:K,'4.2 Program Budget 2028-2031'!$D:$D,$B37,'4.2 Program Budget 2028-2031'!$F:$F,README!$M$10)</f>
        <v>0</v>
      </c>
      <c r="AD37" s="759">
        <f>SUMIFS('4.2 Program Budget 2028-2031'!L:L,'4.2 Program Budget 2028-2031'!$D:$D,$B37,'4.2 Program Budget 2028-2031'!$F:$F,README!$M$10)</f>
        <v>0</v>
      </c>
      <c r="AE37" s="759">
        <f>SUMIFS('4.2 Program Budget 2028-2031'!M:M,'4.2 Program Budget 2028-2031'!$D:$D,$B37,'4.2 Program Budget 2028-2031'!$F:$F,README!$M$10)</f>
        <v>0</v>
      </c>
      <c r="AF37" s="759">
        <f>SUMIFS('4.2 Program Budget 2028-2031'!N:N,'4.2 Program Budget 2028-2031'!$D:$D,$B37,'4.2 Program Budget 2028-2031'!$F:$F,README!$M$10)</f>
        <v>0</v>
      </c>
      <c r="AG37" s="758">
        <f>SUMIFS('4.2 Program Budget 2028-2031'!T:T,'4.2 Program Budget 2028-2031'!$D:$D,$B37,'4.2 Program Budget 2028-2031'!$F:$F,README!$M$10)</f>
        <v>0</v>
      </c>
      <c r="AH37" s="759">
        <f>SUMIFS('4.2 Program Budget 2028-2031'!U:U,'4.2 Program Budget 2028-2031'!$D:$D,$B37,'4.2 Program Budget 2028-2031'!$F:$F,README!$M$10)</f>
        <v>0</v>
      </c>
      <c r="AI37" s="759">
        <f>SUMIFS('4.2 Program Budget 2028-2031'!V:V,'4.2 Program Budget 2028-2031'!$D:$D,$B37,'4.2 Program Budget 2028-2031'!$F:$F,README!$M$10)</f>
        <v>0</v>
      </c>
      <c r="AJ37" s="759">
        <f>SUMIFS('4.2 Program Budget 2028-2031'!W:W,'4.2 Program Budget 2028-2031'!$D:$D,$B37,'4.2 Program Budget 2028-2031'!$F:$F,README!$M$10)</f>
        <v>0</v>
      </c>
      <c r="AK37" s="759">
        <f>SUMIFS('4.2 Program Budget 2028-2031'!X:X,'4.2 Program Budget 2028-2031'!$D:$D,$B37,'4.2 Program Budget 2028-2031'!$F:$F,README!$M$10)</f>
        <v>0</v>
      </c>
      <c r="AL37" s="759">
        <f>SUMIFS('4.2 Program Budget 2028-2031'!Y:Y,'4.2 Program Budget 2028-2031'!$D:$D,$B37,'4.2 Program Budget 2028-2031'!$F:$F,README!$M$10)</f>
        <v>0</v>
      </c>
      <c r="AM37" s="758">
        <f>SUMIFS('4.2 Program Budget 2028-2031'!AE:AE,'4.2 Program Budget 2028-2031'!$D:$D,$B37,'4.2 Program Budget 2028-2031'!$F:$F,README!$M$10)</f>
        <v>0</v>
      </c>
      <c r="AN37" s="759">
        <f>SUMIFS('4.2 Program Budget 2028-2031'!AF:AF,'4.2 Program Budget 2028-2031'!$D:$D,$B37,'4.2 Program Budget 2028-2031'!$F:$F,README!$M$10)</f>
        <v>0</v>
      </c>
      <c r="AO37" s="759">
        <f>SUMIFS('4.2 Program Budget 2028-2031'!AG:AG,'4.2 Program Budget 2028-2031'!$D:$D,$B37,'4.2 Program Budget 2028-2031'!$F:$F,README!$M$10)</f>
        <v>0</v>
      </c>
      <c r="AP37" s="759">
        <f>SUMIFS('4.2 Program Budget 2028-2031'!AH:AH,'4.2 Program Budget 2028-2031'!$D:$D,$B37,'4.2 Program Budget 2028-2031'!$F:$F,README!$M$10)</f>
        <v>0</v>
      </c>
      <c r="AQ37" s="759">
        <f>SUMIFS('4.2 Program Budget 2028-2031'!AI:AI,'4.2 Program Budget 2028-2031'!$D:$D,$B37,'4.2 Program Budget 2028-2031'!$F:$F,README!$M$10)</f>
        <v>0</v>
      </c>
      <c r="AR37" s="759">
        <f>SUMIFS('4.2 Program Budget 2028-2031'!AJ:AJ,'4.2 Program Budget 2028-2031'!$D:$D,$B37,'4.2 Program Budget 2028-2031'!$F:$F,README!$M$10)</f>
        <v>0</v>
      </c>
      <c r="AS37" s="758">
        <f>SUMIFS('4.2 Program Budget 2028-2031'!AP:AP,'4.2 Program Budget 2028-2031'!$D:$D,$B37,'4.2 Program Budget 2028-2031'!$F:$F,README!$M$10)</f>
        <v>0</v>
      </c>
      <c r="AT37" s="759">
        <f>SUMIFS('4.2 Program Budget 2028-2031'!AQ:AQ,'4.2 Program Budget 2028-2031'!$D:$D,$B37,'4.2 Program Budget 2028-2031'!$F:$F,README!$M$10)</f>
        <v>0</v>
      </c>
      <c r="AU37" s="759">
        <f>SUMIFS('4.2 Program Budget 2028-2031'!AR:AR,'4.2 Program Budget 2028-2031'!$D:$D,$B37,'4.2 Program Budget 2028-2031'!$F:$F,README!$M$10)</f>
        <v>0</v>
      </c>
      <c r="AV37" s="759">
        <f>SUMIFS('4.2 Program Budget 2028-2031'!AS:AS,'4.2 Program Budget 2028-2031'!$D:$D,$B37,'4.2 Program Budget 2028-2031'!$F:$F,README!$M$10)</f>
        <v>0</v>
      </c>
      <c r="AW37" s="759">
        <f>SUMIFS('4.2 Program Budget 2028-2031'!AT:AT,'4.2 Program Budget 2028-2031'!$D:$D,$B37,'4.2 Program Budget 2028-2031'!$F:$F,README!$M$10)</f>
        <v>0</v>
      </c>
      <c r="AX37" s="759">
        <f>SUMIFS('4.2 Program Budget 2028-2031'!AU:AU,'4.2 Program Budget 2028-2031'!$D:$D,$B37,'4.2 Program Budget 2028-2031'!$F:$F,README!$M$10)</f>
        <v>0</v>
      </c>
      <c r="AZ37" s="761"/>
      <c r="BB37" s="1140"/>
      <c r="BC37" s="1141"/>
      <c r="BD37" s="1141"/>
      <c r="BE37" s="1141"/>
    </row>
    <row r="38" spans="1:57">
      <c r="B38" s="757" t="s">
        <v>27</v>
      </c>
      <c r="C38" s="25">
        <f>SUMIFS('4.1 Program Budget - 2024-2027'!S:S,'4.1 Program Budget - 2024-2027'!$G:$G,$B38,'4.1 Program Budget - 2024-2027'!$H:$H,README!$M$10)</f>
        <v>0</v>
      </c>
      <c r="D38" s="1139">
        <f>SUMIFS('4.1 Program Budget - 2024-2027'!W:W,'4.1 Program Budget - 2024-2027'!$G:$G,$B38,'4.1 Program Budget - 2024-2027'!$H:$H,README!$M$10)</f>
        <v>0</v>
      </c>
      <c r="E38" s="1139">
        <f>SUMIFS('4.1 Program Budget - 2024-2027'!X:X,'4.1 Program Budget - 2024-2027'!$G:$G,$B38,'4.1 Program Budget - 2024-2027'!$H:$H,README!$M$10)</f>
        <v>0</v>
      </c>
      <c r="F38" s="1139">
        <f>SUMIFS('4.1 Program Budget - 2024-2027'!Y:Y,'4.1 Program Budget - 2024-2027'!$G:$G,$B38,'4.1 Program Budget - 2024-2027'!$H:$H,README!$M$10)</f>
        <v>0</v>
      </c>
      <c r="G38" s="1139">
        <f>SUMIFS('4.1 Program Budget - 2024-2027'!Z:Z,'4.1 Program Budget - 2024-2027'!$G:$G,$B38,'4.1 Program Budget - 2024-2027'!$H:$H,README!$M$10)</f>
        <v>0</v>
      </c>
      <c r="H38" s="1139">
        <f>SUMIFS('4.1 Program Budget - 2024-2027'!AA:AA,'4.1 Program Budget - 2024-2027'!$G:$G,$B38,'4.1 Program Budget - 2024-2027'!$H:$H,README!$M$10)</f>
        <v>0</v>
      </c>
      <c r="I38" s="25">
        <f>SUMIFS('4.1 Program Budget - 2024-2027'!AK:AK,'4.1 Program Budget - 2024-2027'!$G:$G,$B38,'4.1 Program Budget - 2024-2027'!$H:$H,README!$M$10)</f>
        <v>0</v>
      </c>
      <c r="J38" s="759">
        <f>SUMIFS('4.1 Program Budget - 2024-2027'!AO:AO,'4.1 Program Budget - 2024-2027'!$G:$G,$B38,'4.1 Program Budget - 2024-2027'!$H:$H,README!$M$10)</f>
        <v>0</v>
      </c>
      <c r="K38" s="759">
        <f>SUMIFS('4.1 Program Budget - 2024-2027'!AP:AP,'4.1 Program Budget - 2024-2027'!$G:$G,$B38,'4.1 Program Budget - 2024-2027'!$H:$H,README!$M$10)</f>
        <v>0</v>
      </c>
      <c r="L38" s="759">
        <f>SUMIFS('4.1 Program Budget - 2024-2027'!AQ:AQ,'4.1 Program Budget - 2024-2027'!$G:$G,$B38,'4.1 Program Budget - 2024-2027'!$H:$H,README!$M$10)</f>
        <v>0</v>
      </c>
      <c r="M38" s="1139">
        <f>SUMIFS('4.1 Program Budget - 2024-2027'!AR:AR,'4.1 Program Budget - 2024-2027'!$G:$G,$B38,'4.1 Program Budget - 2024-2027'!$H:$H,README!$M$10)</f>
        <v>0</v>
      </c>
      <c r="N38" s="1139">
        <f>SUMIFS('4.1 Program Budget - 2024-2027'!AS:AS,'4.1 Program Budget - 2024-2027'!$G:$G,$B38,'4.1 Program Budget - 2024-2027'!$H:$H,README!$M$10)</f>
        <v>0</v>
      </c>
      <c r="O38" s="25">
        <f>SUMIFS('4.1 Program Budget - 2024-2027'!BC:BC,'4.1 Program Budget - 2024-2027'!$G:$G,$B38,'4.1 Program Budget - 2024-2027'!$H:$H,README!$M$10)</f>
        <v>0</v>
      </c>
      <c r="P38" s="759">
        <f>SUMIFS('4.1 Program Budget - 2024-2027'!BG:BG,'4.1 Program Budget - 2024-2027'!$G:$G,$B38,'4.1 Program Budget - 2024-2027'!$H:$H,README!$M$10)</f>
        <v>0</v>
      </c>
      <c r="Q38" s="759">
        <f>SUMIFS('4.1 Program Budget - 2024-2027'!BH:BH,'4.1 Program Budget - 2024-2027'!$G:$G,$B38,'4.1 Program Budget - 2024-2027'!$H:$H,README!$M$10)</f>
        <v>0</v>
      </c>
      <c r="R38" s="759">
        <f>SUMIFS('4.1 Program Budget - 2024-2027'!BI:BI,'4.1 Program Budget - 2024-2027'!$G:$G,$B38,'4.1 Program Budget - 2024-2027'!$H:$H,README!$M$10)</f>
        <v>0</v>
      </c>
      <c r="S38" s="1139">
        <f>SUMIFS('4.1 Program Budget - 2024-2027'!BJ:BJ,'4.1 Program Budget - 2024-2027'!$G:$G,$B38,'4.1 Program Budget - 2024-2027'!$H:$H,README!$M$10)</f>
        <v>0</v>
      </c>
      <c r="T38" s="1139">
        <f>SUMIFS('4.1 Program Budget - 2024-2027'!BK:BK,'4.1 Program Budget - 2024-2027'!$G:$G,$B38,'4.1 Program Budget - 2024-2027'!$H:$H,README!$M$10)</f>
        <v>0</v>
      </c>
      <c r="U38" s="25">
        <f>SUMIFS('4.1 Program Budget - 2024-2027'!BU:BU,'4.1 Program Budget - 2024-2027'!$G:$G,$B38,'4.1 Program Budget - 2024-2027'!$H:$H,README!$M$10)</f>
        <v>0</v>
      </c>
      <c r="V38" s="759">
        <f>SUMIFS('4.1 Program Budget - 2024-2027'!BY:BY,'4.1 Program Budget - 2024-2027'!$G:$G,$B38,'4.1 Program Budget - 2024-2027'!$H:$H,README!$M$10)</f>
        <v>0</v>
      </c>
      <c r="W38" s="759">
        <f>SUMIFS('4.1 Program Budget - 2024-2027'!BZ:BZ,'4.1 Program Budget - 2024-2027'!$G:$G,$B38,'4.1 Program Budget - 2024-2027'!$H:$H,README!$M$10)</f>
        <v>0</v>
      </c>
      <c r="X38" s="759">
        <f>SUMIFS('4.1 Program Budget - 2024-2027'!CA:CA,'4.1 Program Budget - 2024-2027'!$G:$G,$B38,'4.1 Program Budget - 2024-2027'!$H:$H,README!$M$10)</f>
        <v>0</v>
      </c>
      <c r="Y38" s="1139">
        <f>SUMIFS('4.1 Program Budget - 2024-2027'!CB:CB,'4.1 Program Budget - 2024-2027'!$G:$G,$B38,'4.1 Program Budget - 2024-2027'!$H:$H,README!$M$10)</f>
        <v>0</v>
      </c>
      <c r="Z38" s="1139">
        <f>SUMIFS('4.1 Program Budget - 2024-2027'!CC:CC,'4.1 Program Budget - 2024-2027'!$G:$G,$B38,'4.1 Program Budget - 2024-2027'!$H:$H,README!$M$10)</f>
        <v>0</v>
      </c>
      <c r="AA38" s="758">
        <f>SUMIFS('4.2 Program Budget 2028-2031'!I:I,'4.2 Program Budget 2028-2031'!D:D,B38,'4.2 Program Budget 2028-2031'!F:F,README!$M$10)</f>
        <v>0</v>
      </c>
      <c r="AB38" s="759">
        <f>SUMIFS('4.2 Program Budget 2028-2031'!J:J,'4.2 Program Budget 2028-2031'!$D:$D,$B38,'4.2 Program Budget 2028-2031'!$F:$F,README!$M$10)</f>
        <v>0</v>
      </c>
      <c r="AC38" s="759">
        <f>SUMIFS('4.2 Program Budget 2028-2031'!K:K,'4.2 Program Budget 2028-2031'!$D:$D,$B38,'4.2 Program Budget 2028-2031'!$F:$F,README!$M$10)</f>
        <v>0</v>
      </c>
      <c r="AD38" s="759">
        <f>SUMIFS('4.2 Program Budget 2028-2031'!L:L,'4.2 Program Budget 2028-2031'!$D:$D,$B38,'4.2 Program Budget 2028-2031'!$F:$F,README!$M$10)</f>
        <v>0</v>
      </c>
      <c r="AE38" s="759">
        <f>SUMIFS('4.2 Program Budget 2028-2031'!M:M,'4.2 Program Budget 2028-2031'!$D:$D,$B38,'4.2 Program Budget 2028-2031'!$F:$F,README!$M$10)</f>
        <v>0</v>
      </c>
      <c r="AF38" s="759">
        <f>SUMIFS('4.2 Program Budget 2028-2031'!N:N,'4.2 Program Budget 2028-2031'!$D:$D,$B38,'4.2 Program Budget 2028-2031'!$F:$F,README!$M$10)</f>
        <v>0</v>
      </c>
      <c r="AG38" s="758">
        <f>SUMIFS('4.2 Program Budget 2028-2031'!T:T,'4.2 Program Budget 2028-2031'!$D:$D,$B38,'4.2 Program Budget 2028-2031'!$F:$F,README!$M$10)</f>
        <v>0</v>
      </c>
      <c r="AH38" s="759">
        <f>SUMIFS('4.2 Program Budget 2028-2031'!U:U,'4.2 Program Budget 2028-2031'!$D:$D,$B38,'4.2 Program Budget 2028-2031'!$F:$F,README!$M$10)</f>
        <v>0</v>
      </c>
      <c r="AI38" s="759">
        <f>SUMIFS('4.2 Program Budget 2028-2031'!V:V,'4.2 Program Budget 2028-2031'!$D:$D,$B38,'4.2 Program Budget 2028-2031'!$F:$F,README!$M$10)</f>
        <v>0</v>
      </c>
      <c r="AJ38" s="759">
        <f>SUMIFS('4.2 Program Budget 2028-2031'!W:W,'4.2 Program Budget 2028-2031'!$D:$D,$B38,'4.2 Program Budget 2028-2031'!$F:$F,README!$M$10)</f>
        <v>0</v>
      </c>
      <c r="AK38" s="759">
        <f>SUMIFS('4.2 Program Budget 2028-2031'!X:X,'4.2 Program Budget 2028-2031'!$D:$D,$B38,'4.2 Program Budget 2028-2031'!$F:$F,README!$M$10)</f>
        <v>0</v>
      </c>
      <c r="AL38" s="759">
        <f>SUMIFS('4.2 Program Budget 2028-2031'!Y:Y,'4.2 Program Budget 2028-2031'!$D:$D,$B38,'4.2 Program Budget 2028-2031'!$F:$F,README!$M$10)</f>
        <v>0</v>
      </c>
      <c r="AM38" s="758">
        <f>SUMIFS('4.2 Program Budget 2028-2031'!AE:AE,'4.2 Program Budget 2028-2031'!$D:$D,$B38,'4.2 Program Budget 2028-2031'!$F:$F,README!$M$10)</f>
        <v>0</v>
      </c>
      <c r="AN38" s="759">
        <f>SUMIFS('4.2 Program Budget 2028-2031'!AF:AF,'4.2 Program Budget 2028-2031'!$D:$D,$B38,'4.2 Program Budget 2028-2031'!$F:$F,README!$M$10)</f>
        <v>0</v>
      </c>
      <c r="AO38" s="759">
        <f>SUMIFS('4.2 Program Budget 2028-2031'!AG:AG,'4.2 Program Budget 2028-2031'!$D:$D,$B38,'4.2 Program Budget 2028-2031'!$F:$F,README!$M$10)</f>
        <v>0</v>
      </c>
      <c r="AP38" s="759">
        <f>SUMIFS('4.2 Program Budget 2028-2031'!AH:AH,'4.2 Program Budget 2028-2031'!$D:$D,$B38,'4.2 Program Budget 2028-2031'!$F:$F,README!$M$10)</f>
        <v>0</v>
      </c>
      <c r="AQ38" s="759">
        <f>SUMIFS('4.2 Program Budget 2028-2031'!AI:AI,'4.2 Program Budget 2028-2031'!$D:$D,$B38,'4.2 Program Budget 2028-2031'!$F:$F,README!$M$10)</f>
        <v>0</v>
      </c>
      <c r="AR38" s="759">
        <f>SUMIFS('4.2 Program Budget 2028-2031'!AJ:AJ,'4.2 Program Budget 2028-2031'!$D:$D,$B38,'4.2 Program Budget 2028-2031'!$F:$F,README!$M$10)</f>
        <v>0</v>
      </c>
      <c r="AS38" s="758">
        <f>SUMIFS('4.2 Program Budget 2028-2031'!AP:AP,'4.2 Program Budget 2028-2031'!$D:$D,$B38,'4.2 Program Budget 2028-2031'!$F:$F,README!$M$10)</f>
        <v>0</v>
      </c>
      <c r="AT38" s="759">
        <f>SUMIFS('4.2 Program Budget 2028-2031'!AQ:AQ,'4.2 Program Budget 2028-2031'!$D:$D,$B38,'4.2 Program Budget 2028-2031'!$F:$F,README!$M$10)</f>
        <v>0</v>
      </c>
      <c r="AU38" s="759">
        <f>SUMIFS('4.2 Program Budget 2028-2031'!AR:AR,'4.2 Program Budget 2028-2031'!$D:$D,$B38,'4.2 Program Budget 2028-2031'!$F:$F,README!$M$10)</f>
        <v>0</v>
      </c>
      <c r="AV38" s="759">
        <f>SUMIFS('4.2 Program Budget 2028-2031'!AS:AS,'4.2 Program Budget 2028-2031'!$D:$D,$B38,'4.2 Program Budget 2028-2031'!$F:$F,README!$M$10)</f>
        <v>0</v>
      </c>
      <c r="AW38" s="759">
        <f>SUMIFS('4.2 Program Budget 2028-2031'!AT:AT,'4.2 Program Budget 2028-2031'!$D:$D,$B38,'4.2 Program Budget 2028-2031'!$F:$F,README!$M$10)</f>
        <v>0</v>
      </c>
      <c r="AX38" s="759">
        <f>SUMIFS('4.2 Program Budget 2028-2031'!AU:AU,'4.2 Program Budget 2028-2031'!$D:$D,$B38,'4.2 Program Budget 2028-2031'!$F:$F,README!$M$10)</f>
        <v>0</v>
      </c>
      <c r="AZ38" s="761"/>
      <c r="BB38" s="1140"/>
      <c r="BC38" s="1141"/>
      <c r="BD38" s="1141"/>
      <c r="BE38" s="1141"/>
    </row>
    <row r="39" spans="1:57">
      <c r="B39" s="757" t="s">
        <v>29</v>
      </c>
      <c r="C39" s="25">
        <f>SUMIFS('4.1 Program Budget - 2024-2027'!S:S,'4.1 Program Budget - 2024-2027'!$G:$G,$B39,'4.1 Program Budget - 2024-2027'!$H:$H,README!$M$10)</f>
        <v>0</v>
      </c>
      <c r="D39" s="1139">
        <f>SUMIFS('4.1 Program Budget - 2024-2027'!W:W,'4.1 Program Budget - 2024-2027'!$G:$G,$B39,'4.1 Program Budget - 2024-2027'!$H:$H,README!$M$10)</f>
        <v>0</v>
      </c>
      <c r="E39" s="1139">
        <f>SUMIFS('4.1 Program Budget - 2024-2027'!X:X,'4.1 Program Budget - 2024-2027'!$G:$G,$B39,'4.1 Program Budget - 2024-2027'!$H:$H,README!$M$10)</f>
        <v>0</v>
      </c>
      <c r="F39" s="1139">
        <f>SUMIFS('4.1 Program Budget - 2024-2027'!Y:Y,'4.1 Program Budget - 2024-2027'!$G:$G,$B39,'4.1 Program Budget - 2024-2027'!$H:$H,README!$M$10)</f>
        <v>0</v>
      </c>
      <c r="G39" s="1139">
        <f>SUMIFS('4.1 Program Budget - 2024-2027'!Z:Z,'4.1 Program Budget - 2024-2027'!$G:$G,$B39,'4.1 Program Budget - 2024-2027'!$H:$H,README!$M$10)</f>
        <v>0</v>
      </c>
      <c r="H39" s="1139">
        <f>SUMIFS('4.1 Program Budget - 2024-2027'!AA:AA,'4.1 Program Budget - 2024-2027'!$G:$G,$B39,'4.1 Program Budget - 2024-2027'!$H:$H,README!$M$10)</f>
        <v>0</v>
      </c>
      <c r="I39" s="25">
        <f>SUMIFS('4.1 Program Budget - 2024-2027'!AK:AK,'4.1 Program Budget - 2024-2027'!$G:$G,$B39,'4.1 Program Budget - 2024-2027'!$H:$H,README!$M$10)</f>
        <v>0</v>
      </c>
      <c r="J39" s="759">
        <f>SUMIFS('4.1 Program Budget - 2024-2027'!AO:AO,'4.1 Program Budget - 2024-2027'!$G:$G,$B39,'4.1 Program Budget - 2024-2027'!$H:$H,README!$M$10)</f>
        <v>0</v>
      </c>
      <c r="K39" s="759">
        <f>SUMIFS('4.1 Program Budget - 2024-2027'!AP:AP,'4.1 Program Budget - 2024-2027'!$G:$G,$B39,'4.1 Program Budget - 2024-2027'!$H:$H,README!$M$10)</f>
        <v>0</v>
      </c>
      <c r="L39" s="759">
        <f>SUMIFS('4.1 Program Budget - 2024-2027'!AQ:AQ,'4.1 Program Budget - 2024-2027'!$G:$G,$B39,'4.1 Program Budget - 2024-2027'!$H:$H,README!$M$10)</f>
        <v>0</v>
      </c>
      <c r="M39" s="1139">
        <f>SUMIFS('4.1 Program Budget - 2024-2027'!AR:AR,'4.1 Program Budget - 2024-2027'!$G:$G,$B39,'4.1 Program Budget - 2024-2027'!$H:$H,README!$M$10)</f>
        <v>0</v>
      </c>
      <c r="N39" s="1139">
        <f>SUMIFS('4.1 Program Budget - 2024-2027'!AS:AS,'4.1 Program Budget - 2024-2027'!$G:$G,$B39,'4.1 Program Budget - 2024-2027'!$H:$H,README!$M$10)</f>
        <v>0</v>
      </c>
      <c r="O39" s="25">
        <f>SUMIFS('4.1 Program Budget - 2024-2027'!BC:BC,'4.1 Program Budget - 2024-2027'!$G:$G,$B39,'4.1 Program Budget - 2024-2027'!$H:$H,README!$M$10)</f>
        <v>0</v>
      </c>
      <c r="P39" s="759">
        <f>SUMIFS('4.1 Program Budget - 2024-2027'!BG:BG,'4.1 Program Budget - 2024-2027'!$G:$G,$B39,'4.1 Program Budget - 2024-2027'!$H:$H,README!$M$10)</f>
        <v>0</v>
      </c>
      <c r="Q39" s="759">
        <f>SUMIFS('4.1 Program Budget - 2024-2027'!BH:BH,'4.1 Program Budget - 2024-2027'!$G:$G,$B39,'4.1 Program Budget - 2024-2027'!$H:$H,README!$M$10)</f>
        <v>0</v>
      </c>
      <c r="R39" s="759">
        <f>SUMIFS('4.1 Program Budget - 2024-2027'!BI:BI,'4.1 Program Budget - 2024-2027'!$G:$G,$B39,'4.1 Program Budget - 2024-2027'!$H:$H,README!$M$10)</f>
        <v>0</v>
      </c>
      <c r="S39" s="1139">
        <f>SUMIFS('4.1 Program Budget - 2024-2027'!BJ:BJ,'4.1 Program Budget - 2024-2027'!$G:$G,$B39,'4.1 Program Budget - 2024-2027'!$H:$H,README!$M$10)</f>
        <v>0</v>
      </c>
      <c r="T39" s="1139">
        <f>SUMIFS('4.1 Program Budget - 2024-2027'!BK:BK,'4.1 Program Budget - 2024-2027'!$G:$G,$B39,'4.1 Program Budget - 2024-2027'!$H:$H,README!$M$10)</f>
        <v>0</v>
      </c>
      <c r="U39" s="25">
        <f>SUMIFS('4.1 Program Budget - 2024-2027'!BU:BU,'4.1 Program Budget - 2024-2027'!$G:$G,$B39,'4.1 Program Budget - 2024-2027'!$H:$H,README!$M$10)</f>
        <v>0</v>
      </c>
      <c r="V39" s="759">
        <f>SUMIFS('4.1 Program Budget - 2024-2027'!BY:BY,'4.1 Program Budget - 2024-2027'!$G:$G,$B39,'4.1 Program Budget - 2024-2027'!$H:$H,README!$M$10)</f>
        <v>0</v>
      </c>
      <c r="W39" s="759">
        <f>SUMIFS('4.1 Program Budget - 2024-2027'!BZ:BZ,'4.1 Program Budget - 2024-2027'!$G:$G,$B39,'4.1 Program Budget - 2024-2027'!$H:$H,README!$M$10)</f>
        <v>0</v>
      </c>
      <c r="X39" s="759">
        <f>SUMIFS('4.1 Program Budget - 2024-2027'!CA:CA,'4.1 Program Budget - 2024-2027'!$G:$G,$B39,'4.1 Program Budget - 2024-2027'!$H:$H,README!$M$10)</f>
        <v>0</v>
      </c>
      <c r="Y39" s="1139">
        <f>SUMIFS('4.1 Program Budget - 2024-2027'!CB:CB,'4.1 Program Budget - 2024-2027'!$G:$G,$B39,'4.1 Program Budget - 2024-2027'!$H:$H,README!$M$10)</f>
        <v>0</v>
      </c>
      <c r="Z39" s="1139">
        <f>SUMIFS('4.1 Program Budget - 2024-2027'!CC:CC,'4.1 Program Budget - 2024-2027'!$G:$G,$B39,'4.1 Program Budget - 2024-2027'!$H:$H,README!$M$10)</f>
        <v>0</v>
      </c>
      <c r="AA39" s="758">
        <f>SUMIFS('4.2 Program Budget 2028-2031'!I:I,'4.2 Program Budget 2028-2031'!D:D,B39,'4.2 Program Budget 2028-2031'!F:F,README!$M$10)</f>
        <v>0</v>
      </c>
      <c r="AB39" s="759">
        <f>SUMIFS('4.2 Program Budget 2028-2031'!J:J,'4.2 Program Budget 2028-2031'!$D:$D,$B39,'4.2 Program Budget 2028-2031'!$F:$F,README!$M$10)</f>
        <v>0</v>
      </c>
      <c r="AC39" s="759">
        <f>SUMIFS('4.2 Program Budget 2028-2031'!K:K,'4.2 Program Budget 2028-2031'!$D:$D,$B39,'4.2 Program Budget 2028-2031'!$F:$F,README!$M$10)</f>
        <v>0</v>
      </c>
      <c r="AD39" s="759">
        <f>SUMIFS('4.2 Program Budget 2028-2031'!L:L,'4.2 Program Budget 2028-2031'!$D:$D,$B39,'4.2 Program Budget 2028-2031'!$F:$F,README!$M$10)</f>
        <v>0</v>
      </c>
      <c r="AE39" s="759">
        <f>SUMIFS('4.2 Program Budget 2028-2031'!M:M,'4.2 Program Budget 2028-2031'!$D:$D,$B39,'4.2 Program Budget 2028-2031'!$F:$F,README!$M$10)</f>
        <v>0</v>
      </c>
      <c r="AF39" s="759">
        <f>SUMIFS('4.2 Program Budget 2028-2031'!N:N,'4.2 Program Budget 2028-2031'!$D:$D,$B39,'4.2 Program Budget 2028-2031'!$F:$F,README!$M$10)</f>
        <v>0</v>
      </c>
      <c r="AG39" s="758">
        <f>SUMIFS('4.2 Program Budget 2028-2031'!T:T,'4.2 Program Budget 2028-2031'!$D:$D,$B39,'4.2 Program Budget 2028-2031'!$F:$F,README!$M$10)</f>
        <v>0</v>
      </c>
      <c r="AH39" s="759">
        <f>SUMIFS('4.2 Program Budget 2028-2031'!U:U,'4.2 Program Budget 2028-2031'!$D:$D,$B39,'4.2 Program Budget 2028-2031'!$F:$F,README!$M$10)</f>
        <v>0</v>
      </c>
      <c r="AI39" s="759">
        <f>SUMIFS('4.2 Program Budget 2028-2031'!V:V,'4.2 Program Budget 2028-2031'!$D:$D,$B39,'4.2 Program Budget 2028-2031'!$F:$F,README!$M$10)</f>
        <v>0</v>
      </c>
      <c r="AJ39" s="759">
        <f>SUMIFS('4.2 Program Budget 2028-2031'!W:W,'4.2 Program Budget 2028-2031'!$D:$D,$B39,'4.2 Program Budget 2028-2031'!$F:$F,README!$M$10)</f>
        <v>0</v>
      </c>
      <c r="AK39" s="759">
        <f>SUMIFS('4.2 Program Budget 2028-2031'!X:X,'4.2 Program Budget 2028-2031'!$D:$D,$B39,'4.2 Program Budget 2028-2031'!$F:$F,README!$M$10)</f>
        <v>0</v>
      </c>
      <c r="AL39" s="759">
        <f>SUMIFS('4.2 Program Budget 2028-2031'!Y:Y,'4.2 Program Budget 2028-2031'!$D:$D,$B39,'4.2 Program Budget 2028-2031'!$F:$F,README!$M$10)</f>
        <v>0</v>
      </c>
      <c r="AM39" s="758">
        <f>SUMIFS('4.2 Program Budget 2028-2031'!AE:AE,'4.2 Program Budget 2028-2031'!$D:$D,$B39,'4.2 Program Budget 2028-2031'!$F:$F,README!$M$10)</f>
        <v>0</v>
      </c>
      <c r="AN39" s="759">
        <f>SUMIFS('4.2 Program Budget 2028-2031'!AF:AF,'4.2 Program Budget 2028-2031'!$D:$D,$B39,'4.2 Program Budget 2028-2031'!$F:$F,README!$M$10)</f>
        <v>0</v>
      </c>
      <c r="AO39" s="759">
        <f>SUMIFS('4.2 Program Budget 2028-2031'!AG:AG,'4.2 Program Budget 2028-2031'!$D:$D,$B39,'4.2 Program Budget 2028-2031'!$F:$F,README!$M$10)</f>
        <v>0</v>
      </c>
      <c r="AP39" s="759">
        <f>SUMIFS('4.2 Program Budget 2028-2031'!AH:AH,'4.2 Program Budget 2028-2031'!$D:$D,$B39,'4.2 Program Budget 2028-2031'!$F:$F,README!$M$10)</f>
        <v>0</v>
      </c>
      <c r="AQ39" s="759">
        <f>SUMIFS('4.2 Program Budget 2028-2031'!AI:AI,'4.2 Program Budget 2028-2031'!$D:$D,$B39,'4.2 Program Budget 2028-2031'!$F:$F,README!$M$10)</f>
        <v>0</v>
      </c>
      <c r="AR39" s="759">
        <f>SUMIFS('4.2 Program Budget 2028-2031'!AJ:AJ,'4.2 Program Budget 2028-2031'!$D:$D,$B39,'4.2 Program Budget 2028-2031'!$F:$F,README!$M$10)</f>
        <v>0</v>
      </c>
      <c r="AS39" s="758">
        <f>SUMIFS('4.2 Program Budget 2028-2031'!AP:AP,'4.2 Program Budget 2028-2031'!$D:$D,$B39,'4.2 Program Budget 2028-2031'!$F:$F,README!$M$10)</f>
        <v>0</v>
      </c>
      <c r="AT39" s="759">
        <f>SUMIFS('4.2 Program Budget 2028-2031'!AQ:AQ,'4.2 Program Budget 2028-2031'!$D:$D,$B39,'4.2 Program Budget 2028-2031'!$F:$F,README!$M$10)</f>
        <v>0</v>
      </c>
      <c r="AU39" s="759">
        <f>SUMIFS('4.2 Program Budget 2028-2031'!AR:AR,'4.2 Program Budget 2028-2031'!$D:$D,$B39,'4.2 Program Budget 2028-2031'!$F:$F,README!$M$10)</f>
        <v>0</v>
      </c>
      <c r="AV39" s="759">
        <f>SUMIFS('4.2 Program Budget 2028-2031'!AS:AS,'4.2 Program Budget 2028-2031'!$D:$D,$B39,'4.2 Program Budget 2028-2031'!$F:$F,README!$M$10)</f>
        <v>0</v>
      </c>
      <c r="AW39" s="759">
        <f>SUMIFS('4.2 Program Budget 2028-2031'!AT:AT,'4.2 Program Budget 2028-2031'!$D:$D,$B39,'4.2 Program Budget 2028-2031'!$F:$F,README!$M$10)</f>
        <v>0</v>
      </c>
      <c r="AX39" s="759">
        <f>SUMIFS('4.2 Program Budget 2028-2031'!AU:AU,'4.2 Program Budget 2028-2031'!$D:$D,$B39,'4.2 Program Budget 2028-2031'!$F:$F,README!$M$10)</f>
        <v>0</v>
      </c>
      <c r="AZ39" s="761"/>
      <c r="BB39" s="1140"/>
      <c r="BC39" s="1141"/>
      <c r="BD39" s="1141"/>
      <c r="BE39" s="1141"/>
    </row>
    <row r="40" spans="1:57">
      <c r="B40" s="757" t="s">
        <v>30</v>
      </c>
      <c r="C40" s="25">
        <f>SUMIFS('4.1 Program Budget - 2024-2027'!S:S,'4.1 Program Budget - 2024-2027'!$G:$G,$B40,'4.1 Program Budget - 2024-2027'!$H:$H,README!$M$10)</f>
        <v>0</v>
      </c>
      <c r="D40" s="1139">
        <f>SUMIFS('4.1 Program Budget - 2024-2027'!W:W,'4.1 Program Budget - 2024-2027'!$G:$G,$B40,'4.1 Program Budget - 2024-2027'!$H:$H,README!$M$10)</f>
        <v>0</v>
      </c>
      <c r="E40" s="1139">
        <f>SUMIFS('4.1 Program Budget - 2024-2027'!X:X,'4.1 Program Budget - 2024-2027'!$G:$G,$B40,'4.1 Program Budget - 2024-2027'!$H:$H,README!$M$10)</f>
        <v>0</v>
      </c>
      <c r="F40" s="1139">
        <f>SUMIFS('4.1 Program Budget - 2024-2027'!Y:Y,'4.1 Program Budget - 2024-2027'!$G:$G,$B40,'4.1 Program Budget - 2024-2027'!$H:$H,README!$M$10)</f>
        <v>0</v>
      </c>
      <c r="G40" s="1139">
        <f>SUMIFS('4.1 Program Budget - 2024-2027'!Z:Z,'4.1 Program Budget - 2024-2027'!$G:$G,$B40,'4.1 Program Budget - 2024-2027'!$H:$H,README!$M$10)</f>
        <v>0</v>
      </c>
      <c r="H40" s="1139">
        <f>SUMIFS('4.1 Program Budget - 2024-2027'!AA:AA,'4.1 Program Budget - 2024-2027'!$G:$G,$B40,'4.1 Program Budget - 2024-2027'!$H:$H,README!$M$10)</f>
        <v>0</v>
      </c>
      <c r="I40" s="25">
        <f>SUMIFS('4.1 Program Budget - 2024-2027'!AK:AK,'4.1 Program Budget - 2024-2027'!$G:$G,$B40,'4.1 Program Budget - 2024-2027'!$H:$H,README!$M$10)</f>
        <v>0</v>
      </c>
      <c r="J40" s="759">
        <f>SUMIFS('4.1 Program Budget - 2024-2027'!AO:AO,'4.1 Program Budget - 2024-2027'!$G:$G,$B40,'4.1 Program Budget - 2024-2027'!$H:$H,README!$M$10)</f>
        <v>0</v>
      </c>
      <c r="K40" s="759">
        <f>SUMIFS('4.1 Program Budget - 2024-2027'!AP:AP,'4.1 Program Budget - 2024-2027'!$G:$G,$B40,'4.1 Program Budget - 2024-2027'!$H:$H,README!$M$10)</f>
        <v>0</v>
      </c>
      <c r="L40" s="759">
        <f>SUMIFS('4.1 Program Budget - 2024-2027'!AQ:AQ,'4.1 Program Budget - 2024-2027'!$G:$G,$B40,'4.1 Program Budget - 2024-2027'!$H:$H,README!$M$10)</f>
        <v>0</v>
      </c>
      <c r="M40" s="1139">
        <f>SUMIFS('4.1 Program Budget - 2024-2027'!AR:AR,'4.1 Program Budget - 2024-2027'!$G:$G,$B40,'4.1 Program Budget - 2024-2027'!$H:$H,README!$M$10)</f>
        <v>0</v>
      </c>
      <c r="N40" s="1139">
        <f>SUMIFS('4.1 Program Budget - 2024-2027'!AS:AS,'4.1 Program Budget - 2024-2027'!$G:$G,$B40,'4.1 Program Budget - 2024-2027'!$H:$H,README!$M$10)</f>
        <v>0</v>
      </c>
      <c r="O40" s="25">
        <f>SUMIFS('4.1 Program Budget - 2024-2027'!BC:BC,'4.1 Program Budget - 2024-2027'!$G:$G,$B40,'4.1 Program Budget - 2024-2027'!$H:$H,README!$M$10)</f>
        <v>0</v>
      </c>
      <c r="P40" s="759">
        <f>SUMIFS('4.1 Program Budget - 2024-2027'!BG:BG,'4.1 Program Budget - 2024-2027'!$G:$G,$B40,'4.1 Program Budget - 2024-2027'!$H:$H,README!$M$10)</f>
        <v>0</v>
      </c>
      <c r="Q40" s="759">
        <f>SUMIFS('4.1 Program Budget - 2024-2027'!BH:BH,'4.1 Program Budget - 2024-2027'!$G:$G,$B40,'4.1 Program Budget - 2024-2027'!$H:$H,README!$M$10)</f>
        <v>0</v>
      </c>
      <c r="R40" s="759">
        <f>SUMIFS('4.1 Program Budget - 2024-2027'!BI:BI,'4.1 Program Budget - 2024-2027'!$G:$G,$B40,'4.1 Program Budget - 2024-2027'!$H:$H,README!$M$10)</f>
        <v>0</v>
      </c>
      <c r="S40" s="1139">
        <f>SUMIFS('4.1 Program Budget - 2024-2027'!BJ:BJ,'4.1 Program Budget - 2024-2027'!$G:$G,$B40,'4.1 Program Budget - 2024-2027'!$H:$H,README!$M$10)</f>
        <v>0</v>
      </c>
      <c r="T40" s="1139">
        <f>SUMIFS('4.1 Program Budget - 2024-2027'!BK:BK,'4.1 Program Budget - 2024-2027'!$G:$G,$B40,'4.1 Program Budget - 2024-2027'!$H:$H,README!$M$10)</f>
        <v>0</v>
      </c>
      <c r="U40" s="25">
        <f>SUMIFS('4.1 Program Budget - 2024-2027'!BU:BU,'4.1 Program Budget - 2024-2027'!$G:$G,$B40,'4.1 Program Budget - 2024-2027'!$H:$H,README!$M$10)</f>
        <v>0</v>
      </c>
      <c r="V40" s="759">
        <f>SUMIFS('4.1 Program Budget - 2024-2027'!BY:BY,'4.1 Program Budget - 2024-2027'!$G:$G,$B40,'4.1 Program Budget - 2024-2027'!$H:$H,README!$M$10)</f>
        <v>0</v>
      </c>
      <c r="W40" s="759">
        <f>SUMIFS('4.1 Program Budget - 2024-2027'!BZ:BZ,'4.1 Program Budget - 2024-2027'!$G:$G,$B40,'4.1 Program Budget - 2024-2027'!$H:$H,README!$M$10)</f>
        <v>0</v>
      </c>
      <c r="X40" s="759">
        <f>SUMIFS('4.1 Program Budget - 2024-2027'!CA:CA,'4.1 Program Budget - 2024-2027'!$G:$G,$B40,'4.1 Program Budget - 2024-2027'!$H:$H,README!$M$10)</f>
        <v>0</v>
      </c>
      <c r="Y40" s="1139">
        <f>SUMIFS('4.1 Program Budget - 2024-2027'!CB:CB,'4.1 Program Budget - 2024-2027'!$G:$G,$B40,'4.1 Program Budget - 2024-2027'!$H:$H,README!$M$10)</f>
        <v>0</v>
      </c>
      <c r="Z40" s="1139">
        <f>SUMIFS('4.1 Program Budget - 2024-2027'!CC:CC,'4.1 Program Budget - 2024-2027'!$G:$G,$B40,'4.1 Program Budget - 2024-2027'!$H:$H,README!$M$10)</f>
        <v>0</v>
      </c>
      <c r="AA40" s="758">
        <f>SUMIFS('4.2 Program Budget 2028-2031'!I:I,'4.2 Program Budget 2028-2031'!D:D,B40,'4.2 Program Budget 2028-2031'!F:F,README!$M$10)</f>
        <v>0</v>
      </c>
      <c r="AB40" s="759">
        <f>SUMIFS('4.2 Program Budget 2028-2031'!J:J,'4.2 Program Budget 2028-2031'!$D:$D,$B40,'4.2 Program Budget 2028-2031'!$F:$F,README!$M$10)</f>
        <v>0</v>
      </c>
      <c r="AC40" s="759">
        <f>SUMIFS('4.2 Program Budget 2028-2031'!K:K,'4.2 Program Budget 2028-2031'!$D:$D,$B40,'4.2 Program Budget 2028-2031'!$F:$F,README!$M$10)</f>
        <v>0</v>
      </c>
      <c r="AD40" s="759">
        <f>SUMIFS('4.2 Program Budget 2028-2031'!L:L,'4.2 Program Budget 2028-2031'!$D:$D,$B40,'4.2 Program Budget 2028-2031'!$F:$F,README!$M$10)</f>
        <v>0</v>
      </c>
      <c r="AE40" s="759">
        <f>SUMIFS('4.2 Program Budget 2028-2031'!M:M,'4.2 Program Budget 2028-2031'!$D:$D,$B40,'4.2 Program Budget 2028-2031'!$F:$F,README!$M$10)</f>
        <v>0</v>
      </c>
      <c r="AF40" s="759">
        <f>SUMIFS('4.2 Program Budget 2028-2031'!N:N,'4.2 Program Budget 2028-2031'!$D:$D,$B40,'4.2 Program Budget 2028-2031'!$F:$F,README!$M$10)</f>
        <v>0</v>
      </c>
      <c r="AG40" s="758">
        <f>SUMIFS('4.2 Program Budget 2028-2031'!T:T,'4.2 Program Budget 2028-2031'!$D:$D,$B40,'4.2 Program Budget 2028-2031'!$F:$F,README!$M$10)</f>
        <v>0</v>
      </c>
      <c r="AH40" s="759">
        <f>SUMIFS('4.2 Program Budget 2028-2031'!U:U,'4.2 Program Budget 2028-2031'!$D:$D,$B40,'4.2 Program Budget 2028-2031'!$F:$F,README!$M$10)</f>
        <v>0</v>
      </c>
      <c r="AI40" s="759">
        <f>SUMIFS('4.2 Program Budget 2028-2031'!V:V,'4.2 Program Budget 2028-2031'!$D:$D,$B40,'4.2 Program Budget 2028-2031'!$F:$F,README!$M$10)</f>
        <v>0</v>
      </c>
      <c r="AJ40" s="759">
        <f>SUMIFS('4.2 Program Budget 2028-2031'!W:W,'4.2 Program Budget 2028-2031'!$D:$D,$B40,'4.2 Program Budget 2028-2031'!$F:$F,README!$M$10)</f>
        <v>0</v>
      </c>
      <c r="AK40" s="759">
        <f>SUMIFS('4.2 Program Budget 2028-2031'!X:X,'4.2 Program Budget 2028-2031'!$D:$D,$B40,'4.2 Program Budget 2028-2031'!$F:$F,README!$M$10)</f>
        <v>0</v>
      </c>
      <c r="AL40" s="759">
        <f>SUMIFS('4.2 Program Budget 2028-2031'!Y:Y,'4.2 Program Budget 2028-2031'!$D:$D,$B40,'4.2 Program Budget 2028-2031'!$F:$F,README!$M$10)</f>
        <v>0</v>
      </c>
      <c r="AM40" s="758">
        <f>SUMIFS('4.2 Program Budget 2028-2031'!AE:AE,'4.2 Program Budget 2028-2031'!$D:$D,$B40,'4.2 Program Budget 2028-2031'!$F:$F,README!$M$10)</f>
        <v>0</v>
      </c>
      <c r="AN40" s="759">
        <f>SUMIFS('4.2 Program Budget 2028-2031'!AF:AF,'4.2 Program Budget 2028-2031'!$D:$D,$B40,'4.2 Program Budget 2028-2031'!$F:$F,README!$M$10)</f>
        <v>0</v>
      </c>
      <c r="AO40" s="759">
        <f>SUMIFS('4.2 Program Budget 2028-2031'!AG:AG,'4.2 Program Budget 2028-2031'!$D:$D,$B40,'4.2 Program Budget 2028-2031'!$F:$F,README!$M$10)</f>
        <v>0</v>
      </c>
      <c r="AP40" s="759">
        <f>SUMIFS('4.2 Program Budget 2028-2031'!AH:AH,'4.2 Program Budget 2028-2031'!$D:$D,$B40,'4.2 Program Budget 2028-2031'!$F:$F,README!$M$10)</f>
        <v>0</v>
      </c>
      <c r="AQ40" s="759">
        <f>SUMIFS('4.2 Program Budget 2028-2031'!AI:AI,'4.2 Program Budget 2028-2031'!$D:$D,$B40,'4.2 Program Budget 2028-2031'!$F:$F,README!$M$10)</f>
        <v>0</v>
      </c>
      <c r="AR40" s="759">
        <f>SUMIFS('4.2 Program Budget 2028-2031'!AJ:AJ,'4.2 Program Budget 2028-2031'!$D:$D,$B40,'4.2 Program Budget 2028-2031'!$F:$F,README!$M$10)</f>
        <v>0</v>
      </c>
      <c r="AS40" s="758">
        <f>SUMIFS('4.2 Program Budget 2028-2031'!AP:AP,'4.2 Program Budget 2028-2031'!$D:$D,$B40,'4.2 Program Budget 2028-2031'!$F:$F,README!$M$10)</f>
        <v>0</v>
      </c>
      <c r="AT40" s="759">
        <f>SUMIFS('4.2 Program Budget 2028-2031'!AQ:AQ,'4.2 Program Budget 2028-2031'!$D:$D,$B40,'4.2 Program Budget 2028-2031'!$F:$F,README!$M$10)</f>
        <v>0</v>
      </c>
      <c r="AU40" s="759">
        <f>SUMIFS('4.2 Program Budget 2028-2031'!AR:AR,'4.2 Program Budget 2028-2031'!$D:$D,$B40,'4.2 Program Budget 2028-2031'!$F:$F,README!$M$10)</f>
        <v>0</v>
      </c>
      <c r="AV40" s="759">
        <f>SUMIFS('4.2 Program Budget 2028-2031'!AS:AS,'4.2 Program Budget 2028-2031'!$D:$D,$B40,'4.2 Program Budget 2028-2031'!$F:$F,README!$M$10)</f>
        <v>0</v>
      </c>
      <c r="AW40" s="759">
        <f>SUMIFS('4.2 Program Budget 2028-2031'!AT:AT,'4.2 Program Budget 2028-2031'!$D:$D,$B40,'4.2 Program Budget 2028-2031'!$F:$F,README!$M$10)</f>
        <v>0</v>
      </c>
      <c r="AX40" s="759">
        <f>SUMIFS('4.2 Program Budget 2028-2031'!AU:AU,'4.2 Program Budget 2028-2031'!$D:$D,$B40,'4.2 Program Budget 2028-2031'!$F:$F,README!$M$10)</f>
        <v>0</v>
      </c>
      <c r="AZ40" s="761"/>
      <c r="BB40" s="1140"/>
      <c r="BC40" s="1141"/>
      <c r="BD40" s="1141"/>
      <c r="BE40" s="1141"/>
    </row>
    <row r="41" spans="1:57">
      <c r="A41" s="245">
        <v>1</v>
      </c>
      <c r="B41" s="757" t="s">
        <v>32</v>
      </c>
      <c r="C41" s="25">
        <f>SUMIFS('4.1 Program Budget - 2024-2027'!S:S,'4.1 Program Budget - 2024-2027'!$G:$G,$B41,'4.1 Program Budget - 2024-2027'!$H:$H,README!$M$10)</f>
        <v>1220483.3764928444</v>
      </c>
      <c r="D41" s="1139">
        <f>SUMIFS('4.1 Program Budget - 2024-2027'!W:W,'4.1 Program Budget - 2024-2027'!$G:$G,$B41,'4.1 Program Budget - 2024-2027'!$H:$H,README!$M$10)</f>
        <v>0</v>
      </c>
      <c r="E41" s="1139">
        <f>SUMIFS('4.1 Program Budget - 2024-2027'!X:X,'4.1 Program Budget - 2024-2027'!$G:$G,$B41,'4.1 Program Budget - 2024-2027'!$H:$H,README!$M$10)</f>
        <v>0</v>
      </c>
      <c r="F41" s="1139">
        <f>SUMIFS('4.1 Program Budget - 2024-2027'!Y:Y,'4.1 Program Budget - 2024-2027'!$G:$G,$B41,'4.1 Program Budget - 2024-2027'!$H:$H,README!$M$10)</f>
        <v>0</v>
      </c>
      <c r="G41" s="1139">
        <f>SUMIFS('4.1 Program Budget - 2024-2027'!Z:Z,'4.1 Program Budget - 2024-2027'!$G:$G,$B41,'4.1 Program Budget - 2024-2027'!$H:$H,README!$M$10)</f>
        <v>0</v>
      </c>
      <c r="H41" s="1139">
        <f>SUMIFS('4.1 Program Budget - 2024-2027'!AA:AA,'4.1 Program Budget - 2024-2027'!$G:$G,$B41,'4.1 Program Budget - 2024-2027'!$H:$H,README!$M$10)</f>
        <v>0</v>
      </c>
      <c r="I41" s="25">
        <f>SUMIFS('4.1 Program Budget - 2024-2027'!AK:AK,'4.1 Program Budget - 2024-2027'!$G:$G,$B41,'4.1 Program Budget - 2024-2027'!$H:$H,README!$M$10)</f>
        <v>1222073.5862327206</v>
      </c>
      <c r="J41" s="759">
        <f>SUMIFS('4.1 Program Budget - 2024-2027'!AO:AO,'4.1 Program Budget - 2024-2027'!$G:$G,$B41,'4.1 Program Budget - 2024-2027'!$H:$H,README!$M$10)</f>
        <v>0</v>
      </c>
      <c r="K41" s="759">
        <f>SUMIFS('4.1 Program Budget - 2024-2027'!AP:AP,'4.1 Program Budget - 2024-2027'!$G:$G,$B41,'4.1 Program Budget - 2024-2027'!$H:$H,README!$M$10)</f>
        <v>0</v>
      </c>
      <c r="L41" s="759">
        <f>SUMIFS('4.1 Program Budget - 2024-2027'!AQ:AQ,'4.1 Program Budget - 2024-2027'!$G:$G,$B41,'4.1 Program Budget - 2024-2027'!$H:$H,README!$M$10)</f>
        <v>0</v>
      </c>
      <c r="M41" s="1139">
        <f>SUMIFS('4.1 Program Budget - 2024-2027'!AR:AR,'4.1 Program Budget - 2024-2027'!$G:$G,$B41,'4.1 Program Budget - 2024-2027'!$H:$H,README!$M$10)</f>
        <v>0</v>
      </c>
      <c r="N41" s="1139">
        <f>SUMIFS('4.1 Program Budget - 2024-2027'!AS:AS,'4.1 Program Budget - 2024-2027'!$G:$G,$B41,'4.1 Program Budget - 2024-2027'!$H:$H,README!$M$10)</f>
        <v>0</v>
      </c>
      <c r="O41" s="25">
        <f>SUMIFS('4.1 Program Budget - 2024-2027'!BC:BC,'4.1 Program Budget - 2024-2027'!$G:$G,$B41,'4.1 Program Budget - 2024-2027'!$H:$H,README!$M$10)</f>
        <v>1223339.0070816784</v>
      </c>
      <c r="P41" s="759">
        <f>SUMIFS('4.1 Program Budget - 2024-2027'!BG:BG,'4.1 Program Budget - 2024-2027'!$G:$G,$B41,'4.1 Program Budget - 2024-2027'!$H:$H,README!$M$10)</f>
        <v>0</v>
      </c>
      <c r="Q41" s="759">
        <f>SUMIFS('4.1 Program Budget - 2024-2027'!BH:BH,'4.1 Program Budget - 2024-2027'!$G:$G,$B41,'4.1 Program Budget - 2024-2027'!$H:$H,README!$M$10)</f>
        <v>0</v>
      </c>
      <c r="R41" s="759">
        <f>SUMIFS('4.1 Program Budget - 2024-2027'!BI:BI,'4.1 Program Budget - 2024-2027'!$G:$G,$B41,'4.1 Program Budget - 2024-2027'!$H:$H,README!$M$10)</f>
        <v>0</v>
      </c>
      <c r="S41" s="1139">
        <f>SUMIFS('4.1 Program Budget - 2024-2027'!BJ:BJ,'4.1 Program Budget - 2024-2027'!$G:$G,$B41,'4.1 Program Budget - 2024-2027'!$H:$H,README!$M$10)</f>
        <v>0</v>
      </c>
      <c r="T41" s="1139">
        <f>SUMIFS('4.1 Program Budget - 2024-2027'!BK:BK,'4.1 Program Budget - 2024-2027'!$G:$G,$B41,'4.1 Program Budget - 2024-2027'!$H:$H,README!$M$10)</f>
        <v>0</v>
      </c>
      <c r="U41" s="25">
        <f>SUMIFS('4.1 Program Budget - 2024-2027'!BU:BU,'4.1 Program Budget - 2024-2027'!$G:$G,$B41,'4.1 Program Budget - 2024-2027'!$H:$H,README!$M$10)</f>
        <v>1225957.977954674</v>
      </c>
      <c r="V41" s="759">
        <f>SUMIFS('4.1 Program Budget - 2024-2027'!BY:BY,'4.1 Program Budget - 2024-2027'!$G:$G,$B41,'4.1 Program Budget - 2024-2027'!$H:$H,README!$M$10)</f>
        <v>0</v>
      </c>
      <c r="W41" s="759">
        <f>SUMIFS('4.1 Program Budget - 2024-2027'!BZ:BZ,'4.1 Program Budget - 2024-2027'!$G:$G,$B41,'4.1 Program Budget - 2024-2027'!$H:$H,README!$M$10)</f>
        <v>0</v>
      </c>
      <c r="X41" s="759">
        <f>SUMIFS('4.1 Program Budget - 2024-2027'!CA:CA,'4.1 Program Budget - 2024-2027'!$G:$G,$B41,'4.1 Program Budget - 2024-2027'!$H:$H,README!$M$10)</f>
        <v>0</v>
      </c>
      <c r="Y41" s="1139">
        <f>SUMIFS('4.1 Program Budget - 2024-2027'!CB:CB,'4.1 Program Budget - 2024-2027'!$G:$G,$B41,'4.1 Program Budget - 2024-2027'!$H:$H,README!$M$10)</f>
        <v>0</v>
      </c>
      <c r="Z41" s="1139">
        <f>SUMIFS('4.1 Program Budget - 2024-2027'!CC:CC,'4.1 Program Budget - 2024-2027'!$G:$G,$B41,'4.1 Program Budget - 2024-2027'!$H:$H,README!$M$10)</f>
        <v>0</v>
      </c>
      <c r="AA41" s="758">
        <f>SUMIFS('4.2 Program Budget 2028-2031'!I:I,'4.2 Program Budget 2028-2031'!D:D,B41,'4.2 Program Budget 2028-2031'!F:F,README!$M$10)</f>
        <v>1265188.6332492237</v>
      </c>
      <c r="AB41" s="759">
        <f>SUMIFS('4.2 Program Budget 2028-2031'!J:J,'4.2 Program Budget 2028-2031'!$D:$D,$B41,'4.2 Program Budget 2028-2031'!$F:$F,README!$M$10)</f>
        <v>0</v>
      </c>
      <c r="AC41" s="759">
        <f>SUMIFS('4.2 Program Budget 2028-2031'!K:K,'4.2 Program Budget 2028-2031'!$D:$D,$B41,'4.2 Program Budget 2028-2031'!$F:$F,README!$M$10)</f>
        <v>0</v>
      </c>
      <c r="AD41" s="759">
        <f>SUMIFS('4.2 Program Budget 2028-2031'!L:L,'4.2 Program Budget 2028-2031'!$D:$D,$B41,'4.2 Program Budget 2028-2031'!$F:$F,README!$M$10)</f>
        <v>0</v>
      </c>
      <c r="AE41" s="759">
        <f>SUMIFS('4.2 Program Budget 2028-2031'!M:M,'4.2 Program Budget 2028-2031'!$D:$D,$B41,'4.2 Program Budget 2028-2031'!$F:$F,README!$M$10)</f>
        <v>0</v>
      </c>
      <c r="AF41" s="759">
        <f>SUMIFS('4.2 Program Budget 2028-2031'!N:N,'4.2 Program Budget 2028-2031'!$D:$D,$B41,'4.2 Program Budget 2028-2031'!$F:$F,README!$M$10)</f>
        <v>0</v>
      </c>
      <c r="AG41" s="758">
        <f>SUMIFS('4.2 Program Budget 2028-2031'!T:T,'4.2 Program Budget 2028-2031'!$D:$D,$B41,'4.2 Program Budget 2028-2031'!$F:$F,README!$M$10)</f>
        <v>1305674.6695131988</v>
      </c>
      <c r="AH41" s="759">
        <f>SUMIFS('4.2 Program Budget 2028-2031'!U:U,'4.2 Program Budget 2028-2031'!$D:$D,$B41,'4.2 Program Budget 2028-2031'!$F:$F,README!$M$10)</f>
        <v>0</v>
      </c>
      <c r="AI41" s="759">
        <f>SUMIFS('4.2 Program Budget 2028-2031'!V:V,'4.2 Program Budget 2028-2031'!$D:$D,$B41,'4.2 Program Budget 2028-2031'!$F:$F,README!$M$10)</f>
        <v>0</v>
      </c>
      <c r="AJ41" s="759">
        <f>SUMIFS('4.2 Program Budget 2028-2031'!W:W,'4.2 Program Budget 2028-2031'!$D:$D,$B41,'4.2 Program Budget 2028-2031'!$F:$F,README!$M$10)</f>
        <v>0</v>
      </c>
      <c r="AK41" s="759">
        <f>SUMIFS('4.2 Program Budget 2028-2031'!X:X,'4.2 Program Budget 2028-2031'!$D:$D,$B41,'4.2 Program Budget 2028-2031'!$F:$F,README!$M$10)</f>
        <v>0</v>
      </c>
      <c r="AL41" s="759">
        <f>SUMIFS('4.2 Program Budget 2028-2031'!Y:Y,'4.2 Program Budget 2028-2031'!$D:$D,$B41,'4.2 Program Budget 2028-2031'!$F:$F,README!$M$10)</f>
        <v>0</v>
      </c>
      <c r="AM41" s="758">
        <f>SUMIFS('4.2 Program Budget 2028-2031'!AE:AE,'4.2 Program Budget 2028-2031'!$D:$D,$B41,'4.2 Program Budget 2028-2031'!$F:$F,README!$M$10)</f>
        <v>1347456.2589376213</v>
      </c>
      <c r="AN41" s="759">
        <f>SUMIFS('4.2 Program Budget 2028-2031'!AF:AF,'4.2 Program Budget 2028-2031'!$D:$D,$B41,'4.2 Program Budget 2028-2031'!$F:$F,README!$M$10)</f>
        <v>0</v>
      </c>
      <c r="AO41" s="759">
        <f>SUMIFS('4.2 Program Budget 2028-2031'!AG:AG,'4.2 Program Budget 2028-2031'!$D:$D,$B41,'4.2 Program Budget 2028-2031'!$F:$F,README!$M$10)</f>
        <v>0</v>
      </c>
      <c r="AP41" s="759">
        <f>SUMIFS('4.2 Program Budget 2028-2031'!AH:AH,'4.2 Program Budget 2028-2031'!$D:$D,$B41,'4.2 Program Budget 2028-2031'!$F:$F,README!$M$10)</f>
        <v>0</v>
      </c>
      <c r="AQ41" s="759">
        <f>SUMIFS('4.2 Program Budget 2028-2031'!AI:AI,'4.2 Program Budget 2028-2031'!$D:$D,$B41,'4.2 Program Budget 2028-2031'!$F:$F,README!$M$10)</f>
        <v>0</v>
      </c>
      <c r="AR41" s="759">
        <f>SUMIFS('4.2 Program Budget 2028-2031'!AJ:AJ,'4.2 Program Budget 2028-2031'!$D:$D,$B41,'4.2 Program Budget 2028-2031'!$F:$F,README!$M$10)</f>
        <v>0</v>
      </c>
      <c r="AS41" s="758">
        <f>SUMIFS('4.2 Program Budget 2028-2031'!AP:AP,'4.2 Program Budget 2028-2031'!$D:$D,$B41,'4.2 Program Budget 2028-2031'!$F:$F,README!$M$10)</f>
        <v>1390574.8592236252</v>
      </c>
      <c r="AT41" s="759">
        <f>SUMIFS('4.2 Program Budget 2028-2031'!AQ:AQ,'4.2 Program Budget 2028-2031'!$D:$D,$B41,'4.2 Program Budget 2028-2031'!$F:$F,README!$M$10)</f>
        <v>0</v>
      </c>
      <c r="AU41" s="759">
        <f>SUMIFS('4.2 Program Budget 2028-2031'!AR:AR,'4.2 Program Budget 2028-2031'!$D:$D,$B41,'4.2 Program Budget 2028-2031'!$F:$F,README!$M$10)</f>
        <v>0</v>
      </c>
      <c r="AV41" s="759">
        <f>SUMIFS('4.2 Program Budget 2028-2031'!AS:AS,'4.2 Program Budget 2028-2031'!$D:$D,$B41,'4.2 Program Budget 2028-2031'!$F:$F,README!$M$10)</f>
        <v>0</v>
      </c>
      <c r="AW41" s="759">
        <f>SUMIFS('4.2 Program Budget 2028-2031'!AT:AT,'4.2 Program Budget 2028-2031'!$D:$D,$B41,'4.2 Program Budget 2028-2031'!$F:$F,README!$M$10)</f>
        <v>0</v>
      </c>
      <c r="AX41" s="759">
        <f>SUMIFS('4.2 Program Budget 2028-2031'!AU:AU,'4.2 Program Budget 2028-2031'!$D:$D,$B41,'4.2 Program Budget 2028-2031'!$F:$F,README!$M$10)</f>
        <v>0</v>
      </c>
      <c r="AZ41" s="761"/>
      <c r="BB41" s="1140"/>
      <c r="BC41" s="1141"/>
      <c r="BD41" s="1141"/>
      <c r="BE41" s="1141"/>
    </row>
    <row r="42" spans="1:57">
      <c r="A42" s="245">
        <v>2</v>
      </c>
      <c r="B42" s="757" t="s">
        <v>34</v>
      </c>
      <c r="C42" s="25">
        <f>SUMIFS('4.1 Program Budget - 2024-2027'!S:S,'4.1 Program Budget - 2024-2027'!$G:$G,$B42,'4.1 Program Budget - 2024-2027'!$H:$H,README!$M$10)</f>
        <v>0</v>
      </c>
      <c r="D42" s="1139">
        <f>SUMIFS('4.1 Program Budget - 2024-2027'!W:W,'4.1 Program Budget - 2024-2027'!$G:$G,$B42,'4.1 Program Budget - 2024-2027'!$H:$H,README!$M$10)</f>
        <v>0</v>
      </c>
      <c r="E42" s="1139">
        <f>SUMIFS('4.1 Program Budget - 2024-2027'!X:X,'4.1 Program Budget - 2024-2027'!$G:$G,$B42,'4.1 Program Budget - 2024-2027'!$H:$H,README!$M$10)</f>
        <v>0</v>
      </c>
      <c r="F42" s="1139">
        <f>SUMIFS('4.1 Program Budget - 2024-2027'!Y:Y,'4.1 Program Budget - 2024-2027'!$G:$G,$B42,'4.1 Program Budget - 2024-2027'!$H:$H,README!$M$10)</f>
        <v>0</v>
      </c>
      <c r="G42" s="1139">
        <f>SUMIFS('4.1 Program Budget - 2024-2027'!Z:Z,'4.1 Program Budget - 2024-2027'!$G:$G,$B42,'4.1 Program Budget - 2024-2027'!$H:$H,README!$M$10)</f>
        <v>0</v>
      </c>
      <c r="H42" s="1139">
        <f>SUMIFS('4.1 Program Budget - 2024-2027'!AA:AA,'4.1 Program Budget - 2024-2027'!$G:$G,$B42,'4.1 Program Budget - 2024-2027'!$H:$H,README!$M$10)</f>
        <v>0</v>
      </c>
      <c r="I42" s="25">
        <f>SUMIFS('4.1 Program Budget - 2024-2027'!AK:AK,'4.1 Program Budget - 2024-2027'!$G:$G,$B42,'4.1 Program Budget - 2024-2027'!$H:$H,README!$M$10)</f>
        <v>0</v>
      </c>
      <c r="J42" s="759">
        <f>SUMIFS('4.1 Program Budget - 2024-2027'!AO:AO,'4.1 Program Budget - 2024-2027'!$G:$G,$B42,'4.1 Program Budget - 2024-2027'!$H:$H,README!$M$10)</f>
        <v>0</v>
      </c>
      <c r="K42" s="759">
        <f>SUMIFS('4.1 Program Budget - 2024-2027'!AP:AP,'4.1 Program Budget - 2024-2027'!$G:$G,$B42,'4.1 Program Budget - 2024-2027'!$H:$H,README!$M$10)</f>
        <v>0</v>
      </c>
      <c r="L42" s="759">
        <f>SUMIFS('4.1 Program Budget - 2024-2027'!AQ:AQ,'4.1 Program Budget - 2024-2027'!$G:$G,$B42,'4.1 Program Budget - 2024-2027'!$H:$H,README!$M$10)</f>
        <v>0</v>
      </c>
      <c r="M42" s="1139">
        <f>SUMIFS('4.1 Program Budget - 2024-2027'!AR:AR,'4.1 Program Budget - 2024-2027'!$G:$G,$B42,'4.1 Program Budget - 2024-2027'!$H:$H,README!$M$10)</f>
        <v>0</v>
      </c>
      <c r="N42" s="1139">
        <f>SUMIFS('4.1 Program Budget - 2024-2027'!AS:AS,'4.1 Program Budget - 2024-2027'!$G:$G,$B42,'4.1 Program Budget - 2024-2027'!$H:$H,README!$M$10)</f>
        <v>0</v>
      </c>
      <c r="O42" s="25">
        <f>SUMIFS('4.1 Program Budget - 2024-2027'!BC:BC,'4.1 Program Budget - 2024-2027'!$G:$G,$B42,'4.1 Program Budget - 2024-2027'!$H:$H,README!$M$10)</f>
        <v>0</v>
      </c>
      <c r="P42" s="759">
        <f>SUMIFS('4.1 Program Budget - 2024-2027'!BG:BG,'4.1 Program Budget - 2024-2027'!$G:$G,$B42,'4.1 Program Budget - 2024-2027'!$H:$H,README!$M$10)</f>
        <v>0</v>
      </c>
      <c r="Q42" s="759">
        <f>SUMIFS('4.1 Program Budget - 2024-2027'!BH:BH,'4.1 Program Budget - 2024-2027'!$G:$G,$B42,'4.1 Program Budget - 2024-2027'!$H:$H,README!$M$10)</f>
        <v>0</v>
      </c>
      <c r="R42" s="759">
        <f>SUMIFS('4.1 Program Budget - 2024-2027'!BI:BI,'4.1 Program Budget - 2024-2027'!$G:$G,$B42,'4.1 Program Budget - 2024-2027'!$H:$H,README!$M$10)</f>
        <v>0</v>
      </c>
      <c r="S42" s="1139">
        <f>SUMIFS('4.1 Program Budget - 2024-2027'!BJ:BJ,'4.1 Program Budget - 2024-2027'!$G:$G,$B42,'4.1 Program Budget - 2024-2027'!$H:$H,README!$M$10)</f>
        <v>0</v>
      </c>
      <c r="T42" s="1139">
        <f>SUMIFS('4.1 Program Budget - 2024-2027'!BK:BK,'4.1 Program Budget - 2024-2027'!$G:$G,$B42,'4.1 Program Budget - 2024-2027'!$H:$H,README!$M$10)</f>
        <v>0</v>
      </c>
      <c r="U42" s="25">
        <f>SUMIFS('4.1 Program Budget - 2024-2027'!BU:BU,'4.1 Program Budget - 2024-2027'!$G:$G,$B42,'4.1 Program Budget - 2024-2027'!$H:$H,README!$M$10)</f>
        <v>0</v>
      </c>
      <c r="V42" s="759">
        <f>SUMIFS('4.1 Program Budget - 2024-2027'!BY:BY,'4.1 Program Budget - 2024-2027'!$G:$G,$B42,'4.1 Program Budget - 2024-2027'!$H:$H,README!$M$10)</f>
        <v>0</v>
      </c>
      <c r="W42" s="759">
        <f>SUMIFS('4.1 Program Budget - 2024-2027'!BZ:BZ,'4.1 Program Budget - 2024-2027'!$G:$G,$B42,'4.1 Program Budget - 2024-2027'!$H:$H,README!$M$10)</f>
        <v>0</v>
      </c>
      <c r="X42" s="759">
        <f>SUMIFS('4.1 Program Budget - 2024-2027'!CA:CA,'4.1 Program Budget - 2024-2027'!$G:$G,$B42,'4.1 Program Budget - 2024-2027'!$H:$H,README!$M$10)</f>
        <v>0</v>
      </c>
      <c r="Y42" s="1139">
        <f>SUMIFS('4.1 Program Budget - 2024-2027'!CB:CB,'4.1 Program Budget - 2024-2027'!$G:$G,$B42,'4.1 Program Budget - 2024-2027'!$H:$H,README!$M$10)</f>
        <v>0</v>
      </c>
      <c r="Z42" s="1139">
        <f>SUMIFS('4.1 Program Budget - 2024-2027'!CC:CC,'4.1 Program Budget - 2024-2027'!$G:$G,$B42,'4.1 Program Budget - 2024-2027'!$H:$H,README!$M$10)</f>
        <v>0</v>
      </c>
      <c r="AA42" s="758">
        <f>SUMIFS('4.2 Program Budget 2028-2031'!I:I,'4.2 Program Budget 2028-2031'!D:D,B42,'4.2 Program Budget 2028-2031'!F:F,README!$M$10)</f>
        <v>0</v>
      </c>
      <c r="AB42" s="759">
        <f>SUMIFS('4.2 Program Budget 2028-2031'!J:J,'4.2 Program Budget 2028-2031'!$D:$D,$B42,'4.2 Program Budget 2028-2031'!$F:$F,README!$M$10)</f>
        <v>0</v>
      </c>
      <c r="AC42" s="759">
        <f>SUMIFS('4.2 Program Budget 2028-2031'!K:K,'4.2 Program Budget 2028-2031'!$D:$D,$B42,'4.2 Program Budget 2028-2031'!$F:$F,README!$M$10)</f>
        <v>0</v>
      </c>
      <c r="AD42" s="759">
        <f>SUMIFS('4.2 Program Budget 2028-2031'!L:L,'4.2 Program Budget 2028-2031'!$D:$D,$B42,'4.2 Program Budget 2028-2031'!$F:$F,README!$M$10)</f>
        <v>0</v>
      </c>
      <c r="AE42" s="759">
        <f>SUMIFS('4.2 Program Budget 2028-2031'!M:M,'4.2 Program Budget 2028-2031'!$D:$D,$B42,'4.2 Program Budget 2028-2031'!$F:$F,README!$M$10)</f>
        <v>0</v>
      </c>
      <c r="AF42" s="759">
        <f>SUMIFS('4.2 Program Budget 2028-2031'!N:N,'4.2 Program Budget 2028-2031'!$D:$D,$B42,'4.2 Program Budget 2028-2031'!$F:$F,README!$M$10)</f>
        <v>0</v>
      </c>
      <c r="AG42" s="758">
        <f>SUMIFS('4.2 Program Budget 2028-2031'!T:T,'4.2 Program Budget 2028-2031'!$D:$D,$B42,'4.2 Program Budget 2028-2031'!$F:$F,README!$M$10)</f>
        <v>0</v>
      </c>
      <c r="AH42" s="759">
        <f>SUMIFS('4.2 Program Budget 2028-2031'!U:U,'4.2 Program Budget 2028-2031'!$D:$D,$B42,'4.2 Program Budget 2028-2031'!$F:$F,README!$M$10)</f>
        <v>0</v>
      </c>
      <c r="AI42" s="759">
        <f>SUMIFS('4.2 Program Budget 2028-2031'!V:V,'4.2 Program Budget 2028-2031'!$D:$D,$B42,'4.2 Program Budget 2028-2031'!$F:$F,README!$M$10)</f>
        <v>0</v>
      </c>
      <c r="AJ42" s="759">
        <f>SUMIFS('4.2 Program Budget 2028-2031'!W:W,'4.2 Program Budget 2028-2031'!$D:$D,$B42,'4.2 Program Budget 2028-2031'!$F:$F,README!$M$10)</f>
        <v>0</v>
      </c>
      <c r="AK42" s="759">
        <f>SUMIFS('4.2 Program Budget 2028-2031'!X:X,'4.2 Program Budget 2028-2031'!$D:$D,$B42,'4.2 Program Budget 2028-2031'!$F:$F,README!$M$10)</f>
        <v>0</v>
      </c>
      <c r="AL42" s="759">
        <f>SUMIFS('4.2 Program Budget 2028-2031'!Y:Y,'4.2 Program Budget 2028-2031'!$D:$D,$B42,'4.2 Program Budget 2028-2031'!$F:$F,README!$M$10)</f>
        <v>0</v>
      </c>
      <c r="AM42" s="758">
        <f>SUMIFS('4.2 Program Budget 2028-2031'!AE:AE,'4.2 Program Budget 2028-2031'!$D:$D,$B42,'4.2 Program Budget 2028-2031'!$F:$F,README!$M$10)</f>
        <v>0</v>
      </c>
      <c r="AN42" s="759">
        <f>SUMIFS('4.2 Program Budget 2028-2031'!AF:AF,'4.2 Program Budget 2028-2031'!$D:$D,$B42,'4.2 Program Budget 2028-2031'!$F:$F,README!$M$10)</f>
        <v>0</v>
      </c>
      <c r="AO42" s="759">
        <f>SUMIFS('4.2 Program Budget 2028-2031'!AG:AG,'4.2 Program Budget 2028-2031'!$D:$D,$B42,'4.2 Program Budget 2028-2031'!$F:$F,README!$M$10)</f>
        <v>0</v>
      </c>
      <c r="AP42" s="759">
        <f>SUMIFS('4.2 Program Budget 2028-2031'!AH:AH,'4.2 Program Budget 2028-2031'!$D:$D,$B42,'4.2 Program Budget 2028-2031'!$F:$F,README!$M$10)</f>
        <v>0</v>
      </c>
      <c r="AQ42" s="759">
        <f>SUMIFS('4.2 Program Budget 2028-2031'!AI:AI,'4.2 Program Budget 2028-2031'!$D:$D,$B42,'4.2 Program Budget 2028-2031'!$F:$F,README!$M$10)</f>
        <v>0</v>
      </c>
      <c r="AR42" s="759">
        <f>SUMIFS('4.2 Program Budget 2028-2031'!AJ:AJ,'4.2 Program Budget 2028-2031'!$D:$D,$B42,'4.2 Program Budget 2028-2031'!$F:$F,README!$M$10)</f>
        <v>0</v>
      </c>
      <c r="AS42" s="758">
        <f>SUMIFS('4.2 Program Budget 2028-2031'!AP:AP,'4.2 Program Budget 2028-2031'!$D:$D,$B42,'4.2 Program Budget 2028-2031'!$F:$F,README!$M$10)</f>
        <v>0</v>
      </c>
      <c r="AT42" s="759">
        <f>SUMIFS('4.2 Program Budget 2028-2031'!AQ:AQ,'4.2 Program Budget 2028-2031'!$D:$D,$B42,'4.2 Program Budget 2028-2031'!$F:$F,README!$M$10)</f>
        <v>0</v>
      </c>
      <c r="AU42" s="759">
        <f>SUMIFS('4.2 Program Budget 2028-2031'!AR:AR,'4.2 Program Budget 2028-2031'!$D:$D,$B42,'4.2 Program Budget 2028-2031'!$F:$F,README!$M$10)</f>
        <v>0</v>
      </c>
      <c r="AV42" s="759">
        <f>SUMIFS('4.2 Program Budget 2028-2031'!AS:AS,'4.2 Program Budget 2028-2031'!$D:$D,$B42,'4.2 Program Budget 2028-2031'!$F:$F,README!$M$10)</f>
        <v>0</v>
      </c>
      <c r="AW42" s="759">
        <f>SUMIFS('4.2 Program Budget 2028-2031'!AT:AT,'4.2 Program Budget 2028-2031'!$D:$D,$B42,'4.2 Program Budget 2028-2031'!$F:$F,README!$M$10)</f>
        <v>0</v>
      </c>
      <c r="AX42" s="759">
        <f>SUMIFS('4.2 Program Budget 2028-2031'!AU:AU,'4.2 Program Budget 2028-2031'!$D:$D,$B42,'4.2 Program Budget 2028-2031'!$F:$F,README!$M$10)</f>
        <v>0</v>
      </c>
      <c r="AZ42" s="761"/>
      <c r="BB42" s="1140"/>
      <c r="BC42" s="1141"/>
      <c r="BD42" s="1141"/>
      <c r="BE42" s="1141"/>
    </row>
    <row r="43" spans="1:57">
      <c r="A43" s="245">
        <v>3</v>
      </c>
      <c r="B43" s="757" t="s">
        <v>36</v>
      </c>
      <c r="C43" s="25">
        <f>SUMIFS('4.1 Program Budget - 2024-2027'!S:S,'4.1 Program Budget - 2024-2027'!$G:$G,$B43,'4.1 Program Budget - 2024-2027'!$H:$H,README!$M$10)</f>
        <v>0</v>
      </c>
      <c r="D43" s="1139">
        <f>SUMIFS('4.1 Program Budget - 2024-2027'!W:W,'4.1 Program Budget - 2024-2027'!$G:$G,$B43,'4.1 Program Budget - 2024-2027'!$H:$H,README!$M$10)</f>
        <v>0</v>
      </c>
      <c r="E43" s="1139">
        <f>SUMIFS('4.1 Program Budget - 2024-2027'!X:X,'4.1 Program Budget - 2024-2027'!$G:$G,$B43,'4.1 Program Budget - 2024-2027'!$H:$H,README!$M$10)</f>
        <v>0</v>
      </c>
      <c r="F43" s="1139">
        <f>SUMIFS('4.1 Program Budget - 2024-2027'!Y:Y,'4.1 Program Budget - 2024-2027'!$G:$G,$B43,'4.1 Program Budget - 2024-2027'!$H:$H,README!$M$10)</f>
        <v>0</v>
      </c>
      <c r="G43" s="1139">
        <f>SUMIFS('4.1 Program Budget - 2024-2027'!Z:Z,'4.1 Program Budget - 2024-2027'!$G:$G,$B43,'4.1 Program Budget - 2024-2027'!$H:$H,README!$M$10)</f>
        <v>0</v>
      </c>
      <c r="H43" s="1139">
        <f>SUMIFS('4.1 Program Budget - 2024-2027'!AA:AA,'4.1 Program Budget - 2024-2027'!$G:$G,$B43,'4.1 Program Budget - 2024-2027'!$H:$H,README!$M$10)</f>
        <v>0</v>
      </c>
      <c r="I43" s="25">
        <f>SUMIFS('4.1 Program Budget - 2024-2027'!AK:AK,'4.1 Program Budget - 2024-2027'!$G:$G,$B43,'4.1 Program Budget - 2024-2027'!$H:$H,README!$M$10)</f>
        <v>0</v>
      </c>
      <c r="J43" s="759">
        <f>SUMIFS('4.1 Program Budget - 2024-2027'!AO:AO,'4.1 Program Budget - 2024-2027'!$G:$G,$B43,'4.1 Program Budget - 2024-2027'!$H:$H,README!$M$10)</f>
        <v>0</v>
      </c>
      <c r="K43" s="759">
        <f>SUMIFS('4.1 Program Budget - 2024-2027'!AP:AP,'4.1 Program Budget - 2024-2027'!$G:$G,$B43,'4.1 Program Budget - 2024-2027'!$H:$H,README!$M$10)</f>
        <v>0</v>
      </c>
      <c r="L43" s="759">
        <f>SUMIFS('4.1 Program Budget - 2024-2027'!AQ:AQ,'4.1 Program Budget - 2024-2027'!$G:$G,$B43,'4.1 Program Budget - 2024-2027'!$H:$H,README!$M$10)</f>
        <v>0</v>
      </c>
      <c r="M43" s="1139">
        <f>SUMIFS('4.1 Program Budget - 2024-2027'!AR:AR,'4.1 Program Budget - 2024-2027'!$G:$G,$B43,'4.1 Program Budget - 2024-2027'!$H:$H,README!$M$10)</f>
        <v>0</v>
      </c>
      <c r="N43" s="1139">
        <f>SUMIFS('4.1 Program Budget - 2024-2027'!AS:AS,'4.1 Program Budget - 2024-2027'!$G:$G,$B43,'4.1 Program Budget - 2024-2027'!$H:$H,README!$M$10)</f>
        <v>0</v>
      </c>
      <c r="O43" s="25">
        <f>SUMIFS('4.1 Program Budget - 2024-2027'!BC:BC,'4.1 Program Budget - 2024-2027'!$G:$G,$B43,'4.1 Program Budget - 2024-2027'!$H:$H,README!$M$10)</f>
        <v>0</v>
      </c>
      <c r="P43" s="759">
        <f>SUMIFS('4.1 Program Budget - 2024-2027'!BG:BG,'4.1 Program Budget - 2024-2027'!$G:$G,$B43,'4.1 Program Budget - 2024-2027'!$H:$H,README!$M$10)</f>
        <v>0</v>
      </c>
      <c r="Q43" s="759">
        <f>SUMIFS('4.1 Program Budget - 2024-2027'!BH:BH,'4.1 Program Budget - 2024-2027'!$G:$G,$B43,'4.1 Program Budget - 2024-2027'!$H:$H,README!$M$10)</f>
        <v>0</v>
      </c>
      <c r="R43" s="759">
        <f>SUMIFS('4.1 Program Budget - 2024-2027'!BI:BI,'4.1 Program Budget - 2024-2027'!$G:$G,$B43,'4.1 Program Budget - 2024-2027'!$H:$H,README!$M$10)</f>
        <v>0</v>
      </c>
      <c r="S43" s="1139">
        <f>SUMIFS('4.1 Program Budget - 2024-2027'!BJ:BJ,'4.1 Program Budget - 2024-2027'!$G:$G,$B43,'4.1 Program Budget - 2024-2027'!$H:$H,README!$M$10)</f>
        <v>0</v>
      </c>
      <c r="T43" s="1139">
        <f>SUMIFS('4.1 Program Budget - 2024-2027'!BK:BK,'4.1 Program Budget - 2024-2027'!$G:$G,$B43,'4.1 Program Budget - 2024-2027'!$H:$H,README!$M$10)</f>
        <v>0</v>
      </c>
      <c r="U43" s="25">
        <f>SUMIFS('4.1 Program Budget - 2024-2027'!BU:BU,'4.1 Program Budget - 2024-2027'!$G:$G,$B43,'4.1 Program Budget - 2024-2027'!$H:$H,README!$M$10)</f>
        <v>0</v>
      </c>
      <c r="V43" s="759">
        <f>SUMIFS('4.1 Program Budget - 2024-2027'!BY:BY,'4.1 Program Budget - 2024-2027'!$G:$G,$B43,'4.1 Program Budget - 2024-2027'!$H:$H,README!$M$10)</f>
        <v>0</v>
      </c>
      <c r="W43" s="759">
        <f>SUMIFS('4.1 Program Budget - 2024-2027'!BZ:BZ,'4.1 Program Budget - 2024-2027'!$G:$G,$B43,'4.1 Program Budget - 2024-2027'!$H:$H,README!$M$10)</f>
        <v>0</v>
      </c>
      <c r="X43" s="759">
        <f>SUMIFS('4.1 Program Budget - 2024-2027'!CA:CA,'4.1 Program Budget - 2024-2027'!$G:$G,$B43,'4.1 Program Budget - 2024-2027'!$H:$H,README!$M$10)</f>
        <v>0</v>
      </c>
      <c r="Y43" s="1139">
        <f>SUMIFS('4.1 Program Budget - 2024-2027'!CB:CB,'4.1 Program Budget - 2024-2027'!$G:$G,$B43,'4.1 Program Budget - 2024-2027'!$H:$H,README!$M$10)</f>
        <v>0</v>
      </c>
      <c r="Z43" s="1139">
        <f>SUMIFS('4.1 Program Budget - 2024-2027'!CC:CC,'4.1 Program Budget - 2024-2027'!$G:$G,$B43,'4.1 Program Budget - 2024-2027'!$H:$H,README!$M$10)</f>
        <v>0</v>
      </c>
      <c r="AA43" s="758">
        <f>SUMIFS('4.2 Program Budget 2028-2031'!I:I,'4.2 Program Budget 2028-2031'!D:D,B43,'4.2 Program Budget 2028-2031'!F:F,README!$M$10)</f>
        <v>0</v>
      </c>
      <c r="AB43" s="759">
        <f>SUMIFS('4.2 Program Budget 2028-2031'!J:J,'4.2 Program Budget 2028-2031'!$D:$D,$B43,'4.2 Program Budget 2028-2031'!$F:$F,README!$M$10)</f>
        <v>0</v>
      </c>
      <c r="AC43" s="759">
        <f>SUMIFS('4.2 Program Budget 2028-2031'!K:K,'4.2 Program Budget 2028-2031'!$D:$D,$B43,'4.2 Program Budget 2028-2031'!$F:$F,README!$M$10)</f>
        <v>0</v>
      </c>
      <c r="AD43" s="759">
        <f>SUMIFS('4.2 Program Budget 2028-2031'!L:L,'4.2 Program Budget 2028-2031'!$D:$D,$B43,'4.2 Program Budget 2028-2031'!$F:$F,README!$M$10)</f>
        <v>0</v>
      </c>
      <c r="AE43" s="759">
        <f>SUMIFS('4.2 Program Budget 2028-2031'!M:M,'4.2 Program Budget 2028-2031'!$D:$D,$B43,'4.2 Program Budget 2028-2031'!$F:$F,README!$M$10)</f>
        <v>0</v>
      </c>
      <c r="AF43" s="759">
        <f>SUMIFS('4.2 Program Budget 2028-2031'!N:N,'4.2 Program Budget 2028-2031'!$D:$D,$B43,'4.2 Program Budget 2028-2031'!$F:$F,README!$M$10)</f>
        <v>0</v>
      </c>
      <c r="AG43" s="758">
        <f>SUMIFS('4.2 Program Budget 2028-2031'!T:T,'4.2 Program Budget 2028-2031'!$D:$D,$B43,'4.2 Program Budget 2028-2031'!$F:$F,README!$M$10)</f>
        <v>0</v>
      </c>
      <c r="AH43" s="759">
        <f>SUMIFS('4.2 Program Budget 2028-2031'!U:U,'4.2 Program Budget 2028-2031'!$D:$D,$B43,'4.2 Program Budget 2028-2031'!$F:$F,README!$M$10)</f>
        <v>0</v>
      </c>
      <c r="AI43" s="759">
        <f>SUMIFS('4.2 Program Budget 2028-2031'!V:V,'4.2 Program Budget 2028-2031'!$D:$D,$B43,'4.2 Program Budget 2028-2031'!$F:$F,README!$M$10)</f>
        <v>0</v>
      </c>
      <c r="AJ43" s="759">
        <f>SUMIFS('4.2 Program Budget 2028-2031'!W:W,'4.2 Program Budget 2028-2031'!$D:$D,$B43,'4.2 Program Budget 2028-2031'!$F:$F,README!$M$10)</f>
        <v>0</v>
      </c>
      <c r="AK43" s="759">
        <f>SUMIFS('4.2 Program Budget 2028-2031'!X:X,'4.2 Program Budget 2028-2031'!$D:$D,$B43,'4.2 Program Budget 2028-2031'!$F:$F,README!$M$10)</f>
        <v>0</v>
      </c>
      <c r="AL43" s="759">
        <f>SUMIFS('4.2 Program Budget 2028-2031'!Y:Y,'4.2 Program Budget 2028-2031'!$D:$D,$B43,'4.2 Program Budget 2028-2031'!$F:$F,README!$M$10)</f>
        <v>0</v>
      </c>
      <c r="AM43" s="758">
        <f>SUMIFS('4.2 Program Budget 2028-2031'!AE:AE,'4.2 Program Budget 2028-2031'!$D:$D,$B43,'4.2 Program Budget 2028-2031'!$F:$F,README!$M$10)</f>
        <v>0</v>
      </c>
      <c r="AN43" s="759">
        <f>SUMIFS('4.2 Program Budget 2028-2031'!AF:AF,'4.2 Program Budget 2028-2031'!$D:$D,$B43,'4.2 Program Budget 2028-2031'!$F:$F,README!$M$10)</f>
        <v>0</v>
      </c>
      <c r="AO43" s="759">
        <f>SUMIFS('4.2 Program Budget 2028-2031'!AG:AG,'4.2 Program Budget 2028-2031'!$D:$D,$B43,'4.2 Program Budget 2028-2031'!$F:$F,README!$M$10)</f>
        <v>0</v>
      </c>
      <c r="AP43" s="759">
        <f>SUMIFS('4.2 Program Budget 2028-2031'!AH:AH,'4.2 Program Budget 2028-2031'!$D:$D,$B43,'4.2 Program Budget 2028-2031'!$F:$F,README!$M$10)</f>
        <v>0</v>
      </c>
      <c r="AQ43" s="759">
        <f>SUMIFS('4.2 Program Budget 2028-2031'!AI:AI,'4.2 Program Budget 2028-2031'!$D:$D,$B43,'4.2 Program Budget 2028-2031'!$F:$F,README!$M$10)</f>
        <v>0</v>
      </c>
      <c r="AR43" s="759">
        <f>SUMIFS('4.2 Program Budget 2028-2031'!AJ:AJ,'4.2 Program Budget 2028-2031'!$D:$D,$B43,'4.2 Program Budget 2028-2031'!$F:$F,README!$M$10)</f>
        <v>0</v>
      </c>
      <c r="AS43" s="758">
        <f>SUMIFS('4.2 Program Budget 2028-2031'!AP:AP,'4.2 Program Budget 2028-2031'!$D:$D,$B43,'4.2 Program Budget 2028-2031'!$F:$F,README!$M$10)</f>
        <v>0</v>
      </c>
      <c r="AT43" s="759">
        <f>SUMIFS('4.2 Program Budget 2028-2031'!AQ:AQ,'4.2 Program Budget 2028-2031'!$D:$D,$B43,'4.2 Program Budget 2028-2031'!$F:$F,README!$M$10)</f>
        <v>0</v>
      </c>
      <c r="AU43" s="759">
        <f>SUMIFS('4.2 Program Budget 2028-2031'!AR:AR,'4.2 Program Budget 2028-2031'!$D:$D,$B43,'4.2 Program Budget 2028-2031'!$F:$F,README!$M$10)</f>
        <v>0</v>
      </c>
      <c r="AV43" s="759">
        <f>SUMIFS('4.2 Program Budget 2028-2031'!AS:AS,'4.2 Program Budget 2028-2031'!$D:$D,$B43,'4.2 Program Budget 2028-2031'!$F:$F,README!$M$10)</f>
        <v>0</v>
      </c>
      <c r="AW43" s="759">
        <f>SUMIFS('4.2 Program Budget 2028-2031'!AT:AT,'4.2 Program Budget 2028-2031'!$D:$D,$B43,'4.2 Program Budget 2028-2031'!$F:$F,README!$M$10)</f>
        <v>0</v>
      </c>
      <c r="AX43" s="759">
        <f>SUMIFS('4.2 Program Budget 2028-2031'!AU:AU,'4.2 Program Budget 2028-2031'!$D:$D,$B43,'4.2 Program Budget 2028-2031'!$F:$F,README!$M$10)</f>
        <v>0</v>
      </c>
      <c r="AZ43" s="761"/>
      <c r="BB43" s="1140"/>
      <c r="BC43" s="1141"/>
      <c r="BD43" s="1141"/>
      <c r="BE43" s="1141"/>
    </row>
    <row r="44" spans="1:57">
      <c r="A44" s="245">
        <v>4</v>
      </c>
      <c r="B44" s="19" t="s">
        <v>958</v>
      </c>
      <c r="C44" s="31">
        <f>SUM(C35:C43)</f>
        <v>21425992.815986499</v>
      </c>
      <c r="D44" s="1142">
        <f t="shared" ref="D44:F44" si="20">SUM(D35:D43)</f>
        <v>747634.76</v>
      </c>
      <c r="E44" s="1142">
        <f t="shared" si="20"/>
        <v>107.3</v>
      </c>
      <c r="F44" s="1142">
        <f t="shared" si="20"/>
        <v>698912.03999999992</v>
      </c>
      <c r="G44" s="1142">
        <f t="shared" ref="G44" si="21">SUM(G35:G43)</f>
        <v>281.24</v>
      </c>
      <c r="H44" s="1142">
        <f t="shared" ref="H44" si="22">SUM(H35:H43)</f>
        <v>4088.6299999999997</v>
      </c>
      <c r="I44" s="31">
        <f>SUM(I35:I43)</f>
        <v>21457016.182904273</v>
      </c>
      <c r="J44" s="1142">
        <f t="shared" ref="J44:N44" si="23">SUM(J35:J43)</f>
        <v>747634.76910999999</v>
      </c>
      <c r="K44" s="1142">
        <f t="shared" si="23"/>
        <v>107.30128000000001</v>
      </c>
      <c r="L44" s="1142">
        <f t="shared" si="23"/>
        <v>698912.03700000001</v>
      </c>
      <c r="M44" s="1142">
        <f t="shared" si="23"/>
        <v>310.66080147000002</v>
      </c>
      <c r="N44" s="1142">
        <f t="shared" si="23"/>
        <v>4088.6354170000004</v>
      </c>
      <c r="O44" s="31">
        <f>SUM(O35:O43)</f>
        <v>21482458.943729702</v>
      </c>
      <c r="P44" s="1142">
        <f t="shared" ref="P44:T44" si="24">SUM(P35:P43)</f>
        <v>747634.76910999999</v>
      </c>
      <c r="Q44" s="1142">
        <f t="shared" si="24"/>
        <v>107.30128000000001</v>
      </c>
      <c r="R44" s="1142">
        <f t="shared" si="24"/>
        <v>698912.03700000001</v>
      </c>
      <c r="S44" s="1142">
        <f t="shared" si="24"/>
        <v>323.24880765</v>
      </c>
      <c r="T44" s="1142">
        <f t="shared" si="24"/>
        <v>4088.6354170000004</v>
      </c>
      <c r="U44" s="31">
        <f>SUM(U35:U43)</f>
        <v>21535644.579179425</v>
      </c>
      <c r="V44" s="1142">
        <f t="shared" ref="V44:Z44" si="25">SUM(V35:V43)</f>
        <v>747634.76910999999</v>
      </c>
      <c r="W44" s="1142">
        <f t="shared" si="25"/>
        <v>107.30128000000001</v>
      </c>
      <c r="X44" s="1142">
        <f t="shared" si="25"/>
        <v>698912.03700000001</v>
      </c>
      <c r="Y44" s="1142">
        <f t="shared" si="25"/>
        <v>331.88507243999999</v>
      </c>
      <c r="Z44" s="1142">
        <f t="shared" si="25"/>
        <v>4088.6354170000004</v>
      </c>
      <c r="AA44" s="31">
        <f>SUM(AA35:AA43)</f>
        <v>22224785.205713168</v>
      </c>
      <c r="AB44" s="1142">
        <f t="shared" ref="AB44:AF44" si="26">SUM(AB35:AB43)</f>
        <v>771559.1</v>
      </c>
      <c r="AC44" s="1142">
        <f t="shared" si="26"/>
        <v>110.73</v>
      </c>
      <c r="AD44" s="1142">
        <f t="shared" si="26"/>
        <v>721277.23</v>
      </c>
      <c r="AE44" s="1142">
        <f t="shared" si="26"/>
        <v>358.83</v>
      </c>
      <c r="AF44" s="1142">
        <f t="shared" si="26"/>
        <v>4219.47</v>
      </c>
      <c r="AG44" s="31">
        <f>SUM(AG35:AG43)</f>
        <v>22935978.332295991</v>
      </c>
      <c r="AH44" s="1142">
        <f t="shared" ref="AH44:AL44" si="27">SUM(AH35:AH43)</f>
        <v>796248.99</v>
      </c>
      <c r="AI44" s="1142">
        <f t="shared" si="27"/>
        <v>114.28</v>
      </c>
      <c r="AJ44" s="1142">
        <f t="shared" si="27"/>
        <v>744358.1</v>
      </c>
      <c r="AK44" s="1142">
        <f t="shared" si="27"/>
        <v>336.98</v>
      </c>
      <c r="AL44" s="1142">
        <f t="shared" si="27"/>
        <v>4354.49</v>
      </c>
      <c r="AM44" s="31">
        <f>SUM(AM35:AM43)</f>
        <v>23669929.63892946</v>
      </c>
      <c r="AN44" s="1142">
        <f t="shared" ref="AN44:AR44" si="28">SUM(AN35:AN43)</f>
        <v>821728.96</v>
      </c>
      <c r="AO44" s="1142">
        <f t="shared" si="28"/>
        <v>117.94</v>
      </c>
      <c r="AP44" s="1142">
        <f t="shared" si="28"/>
        <v>768177.56</v>
      </c>
      <c r="AQ44" s="1142">
        <f t="shared" si="28"/>
        <v>361.72</v>
      </c>
      <c r="AR44" s="1142">
        <f t="shared" si="28"/>
        <v>4493.84</v>
      </c>
      <c r="AS44" s="31">
        <f>SUM(AS35:AS43)</f>
        <v>24427367.387375206</v>
      </c>
      <c r="AT44" s="1142">
        <f t="shared" ref="AT44:AX44" si="29">SUM(AT35:AT43)</f>
        <v>848024.29</v>
      </c>
      <c r="AU44" s="1142">
        <f t="shared" si="29"/>
        <v>121.71</v>
      </c>
      <c r="AV44" s="1142">
        <f t="shared" si="29"/>
        <v>792759.24</v>
      </c>
      <c r="AW44" s="1142">
        <f t="shared" si="29"/>
        <v>388.71</v>
      </c>
      <c r="AX44" s="1142">
        <f t="shared" si="29"/>
        <v>4637.6400000000003</v>
      </c>
      <c r="AZ44" s="762" t="s">
        <v>959</v>
      </c>
      <c r="BB44" s="1140"/>
      <c r="BC44" s="1141"/>
      <c r="BD44" s="1141"/>
      <c r="BE44" s="1141"/>
    </row>
    <row r="45" spans="1:57" ht="17.100000000000001" customHeight="1">
      <c r="B45" s="23" t="s">
        <v>960</v>
      </c>
      <c r="C45" s="88">
        <v>8554012</v>
      </c>
      <c r="D45" s="766"/>
      <c r="E45" s="767"/>
      <c r="F45" s="768"/>
      <c r="G45" s="767"/>
      <c r="H45" s="767"/>
      <c r="I45" s="88">
        <v>9015929</v>
      </c>
      <c r="J45" s="766"/>
      <c r="K45" s="767"/>
      <c r="L45" s="768"/>
      <c r="M45" s="767"/>
      <c r="N45" s="767"/>
      <c r="O45" s="88">
        <v>9494781</v>
      </c>
      <c r="P45" s="766"/>
      <c r="Q45" s="767"/>
      <c r="R45" s="768"/>
      <c r="S45" s="767"/>
      <c r="T45" s="767"/>
      <c r="U45" s="88">
        <v>9972055</v>
      </c>
      <c r="V45" s="766"/>
      <c r="W45" s="767"/>
      <c r="X45" s="768"/>
      <c r="Y45" s="767"/>
      <c r="Z45" s="767"/>
      <c r="AA45" s="88">
        <v>10784704.560000001</v>
      </c>
      <c r="AB45" s="766"/>
      <c r="AC45" s="767"/>
      <c r="AD45" s="768"/>
      <c r="AE45" s="767"/>
      <c r="AF45" s="767"/>
      <c r="AG45" s="88">
        <v>11648913</v>
      </c>
      <c r="AH45" s="766"/>
      <c r="AI45" s="767"/>
      <c r="AJ45" s="768"/>
      <c r="AK45" s="767"/>
      <c r="AL45" s="767"/>
      <c r="AM45" s="88">
        <v>12580219.02</v>
      </c>
      <c r="AN45" s="766"/>
      <c r="AO45" s="767"/>
      <c r="AP45" s="768"/>
      <c r="AQ45" s="767"/>
      <c r="AR45" s="767"/>
      <c r="AS45" s="88">
        <v>13604231.92</v>
      </c>
      <c r="AT45" s="766"/>
      <c r="AU45" s="767"/>
      <c r="AV45" s="768"/>
      <c r="AW45" s="767"/>
      <c r="AX45" s="767"/>
      <c r="AZ45" s="761" t="s">
        <v>961</v>
      </c>
      <c r="BB45" s="1140"/>
      <c r="BC45" s="1141"/>
      <c r="BD45" s="1144"/>
      <c r="BE45" s="1141"/>
    </row>
    <row r="46" spans="1:57">
      <c r="B46" s="23" t="s">
        <v>962</v>
      </c>
      <c r="C46" s="114">
        <v>0.37</v>
      </c>
      <c r="D46" s="766"/>
      <c r="E46" s="767"/>
      <c r="F46" s="768"/>
      <c r="G46" s="767"/>
      <c r="H46" s="767"/>
      <c r="I46" s="114">
        <v>0.39</v>
      </c>
      <c r="J46" s="766"/>
      <c r="K46" s="767"/>
      <c r="L46" s="768"/>
      <c r="M46" s="767"/>
      <c r="N46" s="767"/>
      <c r="O46" s="114">
        <v>0.41</v>
      </c>
      <c r="P46" s="766"/>
      <c r="Q46" s="767"/>
      <c r="R46" s="768"/>
      <c r="S46" s="767"/>
      <c r="T46" s="767"/>
      <c r="U46" s="114">
        <v>0.42</v>
      </c>
      <c r="V46" s="766"/>
      <c r="W46" s="767"/>
      <c r="X46" s="768"/>
      <c r="Y46" s="767"/>
      <c r="Z46" s="767"/>
      <c r="AA46" s="114">
        <v>0.45</v>
      </c>
      <c r="AB46" s="766"/>
      <c r="AC46" s="767"/>
      <c r="AD46" s="768"/>
      <c r="AE46" s="767"/>
      <c r="AF46" s="767"/>
      <c r="AG46" s="114">
        <v>0.47</v>
      </c>
      <c r="AH46" s="766"/>
      <c r="AI46" s="767"/>
      <c r="AJ46" s="768"/>
      <c r="AK46" s="767"/>
      <c r="AL46" s="767"/>
      <c r="AM46" s="114">
        <v>0.49</v>
      </c>
      <c r="AN46" s="766"/>
      <c r="AO46" s="767"/>
      <c r="AP46" s="768"/>
      <c r="AQ46" s="767"/>
      <c r="AR46" s="767"/>
      <c r="AS46" s="114">
        <v>0.51</v>
      </c>
      <c r="AT46" s="766"/>
      <c r="AU46" s="767"/>
      <c r="AV46" s="768"/>
      <c r="AW46" s="767"/>
      <c r="AX46" s="767"/>
      <c r="AZ46" s="1415" t="s">
        <v>963</v>
      </c>
      <c r="BB46" s="1140"/>
      <c r="BC46" s="1141"/>
      <c r="BD46" s="1144"/>
      <c r="BE46" s="1141"/>
    </row>
    <row r="47" spans="1:57">
      <c r="B47" s="23" t="s">
        <v>964</v>
      </c>
      <c r="C47" s="114">
        <v>0.41</v>
      </c>
      <c r="D47" s="766"/>
      <c r="E47" s="767"/>
      <c r="F47" s="768"/>
      <c r="G47" s="767"/>
      <c r="H47" s="767"/>
      <c r="I47" s="114">
        <v>0.43</v>
      </c>
      <c r="J47" s="766"/>
      <c r="K47" s="767"/>
      <c r="L47" s="768"/>
      <c r="M47" s="767"/>
      <c r="N47" s="767"/>
      <c r="O47" s="114">
        <v>0.46</v>
      </c>
      <c r="P47" s="766"/>
      <c r="Q47" s="767"/>
      <c r="R47" s="768"/>
      <c r="S47" s="767"/>
      <c r="T47" s="767"/>
      <c r="U47" s="114">
        <v>0.48</v>
      </c>
      <c r="V47" s="766"/>
      <c r="W47" s="767"/>
      <c r="X47" s="768"/>
      <c r="Y47" s="767"/>
      <c r="Z47" s="767"/>
      <c r="AA47" s="114">
        <v>0.5</v>
      </c>
      <c r="AB47" s="766"/>
      <c r="AC47" s="767"/>
      <c r="AD47" s="768"/>
      <c r="AE47" s="767"/>
      <c r="AF47" s="767"/>
      <c r="AG47" s="114">
        <v>0.52</v>
      </c>
      <c r="AH47" s="766"/>
      <c r="AI47" s="767"/>
      <c r="AJ47" s="768"/>
      <c r="AK47" s="767"/>
      <c r="AL47" s="767"/>
      <c r="AM47" s="114">
        <v>0.55000000000000004</v>
      </c>
      <c r="AN47" s="766"/>
      <c r="AO47" s="767"/>
      <c r="AP47" s="768"/>
      <c r="AQ47" s="767"/>
      <c r="AR47" s="767"/>
      <c r="AS47" s="114">
        <v>0.56999999999999995</v>
      </c>
      <c r="AT47" s="766"/>
      <c r="AU47" s="767"/>
      <c r="AV47" s="768"/>
      <c r="AW47" s="767"/>
      <c r="AX47" s="767"/>
      <c r="AZ47" s="1416"/>
      <c r="BB47" s="1140"/>
      <c r="BC47" s="1141"/>
      <c r="BD47" s="1144"/>
      <c r="BE47" s="1141"/>
    </row>
    <row r="48" spans="1:57" ht="31.5" customHeight="1" thickTop="1" thickBot="1">
      <c r="B48" s="38" t="s">
        <v>965</v>
      </c>
      <c r="C48" s="39"/>
      <c r="D48" s="756"/>
      <c r="E48" s="756"/>
      <c r="F48" s="40"/>
      <c r="G48" s="756"/>
      <c r="H48" s="756"/>
      <c r="I48" s="39"/>
      <c r="J48" s="756"/>
      <c r="K48" s="756"/>
      <c r="L48" s="40"/>
      <c r="M48" s="756"/>
      <c r="N48" s="756"/>
      <c r="O48" s="39"/>
      <c r="P48" s="756"/>
      <c r="Q48" s="756"/>
      <c r="R48" s="40"/>
      <c r="S48" s="756"/>
      <c r="T48" s="756"/>
      <c r="U48" s="39"/>
      <c r="V48" s="756"/>
      <c r="W48" s="756"/>
      <c r="X48" s="40"/>
      <c r="Y48" s="756"/>
      <c r="Z48" s="756"/>
      <c r="AA48" s="39"/>
      <c r="AB48" s="756"/>
      <c r="AC48" s="756"/>
      <c r="AD48" s="40"/>
      <c r="AE48" s="756"/>
      <c r="AF48" s="756"/>
      <c r="AG48" s="39"/>
      <c r="AH48" s="756"/>
      <c r="AI48" s="756"/>
      <c r="AJ48" s="40"/>
      <c r="AK48" s="756"/>
      <c r="AL48" s="756"/>
      <c r="AM48" s="39"/>
      <c r="AN48" s="756"/>
      <c r="AO48" s="756"/>
      <c r="AP48" s="40"/>
      <c r="AQ48" s="756"/>
      <c r="AR48" s="756"/>
      <c r="AS48" s="39"/>
      <c r="AT48" s="756"/>
      <c r="AU48" s="756"/>
      <c r="AV48" s="40"/>
      <c r="AW48" s="756"/>
      <c r="AX48" s="756"/>
      <c r="AZ48" s="30"/>
      <c r="BB48" s="1145"/>
    </row>
    <row r="49" spans="1:57" ht="16.5" customHeight="1" thickTop="1" thickBot="1">
      <c r="B49" s="757" t="s">
        <v>17</v>
      </c>
      <c r="C49" s="25">
        <f>SUMIF('4.1 Program Budget - 2024-2027'!$G:$G,$B49,'4.1 Program Budget - 2024-2027'!$S:$S)</f>
        <v>61034252.75148081</v>
      </c>
      <c r="D49" s="1139">
        <f>SUMIF('4.1 Program Budget - 2024-2027'!$G:$G,$B49,'4.1 Program Budget - 2024-2027'!W:W)</f>
        <v>1880177.25</v>
      </c>
      <c r="E49" s="1139">
        <f>SUMIF('4.1 Program Budget - 2024-2027'!$G:$G,$B49,'4.1 Program Budget - 2024-2027'!X:X)</f>
        <v>613.09</v>
      </c>
      <c r="F49" s="1139">
        <f>SUMIF('4.1 Program Budget - 2024-2027'!$G:$G,$B49,'4.1 Program Budget - 2024-2027'!Y:Y)</f>
        <v>14823859.75</v>
      </c>
      <c r="G49" s="1139">
        <f>SUMIF('4.1 Program Budget - 2024-2027'!$G:$G,$B49,'4.1 Program Budget - 2024-2027'!Z:Z)</f>
        <v>574.20999999999992</v>
      </c>
      <c r="H49" s="1139">
        <f>SUMIF('4.1 Program Budget - 2024-2027'!$G:$G,$B49,'4.1 Program Budget - 2024-2027'!AA:AA)</f>
        <v>88174.77</v>
      </c>
      <c r="I49" s="25">
        <f>SUMIF('4.1 Program Budget - 2024-2027'!$G:$G,$B49,'4.1 Program Budget - 2024-2027'!$AK:$AK)</f>
        <v>60892372.424332015</v>
      </c>
      <c r="J49" s="759">
        <f>SUMIF('4.1 Program Budget - 2024-2027'!$G:$G,$B49,'4.1 Program Budget - 2024-2027'!AO:AO)</f>
        <v>1887816.5233900002</v>
      </c>
      <c r="K49" s="759">
        <f>SUMIF('4.1 Program Budget - 2024-2027'!$G:$G,$B49,'4.1 Program Budget - 2024-2027'!AP:AP)</f>
        <v>614.85518973400008</v>
      </c>
      <c r="L49" s="759">
        <f>SUMIF('4.1 Program Budget - 2024-2027'!$G:$G,$B49,'4.1 Program Budget - 2024-2027'!AQ:AQ)</f>
        <v>14665388.433289999</v>
      </c>
      <c r="M49" s="1139">
        <f>SUMIF('4.1 Program Budget - 2024-2027'!$G:$G,$B49,'4.1 Program Budget - 2024-2027'!AR:AR)</f>
        <v>638.67796633</v>
      </c>
      <c r="N49" s="1139">
        <f>SUMIF('4.1 Program Budget - 2024-2027'!$G:$G,$B49,'4.1 Program Budget - 2024-2027'!AS:AS)</f>
        <v>87248.167836000008</v>
      </c>
      <c r="O49" s="25">
        <f>SUMIF('4.1 Program Budget - 2024-2027'!$G:$G,$B49,'4.1 Program Budget - 2024-2027'!$BC:$BC)</f>
        <v>61473012.389687508</v>
      </c>
      <c r="P49" s="759">
        <f>SUMIF('4.1 Program Budget - 2024-2027'!$G:$G,$B49,'4.1 Program Budget - 2024-2027'!BG:BG)</f>
        <v>1887123.4683900003</v>
      </c>
      <c r="Q49" s="759">
        <f>SUMIF('4.1 Program Budget - 2024-2027'!$G:$G,$B49,'4.1 Program Budget - 2024-2027'!BH:BH)</f>
        <v>614.75288973400006</v>
      </c>
      <c r="R49" s="759">
        <f>SUMIF('4.1 Program Budget - 2024-2027'!$G:$G,$B49,'4.1 Program Budget - 2024-2027'!BI:BI)</f>
        <v>14626745.48329</v>
      </c>
      <c r="S49" s="1139">
        <f>SUMIF('4.1 Program Budget - 2024-2027'!$G:$G,$B49,'4.1 Program Budget - 2024-2027'!BJ:BJ)</f>
        <v>667.26903835300004</v>
      </c>
      <c r="T49" s="1139">
        <f>SUMIF('4.1 Program Budget - 2024-2027'!$G:$G,$B49,'4.1 Program Budget - 2024-2027'!BK:BK)</f>
        <v>87021.192828000014</v>
      </c>
      <c r="U49" s="25">
        <f>SUMIF('4.1 Program Budget - 2024-2027'!$G:$G,$B49,'4.1 Program Budget - 2024-2027'!$BU:$BU)</f>
        <v>62376246.516654924</v>
      </c>
      <c r="V49" s="759">
        <f>SUMIF('4.1 Program Budget - 2024-2027'!$G:$G,$B49,'4.1 Program Budget - 2024-2027'!BY:BY)</f>
        <v>1884565.0970900003</v>
      </c>
      <c r="W49" s="759">
        <f>SUMIF('4.1 Program Budget - 2024-2027'!$G:$G,$B49,'4.1 Program Budget - 2024-2027'!BZ:BZ)</f>
        <v>615.21555434200002</v>
      </c>
      <c r="X49" s="759">
        <f>SUMIF('4.1 Program Budget - 2024-2027'!$G:$G,$B49,'4.1 Program Budget - 2024-2027'!CA:CA)</f>
        <v>14619251.055189999</v>
      </c>
      <c r="Y49" s="1139">
        <f>SUMIF('4.1 Program Budget - 2024-2027'!$G:$G,$B49,'4.1 Program Budget - 2024-2027'!CB:CB)</f>
        <v>690.14278789899993</v>
      </c>
      <c r="Z49" s="1139">
        <f>SUMIF('4.1 Program Budget - 2024-2027'!$G:$G,$B49,'4.1 Program Budget - 2024-2027'!CC:CC)</f>
        <v>86977.462773000007</v>
      </c>
      <c r="AA49" s="25">
        <f t="shared" ref="AA49:AA57" si="30">+AA7+AA21+AA35</f>
        <v>64372286.40518789</v>
      </c>
      <c r="AB49" s="759">
        <f t="shared" ref="AB49:AD49" si="31">+AB7+AB21+AB35</f>
        <v>5866988.5399999991</v>
      </c>
      <c r="AC49" s="759">
        <f t="shared" si="31"/>
        <v>1280.0999999999999</v>
      </c>
      <c r="AD49" s="759">
        <f t="shared" si="31"/>
        <v>16216338.870000001</v>
      </c>
      <c r="AE49" s="759">
        <f t="shared" ref="AE49:AF49" si="32">+AE7+AE21+AE35</f>
        <v>1603.04</v>
      </c>
      <c r="AF49" s="759">
        <f t="shared" si="32"/>
        <v>94865.540000000008</v>
      </c>
      <c r="AG49" s="25">
        <f>+AG7+AG21+AG35</f>
        <v>66432199.570153907</v>
      </c>
      <c r="AH49" s="759">
        <f t="shared" ref="AH49:AJ49" si="33">+AH7+AH21+AH35</f>
        <v>5929224.9900000002</v>
      </c>
      <c r="AI49" s="759">
        <f t="shared" si="33"/>
        <v>1301.28</v>
      </c>
      <c r="AJ49" s="759">
        <f t="shared" si="33"/>
        <v>16733459.1</v>
      </c>
      <c r="AK49" s="759">
        <f t="shared" ref="AK49:AL49" si="34">+AK7+AK21+AK35</f>
        <v>1472.98</v>
      </c>
      <c r="AL49" s="759">
        <f t="shared" si="34"/>
        <v>97890.49</v>
      </c>
      <c r="AM49" s="25">
        <f t="shared" ref="AM49:AM57" si="35">+AM7+AM21+AM35</f>
        <v>68558029.95639883</v>
      </c>
      <c r="AN49" s="759">
        <f t="shared" ref="AN49:AP49" si="36">+AN7+AN21+AN35</f>
        <v>5993450.96</v>
      </c>
      <c r="AO49" s="759">
        <f t="shared" si="36"/>
        <v>1321.94</v>
      </c>
      <c r="AP49" s="759">
        <f t="shared" si="36"/>
        <v>17267128.559999999</v>
      </c>
      <c r="AQ49" s="759">
        <f t="shared" ref="AQ49:AR49" si="37">+AQ7+AQ21+AQ35</f>
        <v>1553.72</v>
      </c>
      <c r="AR49" s="759">
        <f t="shared" si="37"/>
        <v>101012.84</v>
      </c>
      <c r="AS49" s="25">
        <f t="shared" ref="AS49:AS57" si="38">+AS7+AS21+AS35</f>
        <v>70751886.915003598</v>
      </c>
      <c r="AT49" s="759">
        <f t="shared" ref="AT49:AV49" si="39">+AT7+AT21+AT35</f>
        <v>6059734.29</v>
      </c>
      <c r="AU49" s="759">
        <f t="shared" si="39"/>
        <v>1342.71</v>
      </c>
      <c r="AV49" s="759">
        <f t="shared" si="39"/>
        <v>17817874.239999998</v>
      </c>
      <c r="AW49" s="759">
        <f t="shared" ref="AW49:AX49" si="40">+AW7+AW21+AW35</f>
        <v>1655.71</v>
      </c>
      <c r="AX49" s="759">
        <f t="shared" si="40"/>
        <v>104234.64</v>
      </c>
      <c r="AZ49" s="761" t="s">
        <v>956</v>
      </c>
    </row>
    <row r="50" spans="1:57">
      <c r="B50" s="757" t="s">
        <v>22</v>
      </c>
      <c r="C50" s="25">
        <f>SUMIF('4.1 Program Budget - 2024-2027'!$G:$G,$B50,'4.1 Program Budget - 2024-2027'!$S:$S)</f>
        <v>35681634.665620446</v>
      </c>
      <c r="D50" s="1139">
        <f>SUMIF('4.1 Program Budget - 2024-2027'!$G:$G,$B50,'4.1 Program Budget - 2024-2027'!W:W)</f>
        <v>11211163</v>
      </c>
      <c r="E50" s="1139">
        <f>SUMIF('4.1 Program Budget - 2024-2027'!$G:$G,$B50,'4.1 Program Budget - 2024-2027'!X:X)</f>
        <v>2312.2099999999996</v>
      </c>
      <c r="F50" s="1139">
        <f>SUMIF('4.1 Program Budget - 2024-2027'!$G:$G,$B50,'4.1 Program Budget - 2024-2027'!Y:Y)</f>
        <v>6945718.8700000001</v>
      </c>
      <c r="G50" s="1139">
        <f>SUMIF('4.1 Program Budget - 2024-2027'!$G:$G,$B50,'4.1 Program Budget - 2024-2027'!Z:Z)</f>
        <v>3284.81</v>
      </c>
      <c r="H50" s="1139">
        <f>SUMIF('4.1 Program Budget - 2024-2027'!$G:$G,$B50,'4.1 Program Budget - 2024-2027'!AA:AA)</f>
        <v>40844.009999999995</v>
      </c>
      <c r="I50" s="25">
        <f>SUMIF('4.1 Program Budget - 2024-2027'!$G:$G,$B50,'4.1 Program Budget - 2024-2027'!$AK:$AK)</f>
        <v>35914638.496203959</v>
      </c>
      <c r="J50" s="759">
        <f>SUMIF('4.1 Program Budget - 2024-2027'!$G:$G,$B50,'4.1 Program Budget - 2024-2027'!AO:AO)</f>
        <v>11211284.595100001</v>
      </c>
      <c r="K50" s="759">
        <f>SUMIF('4.1 Program Budget - 2024-2027'!$G:$G,$B50,'4.1 Program Budget - 2024-2027'!AP:AP)</f>
        <v>2312.4652000000001</v>
      </c>
      <c r="L50" s="759">
        <f>SUMIF('4.1 Program Budget - 2024-2027'!$G:$G,$B50,'4.1 Program Budget - 2024-2027'!AQ:AQ)</f>
        <v>6965256.55614</v>
      </c>
      <c r="M50" s="1139">
        <f>SUMIF('4.1 Program Budget - 2024-2027'!$G:$G,$B50,'4.1 Program Budget - 2024-2027'!AR:AR)</f>
        <v>2993.5612780900001</v>
      </c>
      <c r="N50" s="1139">
        <f>SUMIF('4.1 Program Budget - 2024-2027'!$G:$G,$B50,'4.1 Program Budget - 2024-2027'!AS:AS)</f>
        <v>40963.175281899996</v>
      </c>
      <c r="O50" s="25">
        <f>SUMIF('4.1 Program Budget - 2024-2027'!$G:$G,$B50,'4.1 Program Budget - 2024-2027'!$BC:$BC)</f>
        <v>36107658.440373875</v>
      </c>
      <c r="P50" s="759">
        <f>SUMIF('4.1 Program Budget - 2024-2027'!$G:$G,$B50,'4.1 Program Budget - 2024-2027'!BG:BG)</f>
        <v>11211513.4651</v>
      </c>
      <c r="Q50" s="759">
        <f>SUMIF('4.1 Program Budget - 2024-2027'!$G:$G,$B50,'4.1 Program Budget - 2024-2027'!BH:BH)</f>
        <v>2312.4151999999999</v>
      </c>
      <c r="R50" s="759">
        <f>SUMIF('4.1 Program Budget - 2024-2027'!$G:$G,$B50,'4.1 Program Budget - 2024-2027'!BI:BI)</f>
        <v>6937667.76614</v>
      </c>
      <c r="S50" s="1139">
        <f>SUMIF('4.1 Program Budget - 2024-2027'!$G:$G,$B50,'4.1 Program Budget - 2024-2027'!BJ:BJ)</f>
        <v>2716.5448605369997</v>
      </c>
      <c r="T50" s="1139">
        <f>SUMIF('4.1 Program Budget - 2024-2027'!$G:$G,$B50,'4.1 Program Budget - 2024-2027'!BK:BK)</f>
        <v>40762.8052819</v>
      </c>
      <c r="U50" s="25">
        <f>SUMIF('4.1 Program Budget - 2024-2027'!$G:$G,$B50,'4.1 Program Budget - 2024-2027'!$BU:$BU)</f>
        <v>36407749.010287039</v>
      </c>
      <c r="V50" s="759">
        <f>SUMIF('4.1 Program Budget - 2024-2027'!$G:$G,$B50,'4.1 Program Budget - 2024-2027'!BY:BY)</f>
        <v>11211800.4651</v>
      </c>
      <c r="W50" s="759">
        <f>SUMIF('4.1 Program Budget - 2024-2027'!$G:$G,$B50,'4.1 Program Budget - 2024-2027'!BZ:BZ)</f>
        <v>2312.2152000000001</v>
      </c>
      <c r="X50" s="759">
        <f>SUMIF('4.1 Program Budget - 2024-2027'!$G:$G,$B50,'4.1 Program Budget - 2024-2027'!CA:CA)</f>
        <v>7128833.7061400004</v>
      </c>
      <c r="Y50" s="1139">
        <f>SUMIF('4.1 Program Budget - 2024-2027'!$G:$G,$B50,'4.1 Program Budget - 2024-2027'!CB:CB)</f>
        <v>2545.4389813099997</v>
      </c>
      <c r="Z50" s="1139">
        <f>SUMIF('4.1 Program Budget - 2024-2027'!$G:$G,$B50,'4.1 Program Budget - 2024-2027'!CC:CC)</f>
        <v>41852.135281900002</v>
      </c>
      <c r="AA50" s="25">
        <f t="shared" si="30"/>
        <v>37572796.97861623</v>
      </c>
      <c r="AB50" s="759">
        <f t="shared" ref="AB50:AD57" si="41">+AB8+AB22+AB36</f>
        <v>15319960</v>
      </c>
      <c r="AC50" s="759">
        <f t="shared" si="41"/>
        <v>3528</v>
      </c>
      <c r="AD50" s="759">
        <f t="shared" si="41"/>
        <v>6522425</v>
      </c>
      <c r="AE50" s="759">
        <f t="shared" ref="AE50:AF50" si="42">+AE8+AE22+AE36</f>
        <v>3196</v>
      </c>
      <c r="AF50" s="759">
        <f t="shared" si="42"/>
        <v>38157</v>
      </c>
      <c r="AG50" s="25">
        <f t="shared" ref="AG50:AJ50" si="43">+AG8+AG22+AG36</f>
        <v>38775126.481931947</v>
      </c>
      <c r="AH50" s="759">
        <f t="shared" si="43"/>
        <v>15690216</v>
      </c>
      <c r="AI50" s="759">
        <f t="shared" si="43"/>
        <v>3605</v>
      </c>
      <c r="AJ50" s="759">
        <f t="shared" si="43"/>
        <v>6701699</v>
      </c>
      <c r="AK50" s="759">
        <f t="shared" ref="AK50:AL50" si="44">+AK8+AK22+AK36</f>
        <v>2996</v>
      </c>
      <c r="AL50" s="759">
        <f t="shared" si="44"/>
        <v>39205</v>
      </c>
      <c r="AM50" s="25">
        <f t="shared" si="35"/>
        <v>40015930.529353768</v>
      </c>
      <c r="AN50" s="759">
        <f t="shared" ref="AN50:AP57" si="45">+AN8+AN22+AN36</f>
        <v>16072319</v>
      </c>
      <c r="AO50" s="759">
        <f t="shared" si="45"/>
        <v>3684</v>
      </c>
      <c r="AP50" s="759">
        <f t="shared" si="45"/>
        <v>6886710</v>
      </c>
      <c r="AQ50" s="759">
        <f t="shared" ref="AQ50:AR50" si="46">+AQ8+AQ22+AQ36</f>
        <v>3039</v>
      </c>
      <c r="AR50" s="759">
        <f t="shared" si="46"/>
        <v>40288</v>
      </c>
      <c r="AS50" s="25">
        <f t="shared" si="38"/>
        <v>41296440.306293093</v>
      </c>
      <c r="AT50" s="759">
        <f t="shared" ref="AT50:AV57" si="47">+AT8+AT22+AT36</f>
        <v>16466651</v>
      </c>
      <c r="AU50" s="759">
        <f t="shared" si="47"/>
        <v>3765</v>
      </c>
      <c r="AV50" s="759">
        <f t="shared" si="47"/>
        <v>7077640</v>
      </c>
      <c r="AW50" s="759">
        <f t="shared" ref="AW50:AX50" si="48">+AW8+AW22+AW36</f>
        <v>3248</v>
      </c>
      <c r="AX50" s="759">
        <f t="shared" si="48"/>
        <v>41405</v>
      </c>
      <c r="AZ50" s="761" t="s">
        <v>957</v>
      </c>
      <c r="BB50" s="1140"/>
      <c r="BC50" s="1141"/>
      <c r="BD50" s="1141"/>
      <c r="BE50" s="1141"/>
    </row>
    <row r="51" spans="1:57">
      <c r="B51" s="757" t="s">
        <v>25</v>
      </c>
      <c r="C51" s="25">
        <f>SUMIF('4.1 Program Budget - 2024-2027'!$G:$G,$B51,'4.1 Program Budget - 2024-2027'!$S:$S)</f>
        <v>19434308.43060768</v>
      </c>
      <c r="D51" s="1139">
        <f>SUMIF('4.1 Program Budget - 2024-2027'!$G:$G,$B51,'4.1 Program Budget - 2024-2027'!W:W)</f>
        <v>1857.38</v>
      </c>
      <c r="E51" s="1139">
        <f>SUMIF('4.1 Program Budget - 2024-2027'!$G:$G,$B51,'4.1 Program Budget - 2024-2027'!X:X)</f>
        <v>0</v>
      </c>
      <c r="F51" s="1139">
        <f>SUMIF('4.1 Program Budget - 2024-2027'!$G:$G,$B51,'4.1 Program Budget - 2024-2027'!Y:Y)</f>
        <v>5047161.8308999995</v>
      </c>
      <c r="G51" s="1139">
        <f>SUMIF('4.1 Program Budget - 2024-2027'!$G:$G,$B51,'4.1 Program Budget - 2024-2027'!Z:Z)</f>
        <v>0.3</v>
      </c>
      <c r="H51" s="1139">
        <f>SUMIF('4.1 Program Budget - 2024-2027'!$G:$G,$B51,'4.1 Program Budget - 2024-2027'!AA:AA)</f>
        <v>29526.030000000002</v>
      </c>
      <c r="I51" s="25">
        <f>SUMIF('4.1 Program Budget - 2024-2027'!$G:$G,$B51,'4.1 Program Budget - 2024-2027'!$AK:$AK)</f>
        <v>19257847.933097176</v>
      </c>
      <c r="J51" s="759">
        <f>SUMIF('4.1 Program Budget - 2024-2027'!$G:$G,$B51,'4.1 Program Budget - 2024-2027'!AO:AO)</f>
        <v>1890.4</v>
      </c>
      <c r="K51" s="759">
        <f>SUMIF('4.1 Program Budget - 2024-2027'!$G:$G,$B51,'4.1 Program Budget - 2024-2027'!AP:AP)</f>
        <v>7.0000000000000007E-2</v>
      </c>
      <c r="L51" s="759">
        <f>SUMIF('4.1 Program Budget - 2024-2027'!$G:$G,$B51,'4.1 Program Budget - 2024-2027'!AQ:AQ)</f>
        <v>5063623.34</v>
      </c>
      <c r="M51" s="1139">
        <f>SUMIF('4.1 Program Budget - 2024-2027'!$G:$G,$B51,'4.1 Program Budget - 2024-2027'!AR:AR)</f>
        <v>0.34</v>
      </c>
      <c r="N51" s="1139">
        <f>SUMIF('4.1 Program Budget - 2024-2027'!$G:$G,$B51,'4.1 Program Budget - 2024-2027'!AS:AS)</f>
        <v>29621.95</v>
      </c>
      <c r="O51" s="25">
        <f>SUMIF('4.1 Program Budget - 2024-2027'!$G:$G,$B51,'4.1 Program Budget - 2024-2027'!$BC:$BC)</f>
        <v>18958555.974243689</v>
      </c>
      <c r="P51" s="759">
        <f>SUMIF('4.1 Program Budget - 2024-2027'!$G:$G,$B51,'4.1 Program Budget - 2024-2027'!BG:BG)</f>
        <v>1901</v>
      </c>
      <c r="Q51" s="759">
        <f>SUMIF('4.1 Program Budget - 2024-2027'!$G:$G,$B51,'4.1 Program Budget - 2024-2027'!BH:BH)</f>
        <v>0.05</v>
      </c>
      <c r="R51" s="759">
        <f>SUMIF('4.1 Program Budget - 2024-2027'!$G:$G,$B51,'4.1 Program Budget - 2024-2027'!BI:BI)</f>
        <v>4854184.5</v>
      </c>
      <c r="S51" s="1139">
        <f>SUMIF('4.1 Program Budget - 2024-2027'!$G:$G,$B51,'4.1 Program Budget - 2024-2027'!BJ:BJ)</f>
        <v>0.37816946200000001</v>
      </c>
      <c r="T51" s="1139">
        <f>SUMIF('4.1 Program Budget - 2024-2027'!$G:$G,$B51,'4.1 Program Budget - 2024-2027'!BK:BK)</f>
        <v>28397.420000000002</v>
      </c>
      <c r="U51" s="25">
        <f>SUMIF('4.1 Program Budget - 2024-2027'!$G:$G,$B51,'4.1 Program Budget - 2024-2027'!$BU:$BU)</f>
        <v>18954389.649610624</v>
      </c>
      <c r="V51" s="759">
        <f>SUMIF('4.1 Program Budget - 2024-2027'!$G:$G,$B51,'4.1 Program Budget - 2024-2027'!BY:BY)</f>
        <v>1978</v>
      </c>
      <c r="W51" s="759">
        <f>SUMIF('4.1 Program Budget - 2024-2027'!$G:$G,$B51,'4.1 Program Budget - 2024-2027'!BZ:BZ)</f>
        <v>0</v>
      </c>
      <c r="X51" s="759">
        <f>SUMIF('4.1 Program Budget - 2024-2027'!$G:$G,$B51,'4.1 Program Budget - 2024-2027'!CA:CA)</f>
        <v>4824906</v>
      </c>
      <c r="Y51" s="1139">
        <f>SUMIF('4.1 Program Budget - 2024-2027'!$G:$G,$B51,'4.1 Program Budget - 2024-2027'!CB:CB)</f>
        <v>0</v>
      </c>
      <c r="Z51" s="1139">
        <f>SUMIF('4.1 Program Budget - 2024-2027'!$G:$G,$B51,'4.1 Program Budget - 2024-2027'!CC:CC)</f>
        <v>28226.65</v>
      </c>
      <c r="AA51" s="25">
        <f t="shared" si="30"/>
        <v>19560930.118398167</v>
      </c>
      <c r="AB51" s="759">
        <f t="shared" si="41"/>
        <v>633907</v>
      </c>
      <c r="AC51" s="759">
        <f t="shared" si="41"/>
        <v>98</v>
      </c>
      <c r="AD51" s="759">
        <f t="shared" si="41"/>
        <v>4877317</v>
      </c>
      <c r="AE51" s="759">
        <f t="shared" ref="AE51:AF51" si="49">+AE9+AE23+AE37</f>
        <v>106</v>
      </c>
      <c r="AF51" s="759">
        <f t="shared" si="49"/>
        <v>28532</v>
      </c>
      <c r="AG51" s="25">
        <f t="shared" ref="AG51:AJ51" si="50">+AG9+AG23+AG37</f>
        <v>20186879.882186908</v>
      </c>
      <c r="AH51" s="759">
        <f t="shared" si="50"/>
        <v>633974</v>
      </c>
      <c r="AI51" s="759">
        <f t="shared" si="50"/>
        <v>98</v>
      </c>
      <c r="AJ51" s="759">
        <f t="shared" si="50"/>
        <v>5031963</v>
      </c>
      <c r="AK51" s="759">
        <f t="shared" ref="AK51:AL51" si="51">+AK9+AK23+AK37</f>
        <v>85</v>
      </c>
      <c r="AL51" s="759">
        <f t="shared" si="51"/>
        <v>29437</v>
      </c>
      <c r="AM51" s="25">
        <f t="shared" si="35"/>
        <v>20832860.038416892</v>
      </c>
      <c r="AN51" s="759">
        <f t="shared" si="45"/>
        <v>634042</v>
      </c>
      <c r="AO51" s="759">
        <f t="shared" si="45"/>
        <v>98</v>
      </c>
      <c r="AP51" s="759">
        <f t="shared" si="45"/>
        <v>5191557</v>
      </c>
      <c r="AQ51" s="759">
        <f t="shared" ref="AQ51:AR51" si="52">+AQ9+AQ23+AQ37</f>
        <v>84</v>
      </c>
      <c r="AR51" s="759">
        <f t="shared" si="52"/>
        <v>30370</v>
      </c>
      <c r="AS51" s="25">
        <f t="shared" si="38"/>
        <v>21499511.55964623</v>
      </c>
      <c r="AT51" s="759">
        <f t="shared" si="47"/>
        <v>634113</v>
      </c>
      <c r="AU51" s="759">
        <f t="shared" si="47"/>
        <v>98</v>
      </c>
      <c r="AV51" s="759">
        <f t="shared" si="47"/>
        <v>5356259</v>
      </c>
      <c r="AW51" s="759">
        <f t="shared" ref="AW51:AX51" si="53">+AW9+AW23+AW37</f>
        <v>91</v>
      </c>
      <c r="AX51" s="759">
        <f t="shared" si="53"/>
        <v>31334</v>
      </c>
      <c r="AZ51" s="761"/>
      <c r="BB51" s="1140"/>
      <c r="BC51" s="1141"/>
      <c r="BD51" s="1141"/>
      <c r="BE51" s="1141"/>
    </row>
    <row r="52" spans="1:57">
      <c r="B52" s="757" t="s">
        <v>27</v>
      </c>
      <c r="C52" s="25">
        <f>SUMIF('4.1 Program Budget - 2024-2027'!$G:$G,$B52,'4.1 Program Budget - 2024-2027'!$S:$S)</f>
        <v>5451575.662324803</v>
      </c>
      <c r="D52" s="1139">
        <f>SUMIF('4.1 Program Budget - 2024-2027'!$G:$G,$B52,'4.1 Program Budget - 2024-2027'!W:W)</f>
        <v>35516.42</v>
      </c>
      <c r="E52" s="1139">
        <f>SUMIF('4.1 Program Budget - 2024-2027'!$G:$G,$B52,'4.1 Program Budget - 2024-2027'!X:X)</f>
        <v>0</v>
      </c>
      <c r="F52" s="1139">
        <f>SUMIF('4.1 Program Budget - 2024-2027'!$G:$G,$B52,'4.1 Program Budget - 2024-2027'!Y:Y)</f>
        <v>605436.41999999993</v>
      </c>
      <c r="G52" s="1139">
        <f>SUMIF('4.1 Program Budget - 2024-2027'!$G:$G,$B52,'4.1 Program Budget - 2024-2027'!Z:Z)</f>
        <v>2.6300000000000003</v>
      </c>
      <c r="H52" s="1139">
        <f>SUMIF('4.1 Program Budget - 2024-2027'!$G:$G,$B52,'4.1 Program Budget - 2024-2027'!AA:AA)</f>
        <v>3541.65</v>
      </c>
      <c r="I52" s="25">
        <f>SUMIF('4.1 Program Budget - 2024-2027'!$G:$G,$B52,'4.1 Program Budget - 2024-2027'!$AK:$AK)</f>
        <v>5472232.3281165045</v>
      </c>
      <c r="J52" s="759">
        <f>SUMIF('4.1 Program Budget - 2024-2027'!$G:$G,$B52,'4.1 Program Budget - 2024-2027'!AO:AO)</f>
        <v>35538.555</v>
      </c>
      <c r="K52" s="759">
        <f>SUMIF('4.1 Program Budget - 2024-2027'!$G:$G,$B52,'4.1 Program Budget - 2024-2027'!AP:AP)</f>
        <v>0.04</v>
      </c>
      <c r="L52" s="759">
        <f>SUMIF('4.1 Program Budget - 2024-2027'!$G:$G,$B52,'4.1 Program Budget - 2024-2027'!AQ:AQ)</f>
        <v>592078.16</v>
      </c>
      <c r="M52" s="1139">
        <f>SUMIF('4.1 Program Budget - 2024-2027'!$G:$G,$B52,'4.1 Program Budget - 2024-2027'!AR:AR)</f>
        <v>3.7133427399999999</v>
      </c>
      <c r="N52" s="1139">
        <f>SUMIF('4.1 Program Budget - 2024-2027'!$G:$G,$B52,'4.1 Program Budget - 2024-2027'!AS:AS)</f>
        <v>3463.65625</v>
      </c>
      <c r="O52" s="25">
        <f>SUMIF('4.1 Program Budget - 2024-2027'!$G:$G,$B52,'4.1 Program Budget - 2024-2027'!$BC:$BC)</f>
        <v>5579365.7340623653</v>
      </c>
      <c r="P52" s="759">
        <f>SUMIF('4.1 Program Budget - 2024-2027'!$G:$G,$B52,'4.1 Program Budget - 2024-2027'!BG:BG)</f>
        <v>35545.375</v>
      </c>
      <c r="Q52" s="759">
        <f>SUMIF('4.1 Program Budget - 2024-2027'!$G:$G,$B52,'4.1 Program Budget - 2024-2027'!BH:BH)</f>
        <v>0.04</v>
      </c>
      <c r="R52" s="759">
        <f>SUMIF('4.1 Program Budget - 2024-2027'!$G:$G,$B52,'4.1 Program Budget - 2024-2027'!BI:BI)</f>
        <v>573343.41</v>
      </c>
      <c r="S52" s="1139">
        <f>SUMIF('4.1 Program Budget - 2024-2027'!$G:$G,$B52,'4.1 Program Budget - 2024-2027'!BJ:BJ)</f>
        <v>4.024559343</v>
      </c>
      <c r="T52" s="1139">
        <f>SUMIF('4.1 Program Budget - 2024-2027'!$G:$G,$B52,'4.1 Program Budget - 2024-2027'!BK:BK)</f>
        <v>3354.5362500000001</v>
      </c>
      <c r="U52" s="25">
        <f>SUMIF('4.1 Program Budget - 2024-2027'!$G:$G,$B52,'4.1 Program Budget - 2024-2027'!$BU:$BU)</f>
        <v>5619129.7379603097</v>
      </c>
      <c r="V52" s="759">
        <f>SUMIF('4.1 Program Budget - 2024-2027'!$G:$G,$B52,'4.1 Program Budget - 2024-2027'!BY:BY)</f>
        <v>35597.375</v>
      </c>
      <c r="W52" s="759">
        <f>SUMIF('4.1 Program Budget - 2024-2027'!$G:$G,$B52,'4.1 Program Budget - 2024-2027'!BZ:BZ)</f>
        <v>0</v>
      </c>
      <c r="X52" s="759">
        <f>SUMIF('4.1 Program Budget - 2024-2027'!$G:$G,$B52,'4.1 Program Budget - 2024-2027'!CA:CA)</f>
        <v>601498</v>
      </c>
      <c r="Y52" s="1139">
        <f>SUMIF('4.1 Program Budget - 2024-2027'!$G:$G,$B52,'4.1 Program Budget - 2024-2027'!CB:CB)</f>
        <v>4.6388612069999997</v>
      </c>
      <c r="Z52" s="1139">
        <f>SUMIF('4.1 Program Budget - 2024-2027'!$G:$G,$B52,'4.1 Program Budget - 2024-2027'!CC:CC)</f>
        <v>3518.8262500000001</v>
      </c>
      <c r="AA52" s="25">
        <f t="shared" si="30"/>
        <v>5798941.88957504</v>
      </c>
      <c r="AB52" s="759">
        <f t="shared" si="41"/>
        <v>149441</v>
      </c>
      <c r="AC52" s="759">
        <f t="shared" si="41"/>
        <v>36</v>
      </c>
      <c r="AD52" s="759">
        <f t="shared" si="41"/>
        <v>608929</v>
      </c>
      <c r="AE52" s="759">
        <f t="shared" ref="AE52:AF52" si="54">+AE10+AE24+AE38</f>
        <v>24</v>
      </c>
      <c r="AF52" s="759">
        <f t="shared" si="54"/>
        <v>3562</v>
      </c>
      <c r="AG52" s="25">
        <f t="shared" ref="AG52:AJ52" si="55">+AG10+AG24+AG38</f>
        <v>5984508.0300414413</v>
      </c>
      <c r="AH52" s="759">
        <f t="shared" si="55"/>
        <v>150617</v>
      </c>
      <c r="AI52" s="759">
        <f t="shared" si="55"/>
        <v>36</v>
      </c>
      <c r="AJ52" s="759">
        <f t="shared" si="55"/>
        <v>628388</v>
      </c>
      <c r="AK52" s="759">
        <f t="shared" ref="AK52:AL52" si="56">+AK10+AK24+AK38</f>
        <v>19</v>
      </c>
      <c r="AL52" s="759">
        <f t="shared" si="56"/>
        <v>3676</v>
      </c>
      <c r="AM52" s="25">
        <f t="shared" si="35"/>
        <v>6176012.2870027674</v>
      </c>
      <c r="AN52" s="759">
        <f t="shared" si="45"/>
        <v>151831</v>
      </c>
      <c r="AO52" s="759">
        <f t="shared" si="45"/>
        <v>36</v>
      </c>
      <c r="AP52" s="759">
        <f t="shared" si="45"/>
        <v>648468</v>
      </c>
      <c r="AQ52" s="759">
        <f t="shared" ref="AQ52:AR52" si="57">+AQ10+AQ24+AQ38</f>
        <v>19</v>
      </c>
      <c r="AR52" s="759">
        <f t="shared" si="57"/>
        <v>3793</v>
      </c>
      <c r="AS52" s="25">
        <f t="shared" si="38"/>
        <v>6373644.6801868556</v>
      </c>
      <c r="AT52" s="759">
        <f t="shared" si="47"/>
        <v>153084</v>
      </c>
      <c r="AU52" s="759">
        <f t="shared" si="47"/>
        <v>36</v>
      </c>
      <c r="AV52" s="759">
        <f t="shared" si="47"/>
        <v>669192</v>
      </c>
      <c r="AW52" s="759">
        <f t="shared" ref="AW52:AX52" si="58">+AW10+AW24+AW38</f>
        <v>20</v>
      </c>
      <c r="AX52" s="759">
        <f t="shared" si="58"/>
        <v>3915</v>
      </c>
      <c r="AZ52" s="761"/>
      <c r="BB52" s="1140"/>
      <c r="BC52" s="1141"/>
      <c r="BD52" s="1141"/>
      <c r="BE52" s="1141"/>
    </row>
    <row r="53" spans="1:57">
      <c r="B53" s="757" t="s">
        <v>29</v>
      </c>
      <c r="C53" s="25">
        <f>SUMIF('4.1 Program Budget - 2024-2027'!$G:$G,$B53,'4.1 Program Budget - 2024-2027'!$S:$S)</f>
        <v>1645389.7508036585</v>
      </c>
      <c r="D53" s="1139">
        <f>SUMIF('4.1 Program Budget - 2024-2027'!$G:$G,$B53,'4.1 Program Budget - 2024-2027'!W:W)</f>
        <v>0</v>
      </c>
      <c r="E53" s="1139">
        <f>SUMIF('4.1 Program Budget - 2024-2027'!$G:$G,$B53,'4.1 Program Budget - 2024-2027'!X:X)</f>
        <v>0</v>
      </c>
      <c r="F53" s="1139">
        <f>SUMIF('4.1 Program Budget - 2024-2027'!$G:$G,$B53,'4.1 Program Budget - 2024-2027'!Y:Y)</f>
        <v>0</v>
      </c>
      <c r="G53" s="1139">
        <f>SUMIF('4.1 Program Budget - 2024-2027'!$G:$G,$B53,'4.1 Program Budget - 2024-2027'!Z:Z)</f>
        <v>0</v>
      </c>
      <c r="H53" s="1139">
        <f>SUMIF('4.1 Program Budget - 2024-2027'!$G:$G,$B53,'4.1 Program Budget - 2024-2027'!AA:AA)</f>
        <v>0</v>
      </c>
      <c r="I53" s="25">
        <f>SUMIF('4.1 Program Budget - 2024-2027'!$G:$G,$B53,'4.1 Program Budget - 2024-2027'!$AK:$AK)</f>
        <v>1652861.4233807516</v>
      </c>
      <c r="J53" s="759">
        <f>SUMIF('4.1 Program Budget - 2024-2027'!$G:$G,$B53,'4.1 Program Budget - 2024-2027'!AO:AO)</f>
        <v>0</v>
      </c>
      <c r="K53" s="759">
        <f>SUMIF('4.1 Program Budget - 2024-2027'!$G:$G,$B53,'4.1 Program Budget - 2024-2027'!AP:AP)</f>
        <v>0</v>
      </c>
      <c r="L53" s="759">
        <f>SUMIF('4.1 Program Budget - 2024-2027'!$G:$G,$B53,'4.1 Program Budget - 2024-2027'!AQ:AQ)</f>
        <v>0</v>
      </c>
      <c r="M53" s="1139">
        <f>SUMIF('4.1 Program Budget - 2024-2027'!$G:$G,$B53,'4.1 Program Budget - 2024-2027'!AR:AR)</f>
        <v>0</v>
      </c>
      <c r="N53" s="1139">
        <f>SUMIF('4.1 Program Budget - 2024-2027'!$G:$G,$B53,'4.1 Program Budget - 2024-2027'!AS:AS)</f>
        <v>0</v>
      </c>
      <c r="O53" s="25">
        <f>SUMIF('4.1 Program Budget - 2024-2027'!$G:$G,$B53,'4.1 Program Budget - 2024-2027'!$BC:$BC)</f>
        <v>1661486.8566789813</v>
      </c>
      <c r="P53" s="759">
        <f>SUMIF('4.1 Program Budget - 2024-2027'!$G:$G,$B53,'4.1 Program Budget - 2024-2027'!BG:BG)</f>
        <v>0</v>
      </c>
      <c r="Q53" s="759">
        <f>SUMIF('4.1 Program Budget - 2024-2027'!$G:$G,$B53,'4.1 Program Budget - 2024-2027'!BH:BH)</f>
        <v>0</v>
      </c>
      <c r="R53" s="759">
        <f>SUMIF('4.1 Program Budget - 2024-2027'!$G:$G,$B53,'4.1 Program Budget - 2024-2027'!BI:BI)</f>
        <v>0</v>
      </c>
      <c r="S53" s="1139">
        <f>SUMIF('4.1 Program Budget - 2024-2027'!$G:$G,$B53,'4.1 Program Budget - 2024-2027'!BJ:BJ)</f>
        <v>0</v>
      </c>
      <c r="T53" s="1139">
        <f>SUMIF('4.1 Program Budget - 2024-2027'!$G:$G,$B53,'4.1 Program Budget - 2024-2027'!BK:BK)</f>
        <v>0</v>
      </c>
      <c r="U53" s="25">
        <f>SUMIF('4.1 Program Budget - 2024-2027'!$G:$G,$B53,'4.1 Program Budget - 2024-2027'!$BU:$BU)</f>
        <v>1671307.6332180835</v>
      </c>
      <c r="V53" s="759">
        <f>SUMIF('4.1 Program Budget - 2024-2027'!$G:$G,$B53,'4.1 Program Budget - 2024-2027'!BY:BY)</f>
        <v>0</v>
      </c>
      <c r="W53" s="759">
        <f>SUMIF('4.1 Program Budget - 2024-2027'!$G:$G,$B53,'4.1 Program Budget - 2024-2027'!BZ:BZ)</f>
        <v>0</v>
      </c>
      <c r="X53" s="759">
        <f>SUMIF('4.1 Program Budget - 2024-2027'!$G:$G,$B53,'4.1 Program Budget - 2024-2027'!CA:CA)</f>
        <v>0</v>
      </c>
      <c r="Y53" s="1139">
        <f>SUMIF('4.1 Program Budget - 2024-2027'!$G:$G,$B53,'4.1 Program Budget - 2024-2027'!CB:CB)</f>
        <v>0</v>
      </c>
      <c r="Z53" s="1139">
        <f>SUMIF('4.1 Program Budget - 2024-2027'!$G:$G,$B53,'4.1 Program Budget - 2024-2027'!CC:CC)</f>
        <v>0</v>
      </c>
      <c r="AA53" s="25">
        <f t="shared" si="30"/>
        <v>1724789.4774810623</v>
      </c>
      <c r="AB53" s="759">
        <f t="shared" si="41"/>
        <v>0</v>
      </c>
      <c r="AC53" s="759">
        <f t="shared" si="41"/>
        <v>0</v>
      </c>
      <c r="AD53" s="759">
        <f t="shared" si="41"/>
        <v>0</v>
      </c>
      <c r="AE53" s="759">
        <f t="shared" ref="AE53:AF53" si="59">+AE11+AE25+AE39</f>
        <v>0</v>
      </c>
      <c r="AF53" s="759">
        <f t="shared" si="59"/>
        <v>0</v>
      </c>
      <c r="AG53" s="25">
        <f t="shared" ref="AG53:AJ53" si="60">+AG11+AG25+AG39</f>
        <v>1779982.7407604563</v>
      </c>
      <c r="AH53" s="759">
        <f t="shared" si="60"/>
        <v>0</v>
      </c>
      <c r="AI53" s="759">
        <f t="shared" si="60"/>
        <v>0</v>
      </c>
      <c r="AJ53" s="759">
        <f t="shared" si="60"/>
        <v>0</v>
      </c>
      <c r="AK53" s="759">
        <f t="shared" ref="AK53:AL53" si="61">+AK11+AK25+AK39</f>
        <v>0</v>
      </c>
      <c r="AL53" s="759">
        <f t="shared" si="61"/>
        <v>0</v>
      </c>
      <c r="AM53" s="25">
        <f t="shared" si="35"/>
        <v>1836942.188464791</v>
      </c>
      <c r="AN53" s="759">
        <f t="shared" si="45"/>
        <v>0</v>
      </c>
      <c r="AO53" s="759">
        <f t="shared" si="45"/>
        <v>0</v>
      </c>
      <c r="AP53" s="759">
        <f t="shared" si="45"/>
        <v>0</v>
      </c>
      <c r="AQ53" s="759">
        <f t="shared" ref="AQ53:AR53" si="62">+AQ11+AQ25+AQ39</f>
        <v>0</v>
      </c>
      <c r="AR53" s="759">
        <f t="shared" si="62"/>
        <v>0</v>
      </c>
      <c r="AS53" s="25">
        <f t="shared" si="38"/>
        <v>1895724.3384956643</v>
      </c>
      <c r="AT53" s="759">
        <f t="shared" si="47"/>
        <v>0</v>
      </c>
      <c r="AU53" s="759">
        <f t="shared" si="47"/>
        <v>0</v>
      </c>
      <c r="AV53" s="759">
        <f t="shared" si="47"/>
        <v>0</v>
      </c>
      <c r="AW53" s="759">
        <f t="shared" ref="AW53:AX53" si="63">+AW11+AW25+AW39</f>
        <v>0</v>
      </c>
      <c r="AX53" s="759">
        <f t="shared" si="63"/>
        <v>0</v>
      </c>
      <c r="AZ53" s="761"/>
      <c r="BB53" s="1140"/>
      <c r="BC53" s="1141"/>
      <c r="BD53" s="1141"/>
      <c r="BE53" s="1141"/>
    </row>
    <row r="54" spans="1:57">
      <c r="B54" s="757" t="s">
        <v>30</v>
      </c>
      <c r="C54" s="25">
        <f>SUMIF('4.1 Program Budget - 2024-2027'!$G:$G,$B54,'4.1 Program Budget - 2024-2027'!$S:$S)</f>
        <v>11837519.458088361</v>
      </c>
      <c r="D54" s="1139">
        <f>SUMIF('4.1 Program Budget - 2024-2027'!$G:$G,$B54,'4.1 Program Budget - 2024-2027'!W:W)</f>
        <v>7399.53</v>
      </c>
      <c r="E54" s="1139">
        <f>SUMIF('4.1 Program Budget - 2024-2027'!$G:$G,$B54,'4.1 Program Budget - 2024-2027'!X:X)</f>
        <v>0</v>
      </c>
      <c r="F54" s="1139">
        <f>SUMIF('4.1 Program Budget - 2024-2027'!$G:$G,$B54,'4.1 Program Budget - 2024-2027'!Y:Y)</f>
        <v>2304976.96</v>
      </c>
      <c r="G54" s="1139">
        <f>SUMIF('4.1 Program Budget - 2024-2027'!$G:$G,$B54,'4.1 Program Budget - 2024-2027'!Z:Z)</f>
        <v>0.75</v>
      </c>
      <c r="H54" s="1139">
        <f>SUMIF('4.1 Program Budget - 2024-2027'!$G:$G,$B54,'4.1 Program Budget - 2024-2027'!AA:AA)</f>
        <v>13485</v>
      </c>
      <c r="I54" s="25">
        <f>SUMIF('4.1 Program Budget - 2024-2027'!$G:$G,$B54,'4.1 Program Budget - 2024-2027'!$AK:$AK)</f>
        <v>12414832.004593186</v>
      </c>
      <c r="J54" s="759">
        <f>SUMIF('4.1 Program Budget - 2024-2027'!$G:$G,$B54,'4.1 Program Budget - 2024-2027'!AO:AO)</f>
        <v>8193.8106000000007</v>
      </c>
      <c r="K54" s="759">
        <f>SUMIF('4.1 Program Budget - 2024-2027'!$G:$G,$B54,'4.1 Program Budget - 2024-2027'!AP:AP)</f>
        <v>0.09</v>
      </c>
      <c r="L54" s="759">
        <f>SUMIF('4.1 Program Budget - 2024-2027'!$G:$G,$B54,'4.1 Program Budget - 2024-2027'!AQ:AQ)</f>
        <v>2440988.39</v>
      </c>
      <c r="M54" s="1139">
        <f>SUMIF('4.1 Program Budget - 2024-2027'!$G:$G,$B54,'4.1 Program Budget - 2024-2027'!AR:AR)</f>
        <v>1.0265317920000001</v>
      </c>
      <c r="N54" s="1139">
        <f>SUMIF('4.1 Program Budget - 2024-2027'!$G:$G,$B54,'4.1 Program Budget - 2024-2027'!AS:AS)</f>
        <v>14280.245780000001</v>
      </c>
      <c r="O54" s="25">
        <f>SUMIF('4.1 Program Budget - 2024-2027'!$G:$G,$B54,'4.1 Program Budget - 2024-2027'!$BC:$BC)</f>
        <v>12514013.998096727</v>
      </c>
      <c r="P54" s="759">
        <f>SUMIF('4.1 Program Budget - 2024-2027'!$G:$G,$B54,'4.1 Program Budget - 2024-2027'!BG:BG)</f>
        <v>8208.4506000000001</v>
      </c>
      <c r="Q54" s="759">
        <f>SUMIF('4.1 Program Budget - 2024-2027'!$G:$G,$B54,'4.1 Program Budget - 2024-2027'!BH:BH)</f>
        <v>7.0000000000000007E-2</v>
      </c>
      <c r="R54" s="759">
        <f>SUMIF('4.1 Program Budget - 2024-2027'!$G:$G,$B54,'4.1 Program Budget - 2024-2027'!BI:BI)</f>
        <v>2385857.46</v>
      </c>
      <c r="S54" s="1139">
        <f>SUMIF('4.1 Program Budget - 2024-2027'!$G:$G,$B54,'4.1 Program Budget - 2024-2027'!BJ:BJ)</f>
        <v>1.128575804</v>
      </c>
      <c r="T54" s="1139">
        <f>SUMIF('4.1 Program Budget - 2024-2027'!$G:$G,$B54,'4.1 Program Budget - 2024-2027'!BK:BK)</f>
        <v>13957.61578</v>
      </c>
      <c r="U54" s="25">
        <f>SUMIF('4.1 Program Budget - 2024-2027'!$G:$G,$B54,'4.1 Program Budget - 2024-2027'!$BU:$BU)</f>
        <v>12659265.696089795</v>
      </c>
      <c r="V54" s="759">
        <f>SUMIF('4.1 Program Budget - 2024-2027'!$G:$G,$B54,'4.1 Program Budget - 2024-2027'!BY:BY)</f>
        <v>8310.4506000000001</v>
      </c>
      <c r="W54" s="759">
        <f>SUMIF('4.1 Program Budget - 2024-2027'!$G:$G,$B54,'4.1 Program Budget - 2024-2027'!BZ:BZ)</f>
        <v>0</v>
      </c>
      <c r="X54" s="759">
        <f>SUMIF('4.1 Program Budget - 2024-2027'!$G:$G,$B54,'4.1 Program Budget - 2024-2027'!CA:CA)</f>
        <v>2441685.7999999998</v>
      </c>
      <c r="Y54" s="1139">
        <f>SUMIF('4.1 Program Budget - 2024-2027'!$G:$G,$B54,'4.1 Program Budget - 2024-2027'!CB:CB)</f>
        <v>0.76778289200000005</v>
      </c>
      <c r="Z54" s="1139">
        <f>SUMIF('4.1 Program Budget - 2024-2027'!$G:$G,$B54,'4.1 Program Budget - 2024-2027'!CC:CC)</f>
        <v>14284.735779999999</v>
      </c>
      <c r="AA54" s="25">
        <f t="shared" si="30"/>
        <v>13064362.198364669</v>
      </c>
      <c r="AB54" s="759">
        <f t="shared" si="41"/>
        <v>2136892</v>
      </c>
      <c r="AC54" s="759">
        <f t="shared" si="41"/>
        <v>743</v>
      </c>
      <c r="AD54" s="759">
        <f t="shared" si="41"/>
        <v>2268027</v>
      </c>
      <c r="AE54" s="759">
        <f t="shared" ref="AE54:AF54" si="64">+AE12+AE26+AE40</f>
        <v>380</v>
      </c>
      <c r="AF54" s="759">
        <f t="shared" si="64"/>
        <v>13268</v>
      </c>
      <c r="AG54" s="25">
        <f t="shared" ref="AG54:AJ54" si="65">+AG12+AG26+AG40</f>
        <v>13482421.788712338</v>
      </c>
      <c r="AH54" s="759">
        <f t="shared" si="65"/>
        <v>2137168</v>
      </c>
      <c r="AI54" s="759">
        <f t="shared" si="65"/>
        <v>743</v>
      </c>
      <c r="AJ54" s="759">
        <f t="shared" si="65"/>
        <v>2338865</v>
      </c>
      <c r="AK54" s="759">
        <f t="shared" ref="AK54:AL54" si="66">+AK12+AK26+AK40</f>
        <v>346</v>
      </c>
      <c r="AL54" s="759">
        <f t="shared" si="66"/>
        <v>13682</v>
      </c>
      <c r="AM54" s="25">
        <f t="shared" si="35"/>
        <v>13913859.285951134</v>
      </c>
      <c r="AN54" s="759">
        <f t="shared" si="45"/>
        <v>2137452</v>
      </c>
      <c r="AO54" s="759">
        <f t="shared" si="45"/>
        <v>743</v>
      </c>
      <c r="AP54" s="759">
        <f t="shared" si="45"/>
        <v>2411969</v>
      </c>
      <c r="AQ54" s="759">
        <f t="shared" ref="AQ54:AR54" si="67">+AQ12+AQ26+AQ40</f>
        <v>327</v>
      </c>
      <c r="AR54" s="759">
        <f t="shared" si="67"/>
        <v>14110</v>
      </c>
      <c r="AS54" s="25">
        <f t="shared" si="38"/>
        <v>14359102.78310157</v>
      </c>
      <c r="AT54" s="759">
        <f t="shared" si="47"/>
        <v>2137746</v>
      </c>
      <c r="AU54" s="759">
        <f t="shared" si="47"/>
        <v>743</v>
      </c>
      <c r="AV54" s="759">
        <f t="shared" si="47"/>
        <v>2487413</v>
      </c>
      <c r="AW54" s="759">
        <f t="shared" ref="AW54:AX54" si="68">+AW12+AW26+AW40</f>
        <v>350</v>
      </c>
      <c r="AX54" s="759">
        <f t="shared" si="68"/>
        <v>14551</v>
      </c>
      <c r="AZ54" s="761"/>
      <c r="BB54" s="1140"/>
      <c r="BC54" s="1141"/>
      <c r="BD54" s="1141"/>
      <c r="BE54" s="1141"/>
    </row>
    <row r="55" spans="1:57">
      <c r="A55" s="245">
        <v>1</v>
      </c>
      <c r="B55" s="757" t="s">
        <v>32</v>
      </c>
      <c r="C55" s="25">
        <f>SUMIF('4.1 Program Budget - 2024-2027'!$G:$G,$B55,'4.1 Program Budget - 2024-2027'!$S:$S)</f>
        <v>8548008.3210205808</v>
      </c>
      <c r="D55" s="1139">
        <f>SUMIF('4.1 Program Budget - 2024-2027'!$G:$G,$B55,'4.1 Program Budget - 2024-2027'!W:W)</f>
        <v>0</v>
      </c>
      <c r="E55" s="1139">
        <f>SUMIF('4.1 Program Budget - 2024-2027'!$G:$G,$B55,'4.1 Program Budget - 2024-2027'!X:X)</f>
        <v>0</v>
      </c>
      <c r="F55" s="1139">
        <f>SUMIF('4.1 Program Budget - 2024-2027'!$G:$G,$B55,'4.1 Program Budget - 2024-2027'!Y:Y)</f>
        <v>1330133</v>
      </c>
      <c r="G55" s="1139">
        <f>SUMIF('4.1 Program Budget - 2024-2027'!$G:$G,$B55,'4.1 Program Budget - 2024-2027'!Z:Z)</f>
        <v>0</v>
      </c>
      <c r="H55" s="1139">
        <f>SUMIF('4.1 Program Budget - 2024-2027'!$G:$G,$B55,'4.1 Program Budget - 2024-2027'!AA:AA)</f>
        <v>7781.28</v>
      </c>
      <c r="I55" s="25">
        <f>SUMIF('4.1 Program Budget - 2024-2027'!$G:$G,$B55,'4.1 Program Budget - 2024-2027'!$AK:$AK)</f>
        <v>8607036.8892864399</v>
      </c>
      <c r="J55" s="759">
        <f>SUMIF('4.1 Program Budget - 2024-2027'!$G:$G,$B55,'4.1 Program Budget - 2024-2027'!AO:AO)</f>
        <v>0</v>
      </c>
      <c r="K55" s="759">
        <f>SUMIF('4.1 Program Budget - 2024-2027'!$G:$G,$B55,'4.1 Program Budget - 2024-2027'!AP:AP)</f>
        <v>0</v>
      </c>
      <c r="L55" s="759">
        <f>SUMIF('4.1 Program Budget - 2024-2027'!$G:$G,$B55,'4.1 Program Budget - 2024-2027'!AQ:AQ)</f>
        <v>1330133.077</v>
      </c>
      <c r="M55" s="1139">
        <f>SUMIF('4.1 Program Budget - 2024-2027'!$G:$G,$B55,'4.1 Program Budget - 2024-2027'!AR:AR)</f>
        <v>0</v>
      </c>
      <c r="N55" s="1139">
        <f>SUMIF('4.1 Program Budget - 2024-2027'!$G:$G,$B55,'4.1 Program Budget - 2024-2027'!AS:AS)</f>
        <v>7781.2785000000003</v>
      </c>
      <c r="O55" s="25">
        <f>SUMIF('4.1 Program Budget - 2024-2027'!$G:$G,$B55,'4.1 Program Budget - 2024-2027'!$BC:$BC)</f>
        <v>8670652.4601491131</v>
      </c>
      <c r="P55" s="759">
        <f>SUMIF('4.1 Program Budget - 2024-2027'!$G:$G,$B55,'4.1 Program Budget - 2024-2027'!BG:BG)</f>
        <v>0</v>
      </c>
      <c r="Q55" s="759">
        <f>SUMIF('4.1 Program Budget - 2024-2027'!$G:$G,$B55,'4.1 Program Budget - 2024-2027'!BH:BH)</f>
        <v>0</v>
      </c>
      <c r="R55" s="759">
        <f>SUMIF('4.1 Program Budget - 2024-2027'!$G:$G,$B55,'4.1 Program Budget - 2024-2027'!BI:BI)</f>
        <v>1330133.077</v>
      </c>
      <c r="S55" s="1139">
        <f>SUMIF('4.1 Program Budget - 2024-2027'!$G:$G,$B55,'4.1 Program Budget - 2024-2027'!BJ:BJ)</f>
        <v>0</v>
      </c>
      <c r="T55" s="1139">
        <f>SUMIF('4.1 Program Budget - 2024-2027'!$G:$G,$B55,'4.1 Program Budget - 2024-2027'!BK:BK)</f>
        <v>7781.2785000000003</v>
      </c>
      <c r="U55" s="25">
        <f>SUMIF('4.1 Program Budget - 2024-2027'!$G:$G,$B55,'4.1 Program Budget - 2024-2027'!$BU:$BU)</f>
        <v>8741190.6084083207</v>
      </c>
      <c r="V55" s="759">
        <f>SUMIF('4.1 Program Budget - 2024-2027'!$G:$G,$B55,'4.1 Program Budget - 2024-2027'!BY:BY)</f>
        <v>0</v>
      </c>
      <c r="W55" s="759">
        <f>SUMIF('4.1 Program Budget - 2024-2027'!$G:$G,$B55,'4.1 Program Budget - 2024-2027'!BZ:BZ)</f>
        <v>0</v>
      </c>
      <c r="X55" s="759">
        <f>SUMIF('4.1 Program Budget - 2024-2027'!$G:$G,$B55,'4.1 Program Budget - 2024-2027'!CA:CA)</f>
        <v>1330133.077</v>
      </c>
      <c r="Y55" s="1139">
        <f>SUMIF('4.1 Program Budget - 2024-2027'!$G:$G,$B55,'4.1 Program Budget - 2024-2027'!CB:CB)</f>
        <v>0</v>
      </c>
      <c r="Z55" s="1139">
        <f>SUMIF('4.1 Program Budget - 2024-2027'!$G:$G,$B55,'4.1 Program Budget - 2024-2027'!CC:CC)</f>
        <v>7781.2785000000003</v>
      </c>
      <c r="AA55" s="25">
        <f t="shared" si="30"/>
        <v>9020908.7078773882</v>
      </c>
      <c r="AB55" s="759">
        <f t="shared" si="41"/>
        <v>0</v>
      </c>
      <c r="AC55" s="759">
        <f t="shared" si="41"/>
        <v>0</v>
      </c>
      <c r="AD55" s="759">
        <f t="shared" si="41"/>
        <v>0</v>
      </c>
      <c r="AE55" s="759">
        <f t="shared" ref="AE55:AF55" si="69">+AE13+AE27+AE41</f>
        <v>0</v>
      </c>
      <c r="AF55" s="759">
        <f t="shared" si="69"/>
        <v>0</v>
      </c>
      <c r="AG55" s="25">
        <f t="shared" ref="AG55:AJ55" si="70">+AG13+AG27+AG41</f>
        <v>9309577.7865294665</v>
      </c>
      <c r="AH55" s="759">
        <f t="shared" si="70"/>
        <v>0</v>
      </c>
      <c r="AI55" s="759">
        <f t="shared" si="70"/>
        <v>0</v>
      </c>
      <c r="AJ55" s="759">
        <f t="shared" si="70"/>
        <v>0</v>
      </c>
      <c r="AK55" s="759">
        <f t="shared" ref="AK55:AL55" si="71">+AK13+AK27+AK41</f>
        <v>0</v>
      </c>
      <c r="AL55" s="759">
        <f t="shared" si="71"/>
        <v>0</v>
      </c>
      <c r="AM55" s="25">
        <f t="shared" si="35"/>
        <v>9607484.2756984085</v>
      </c>
      <c r="AN55" s="759">
        <f t="shared" si="45"/>
        <v>0</v>
      </c>
      <c r="AO55" s="759">
        <f t="shared" si="45"/>
        <v>0</v>
      </c>
      <c r="AP55" s="759">
        <f t="shared" si="45"/>
        <v>0</v>
      </c>
      <c r="AQ55" s="759">
        <f t="shared" ref="AQ55:AR55" si="72">+AQ13+AQ27+AQ41</f>
        <v>0</v>
      </c>
      <c r="AR55" s="759">
        <f t="shared" si="72"/>
        <v>0</v>
      </c>
      <c r="AS55" s="25">
        <f t="shared" si="38"/>
        <v>9914923.7725207582</v>
      </c>
      <c r="AT55" s="759">
        <f t="shared" si="47"/>
        <v>0</v>
      </c>
      <c r="AU55" s="759">
        <f t="shared" si="47"/>
        <v>0</v>
      </c>
      <c r="AV55" s="759">
        <f t="shared" si="47"/>
        <v>0</v>
      </c>
      <c r="AW55" s="759">
        <f t="shared" ref="AW55:AX55" si="73">+AW13+AW27+AW41</f>
        <v>0</v>
      </c>
      <c r="AX55" s="759">
        <f t="shared" si="73"/>
        <v>0</v>
      </c>
      <c r="AZ55" s="761"/>
      <c r="BB55" s="1140"/>
      <c r="BC55" s="1141"/>
      <c r="BD55" s="1141"/>
      <c r="BE55" s="1141"/>
    </row>
    <row r="56" spans="1:57">
      <c r="A56" s="245">
        <v>2</v>
      </c>
      <c r="B56" s="757" t="s">
        <v>34</v>
      </c>
      <c r="C56" s="25">
        <f>SUMIF('4.1 Program Budget - 2024-2027'!$G:$G,$B56,'4.1 Program Budget - 2024-2027'!$S:$S)</f>
        <v>525447.51849025069</v>
      </c>
      <c r="D56" s="1139">
        <f>SUMIF('4.1 Program Budget - 2024-2027'!$G:$G,$B56,'4.1 Program Budget - 2024-2027'!W:W)</f>
        <v>0</v>
      </c>
      <c r="E56" s="1139">
        <f>SUMIF('4.1 Program Budget - 2024-2027'!$G:$G,$B56,'4.1 Program Budget - 2024-2027'!X:X)</f>
        <v>0</v>
      </c>
      <c r="F56" s="1139">
        <f>SUMIF('4.1 Program Budget - 2024-2027'!$G:$G,$B56,'4.1 Program Budget - 2024-2027'!Y:Y)</f>
        <v>0</v>
      </c>
      <c r="G56" s="1139">
        <f>SUMIF('4.1 Program Budget - 2024-2027'!$G:$G,$B56,'4.1 Program Budget - 2024-2027'!Z:Z)</f>
        <v>0</v>
      </c>
      <c r="H56" s="1139">
        <f>SUMIF('4.1 Program Budget - 2024-2027'!$G:$G,$B56,'4.1 Program Budget - 2024-2027'!AA:AA)</f>
        <v>0</v>
      </c>
      <c r="I56" s="25">
        <f>SUMIF('4.1 Program Budget - 2024-2027'!$G:$G,$B56,'4.1 Program Budget - 2024-2027'!$AK:$AK)</f>
        <v>532117.84258812142</v>
      </c>
      <c r="J56" s="759">
        <f>SUMIF('4.1 Program Budget - 2024-2027'!$G:$G,$B56,'4.1 Program Budget - 2024-2027'!AO:AO)</f>
        <v>0</v>
      </c>
      <c r="K56" s="759">
        <f>SUMIF('4.1 Program Budget - 2024-2027'!$G:$G,$B56,'4.1 Program Budget - 2024-2027'!AP:AP)</f>
        <v>0</v>
      </c>
      <c r="L56" s="759">
        <f>SUMIF('4.1 Program Budget - 2024-2027'!$G:$G,$B56,'4.1 Program Budget - 2024-2027'!AQ:AQ)</f>
        <v>0</v>
      </c>
      <c r="M56" s="1139">
        <f>SUMIF('4.1 Program Budget - 2024-2027'!$G:$G,$B56,'4.1 Program Budget - 2024-2027'!AR:AR)</f>
        <v>0</v>
      </c>
      <c r="N56" s="1139">
        <f>SUMIF('4.1 Program Budget - 2024-2027'!$G:$G,$B56,'4.1 Program Budget - 2024-2027'!AS:AS)</f>
        <v>0</v>
      </c>
      <c r="O56" s="25">
        <f>SUMIF('4.1 Program Budget - 2024-2027'!$G:$G,$B56,'4.1 Program Budget - 2024-2027'!$BC:$BC)</f>
        <v>540827.89167846448</v>
      </c>
      <c r="P56" s="759">
        <f>SUMIF('4.1 Program Budget - 2024-2027'!$G:$G,$B56,'4.1 Program Budget - 2024-2027'!BG:BG)</f>
        <v>0</v>
      </c>
      <c r="Q56" s="759">
        <f>SUMIF('4.1 Program Budget - 2024-2027'!$G:$G,$B56,'4.1 Program Budget - 2024-2027'!BH:BH)</f>
        <v>0</v>
      </c>
      <c r="R56" s="759">
        <f>SUMIF('4.1 Program Budget - 2024-2027'!$G:$G,$B56,'4.1 Program Budget - 2024-2027'!BI:BI)</f>
        <v>0</v>
      </c>
      <c r="S56" s="1139">
        <f>SUMIF('4.1 Program Budget - 2024-2027'!$G:$G,$B56,'4.1 Program Budget - 2024-2027'!BJ:BJ)</f>
        <v>0</v>
      </c>
      <c r="T56" s="1139">
        <f>SUMIF('4.1 Program Budget - 2024-2027'!$G:$G,$B56,'4.1 Program Budget - 2024-2027'!BK:BK)</f>
        <v>0</v>
      </c>
      <c r="U56" s="25">
        <f>SUMIF('4.1 Program Budget - 2024-2027'!$G:$G,$B56,'4.1 Program Budget - 2024-2027'!$BU:$BU)</f>
        <v>551308.91411495325</v>
      </c>
      <c r="V56" s="759">
        <f>SUMIF('4.1 Program Budget - 2024-2027'!$G:$G,$B56,'4.1 Program Budget - 2024-2027'!BY:BY)</f>
        <v>0</v>
      </c>
      <c r="W56" s="759">
        <f>SUMIF('4.1 Program Budget - 2024-2027'!$G:$G,$B56,'4.1 Program Budget - 2024-2027'!BZ:BZ)</f>
        <v>0</v>
      </c>
      <c r="X56" s="759">
        <f>SUMIF('4.1 Program Budget - 2024-2027'!$G:$G,$B56,'4.1 Program Budget - 2024-2027'!CA:CA)</f>
        <v>0</v>
      </c>
      <c r="Y56" s="1139">
        <f>SUMIF('4.1 Program Budget - 2024-2027'!$G:$G,$B56,'4.1 Program Budget - 2024-2027'!CB:CB)</f>
        <v>0</v>
      </c>
      <c r="Z56" s="1139">
        <f>SUMIF('4.1 Program Budget - 2024-2027'!$G:$G,$B56,'4.1 Program Budget - 2024-2027'!CC:CC)</f>
        <v>0</v>
      </c>
      <c r="AA56" s="25">
        <f t="shared" si="30"/>
        <v>568950.79936663178</v>
      </c>
      <c r="AB56" s="759">
        <f t="shared" si="41"/>
        <v>0</v>
      </c>
      <c r="AC56" s="759">
        <f t="shared" si="41"/>
        <v>0</v>
      </c>
      <c r="AD56" s="759">
        <f t="shared" si="41"/>
        <v>0</v>
      </c>
      <c r="AE56" s="759">
        <f t="shared" ref="AE56:AF56" si="74">+AE14+AE28+AE42</f>
        <v>0</v>
      </c>
      <c r="AF56" s="759">
        <f t="shared" si="74"/>
        <v>0</v>
      </c>
      <c r="AG56" s="25">
        <f t="shared" ref="AG56:AJ56" si="75">+AG14+AG28+AG42</f>
        <v>587157.22494636406</v>
      </c>
      <c r="AH56" s="759">
        <f t="shared" si="75"/>
        <v>0</v>
      </c>
      <c r="AI56" s="759">
        <f t="shared" si="75"/>
        <v>0</v>
      </c>
      <c r="AJ56" s="759">
        <f t="shared" si="75"/>
        <v>0</v>
      </c>
      <c r="AK56" s="759">
        <f t="shared" ref="AK56:AL56" si="76">+AK14+AK28+AK42</f>
        <v>0</v>
      </c>
      <c r="AL56" s="759">
        <f t="shared" si="76"/>
        <v>0</v>
      </c>
      <c r="AM56" s="25">
        <f t="shared" si="35"/>
        <v>605946.25614464772</v>
      </c>
      <c r="AN56" s="759">
        <f t="shared" si="45"/>
        <v>0</v>
      </c>
      <c r="AO56" s="759">
        <f t="shared" si="45"/>
        <v>0</v>
      </c>
      <c r="AP56" s="759">
        <f t="shared" si="45"/>
        <v>0</v>
      </c>
      <c r="AQ56" s="759">
        <f t="shared" ref="AQ56:AR56" si="77">+AQ14+AQ28+AQ42</f>
        <v>0</v>
      </c>
      <c r="AR56" s="759">
        <f t="shared" si="77"/>
        <v>0</v>
      </c>
      <c r="AS56" s="25">
        <f t="shared" si="38"/>
        <v>625336.53634127649</v>
      </c>
      <c r="AT56" s="759">
        <f t="shared" si="47"/>
        <v>0</v>
      </c>
      <c r="AU56" s="759">
        <f t="shared" si="47"/>
        <v>0</v>
      </c>
      <c r="AV56" s="759">
        <f t="shared" si="47"/>
        <v>0</v>
      </c>
      <c r="AW56" s="759">
        <f t="shared" ref="AW56:AX56" si="78">+AW14+AW28+AW42</f>
        <v>0</v>
      </c>
      <c r="AX56" s="759">
        <f t="shared" si="78"/>
        <v>0</v>
      </c>
      <c r="AZ56" s="761"/>
      <c r="BB56" s="1140"/>
      <c r="BC56" s="1141"/>
      <c r="BD56" s="1141"/>
      <c r="BE56" s="1141"/>
    </row>
    <row r="57" spans="1:57">
      <c r="A57" s="245">
        <v>3</v>
      </c>
      <c r="B57" s="757" t="s">
        <v>36</v>
      </c>
      <c r="C57" s="25">
        <f>SUMIF('4.1 Program Budget - 2024-2027'!$G:$G,$B57,'4.1 Program Budget - 2024-2027'!$S:$S)</f>
        <v>0</v>
      </c>
      <c r="D57" s="1139">
        <f>SUMIF('4.1 Program Budget - 2024-2027'!$G:$G,$B57,'4.1 Program Budget - 2024-2027'!W:W)</f>
        <v>0</v>
      </c>
      <c r="E57" s="1139">
        <f>SUMIF('4.1 Program Budget - 2024-2027'!$G:$G,$B57,'4.1 Program Budget - 2024-2027'!X:X)</f>
        <v>0</v>
      </c>
      <c r="F57" s="1139">
        <f>SUMIF('4.1 Program Budget - 2024-2027'!$G:$G,$B57,'4.1 Program Budget - 2024-2027'!Y:Y)</f>
        <v>0</v>
      </c>
      <c r="G57" s="1139">
        <f>SUMIF('4.1 Program Budget - 2024-2027'!$G:$G,$B57,'4.1 Program Budget - 2024-2027'!Z:Z)</f>
        <v>0</v>
      </c>
      <c r="H57" s="1139">
        <f>SUMIF('4.1 Program Budget - 2024-2027'!$G:$G,$B57,'4.1 Program Budget - 2024-2027'!AA:AA)</f>
        <v>0</v>
      </c>
      <c r="I57" s="25">
        <f>SUMIF('4.1 Program Budget - 2024-2027'!$G:$G,$B57,'4.1 Program Budget - 2024-2027'!$AK:$AK)</f>
        <v>0</v>
      </c>
      <c r="J57" s="759">
        <f>SUMIF('4.1 Program Budget - 2024-2027'!$G:$G,$B57,'4.1 Program Budget - 2024-2027'!AO:AO)</f>
        <v>0</v>
      </c>
      <c r="K57" s="759">
        <f>SUMIF('4.1 Program Budget - 2024-2027'!$G:$G,$B57,'4.1 Program Budget - 2024-2027'!AP:AP)</f>
        <v>0</v>
      </c>
      <c r="L57" s="759">
        <f>SUMIF('4.1 Program Budget - 2024-2027'!$G:$G,$B57,'4.1 Program Budget - 2024-2027'!AQ:AQ)</f>
        <v>0</v>
      </c>
      <c r="M57" s="1139">
        <f>SUMIF('4.1 Program Budget - 2024-2027'!$G:$G,$B57,'4.1 Program Budget - 2024-2027'!AR:AR)</f>
        <v>0</v>
      </c>
      <c r="N57" s="1139">
        <f>SUMIF('4.1 Program Budget - 2024-2027'!$G:$G,$B57,'4.1 Program Budget - 2024-2027'!AS:AS)</f>
        <v>0</v>
      </c>
      <c r="O57" s="25">
        <f>SUMIF('4.1 Program Budget - 2024-2027'!$G:$G,$B57,'4.1 Program Budget - 2024-2027'!$BC:$BC)</f>
        <v>0</v>
      </c>
      <c r="P57" s="759">
        <f>SUMIF('4.1 Program Budget - 2024-2027'!$G:$G,$B57,'4.1 Program Budget - 2024-2027'!BG:BG)</f>
        <v>0</v>
      </c>
      <c r="Q57" s="759">
        <f>SUMIF('4.1 Program Budget - 2024-2027'!$G:$G,$B57,'4.1 Program Budget - 2024-2027'!BH:BH)</f>
        <v>0</v>
      </c>
      <c r="R57" s="759">
        <f>SUMIF('4.1 Program Budget - 2024-2027'!$G:$G,$B57,'4.1 Program Budget - 2024-2027'!BI:BI)</f>
        <v>0</v>
      </c>
      <c r="S57" s="1139">
        <f>SUMIF('4.1 Program Budget - 2024-2027'!$G:$G,$B57,'4.1 Program Budget - 2024-2027'!BJ:BJ)</f>
        <v>0</v>
      </c>
      <c r="T57" s="1139">
        <f>SUMIF('4.1 Program Budget - 2024-2027'!$G:$G,$B57,'4.1 Program Budget - 2024-2027'!BK:BK)</f>
        <v>0</v>
      </c>
      <c r="U57" s="25">
        <f>SUMIF('4.1 Program Budget - 2024-2027'!$G:$G,$B57,'4.1 Program Budget - 2024-2027'!$BU:$BU)</f>
        <v>0</v>
      </c>
      <c r="V57" s="759">
        <f>SUMIF('4.1 Program Budget - 2024-2027'!$G:$G,$B57,'4.1 Program Budget - 2024-2027'!BY:BY)</f>
        <v>0</v>
      </c>
      <c r="W57" s="759">
        <f>SUMIF('4.1 Program Budget - 2024-2027'!$G:$G,$B57,'4.1 Program Budget - 2024-2027'!BZ:BZ)</f>
        <v>0</v>
      </c>
      <c r="X57" s="759">
        <f>SUMIF('4.1 Program Budget - 2024-2027'!$G:$G,$B57,'4.1 Program Budget - 2024-2027'!CA:CA)</f>
        <v>0</v>
      </c>
      <c r="Y57" s="1139">
        <f>SUMIF('4.1 Program Budget - 2024-2027'!$G:$G,$B57,'4.1 Program Budget - 2024-2027'!CB:CB)</f>
        <v>0</v>
      </c>
      <c r="Z57" s="1139">
        <f>SUMIF('4.1 Program Budget - 2024-2027'!$G:$G,$B57,'4.1 Program Budget - 2024-2027'!CC:CC)</f>
        <v>0</v>
      </c>
      <c r="AA57" s="25">
        <f t="shared" si="30"/>
        <v>0</v>
      </c>
      <c r="AB57" s="759">
        <f t="shared" si="41"/>
        <v>0</v>
      </c>
      <c r="AC57" s="759">
        <f t="shared" si="41"/>
        <v>0</v>
      </c>
      <c r="AD57" s="759">
        <f t="shared" si="41"/>
        <v>0</v>
      </c>
      <c r="AE57" s="759">
        <f t="shared" ref="AE57:AF57" si="79">+AE15+AE29+AE43</f>
        <v>0</v>
      </c>
      <c r="AF57" s="759">
        <f t="shared" si="79"/>
        <v>0</v>
      </c>
      <c r="AG57" s="25">
        <f t="shared" ref="AG57:AJ57" si="80">+AG15+AG29+AG43</f>
        <v>0</v>
      </c>
      <c r="AH57" s="759">
        <f t="shared" si="80"/>
        <v>0</v>
      </c>
      <c r="AI57" s="759">
        <f t="shared" si="80"/>
        <v>0</v>
      </c>
      <c r="AJ57" s="759">
        <f t="shared" si="80"/>
        <v>0</v>
      </c>
      <c r="AK57" s="759">
        <f t="shared" ref="AK57:AL57" si="81">+AK15+AK29+AK43</f>
        <v>0</v>
      </c>
      <c r="AL57" s="759">
        <f t="shared" si="81"/>
        <v>0</v>
      </c>
      <c r="AM57" s="25">
        <f t="shared" si="35"/>
        <v>0</v>
      </c>
      <c r="AN57" s="759">
        <f t="shared" si="45"/>
        <v>0</v>
      </c>
      <c r="AO57" s="759">
        <f t="shared" si="45"/>
        <v>0</v>
      </c>
      <c r="AP57" s="759">
        <f t="shared" si="45"/>
        <v>0</v>
      </c>
      <c r="AQ57" s="759">
        <f t="shared" ref="AQ57:AR57" si="82">+AQ15+AQ29+AQ43</f>
        <v>0</v>
      </c>
      <c r="AR57" s="759">
        <f t="shared" si="82"/>
        <v>0</v>
      </c>
      <c r="AS57" s="25">
        <f t="shared" si="38"/>
        <v>0</v>
      </c>
      <c r="AT57" s="759">
        <f t="shared" si="47"/>
        <v>0</v>
      </c>
      <c r="AU57" s="759">
        <f t="shared" si="47"/>
        <v>0</v>
      </c>
      <c r="AV57" s="759">
        <f t="shared" si="47"/>
        <v>0</v>
      </c>
      <c r="AW57" s="759">
        <f t="shared" ref="AW57:AX57" si="83">+AW15+AW29+AW43</f>
        <v>0</v>
      </c>
      <c r="AX57" s="759">
        <f t="shared" si="83"/>
        <v>0</v>
      </c>
      <c r="AZ57" s="761"/>
      <c r="BB57" s="1140"/>
      <c r="BC57" s="1141"/>
      <c r="BD57" s="1141"/>
      <c r="BE57" s="1141"/>
    </row>
    <row r="58" spans="1:57">
      <c r="A58" s="245">
        <v>4</v>
      </c>
      <c r="B58" s="19" t="s">
        <v>958</v>
      </c>
      <c r="C58" s="31">
        <f>SUM(C49:C57)</f>
        <v>144158136.5584366</v>
      </c>
      <c r="D58" s="1142">
        <f t="shared" ref="D58:F58" si="84">SUM(D49:D57)</f>
        <v>13136113.58</v>
      </c>
      <c r="E58" s="1142">
        <f t="shared" si="84"/>
        <v>2925.2999999999997</v>
      </c>
      <c r="F58" s="1146">
        <f t="shared" si="84"/>
        <v>31057286.830899999</v>
      </c>
      <c r="G58" s="1142">
        <f t="shared" ref="G58" si="85">SUM(G49:G57)</f>
        <v>3862.7000000000003</v>
      </c>
      <c r="H58" s="1142">
        <f t="shared" ref="H58" si="86">SUM(H49:H57)</f>
        <v>183352.74</v>
      </c>
      <c r="I58" s="31">
        <f>SUM(I49:I57)</f>
        <v>144743939.34159815</v>
      </c>
      <c r="J58" s="1142">
        <f t="shared" ref="J58:N58" si="87">SUM(J49:J57)</f>
        <v>13144723.884090001</v>
      </c>
      <c r="K58" s="1142">
        <f t="shared" si="87"/>
        <v>2927.5203897340002</v>
      </c>
      <c r="L58" s="1142">
        <f t="shared" si="87"/>
        <v>31057467.956429999</v>
      </c>
      <c r="M58" s="1142">
        <f t="shared" si="87"/>
        <v>3637.3191189519998</v>
      </c>
      <c r="N58" s="1142">
        <f t="shared" si="87"/>
        <v>183358.47364789998</v>
      </c>
      <c r="O58" s="31">
        <f>SUM(O49:O57)</f>
        <v>145505573.74497068</v>
      </c>
      <c r="P58" s="1142">
        <f t="shared" ref="P58:T58" si="88">SUM(P49:P57)</f>
        <v>13144291.759090001</v>
      </c>
      <c r="Q58" s="1142">
        <f t="shared" si="88"/>
        <v>2927.3280897340005</v>
      </c>
      <c r="R58" s="1142">
        <f t="shared" si="88"/>
        <v>30707931.696430001</v>
      </c>
      <c r="S58" s="1142">
        <f t="shared" si="88"/>
        <v>3389.345203499</v>
      </c>
      <c r="T58" s="1142">
        <f t="shared" si="88"/>
        <v>181274.84863990004</v>
      </c>
      <c r="U58" s="31">
        <f>SUM(U49:U57)</f>
        <v>146980587.76634404</v>
      </c>
      <c r="V58" s="1142">
        <f t="shared" ref="V58:Z58" si="89">SUM(V49:V57)</f>
        <v>13142251.38779</v>
      </c>
      <c r="W58" s="1142">
        <f t="shared" si="89"/>
        <v>2927.430754342</v>
      </c>
      <c r="X58" s="1142">
        <f t="shared" si="89"/>
        <v>30946307.638330001</v>
      </c>
      <c r="Y58" s="1142">
        <f t="shared" si="89"/>
        <v>3240.9884133079995</v>
      </c>
      <c r="Z58" s="1142">
        <f t="shared" si="89"/>
        <v>182641.08858490002</v>
      </c>
      <c r="AA58" s="31">
        <f>SUM(AA49:AA57)</f>
        <v>151683966.57486707</v>
      </c>
      <c r="AB58" s="1142">
        <f t="shared" ref="AB58:AF58" si="90">SUM(AB49:AB57)</f>
        <v>24107188.539999999</v>
      </c>
      <c r="AC58" s="1142">
        <f t="shared" si="90"/>
        <v>5685.1</v>
      </c>
      <c r="AD58" s="1142">
        <f t="shared" si="90"/>
        <v>30493036.870000001</v>
      </c>
      <c r="AE58" s="1142">
        <f t="shared" si="90"/>
        <v>5309.04</v>
      </c>
      <c r="AF58" s="1142">
        <f t="shared" si="90"/>
        <v>178384.54</v>
      </c>
      <c r="AG58" s="31">
        <f>SUM(AG49:AG57)</f>
        <v>156537853.50526282</v>
      </c>
      <c r="AH58" s="1142">
        <f t="shared" ref="AH58:AL58" si="91">SUM(AH49:AH57)</f>
        <v>24541199.990000002</v>
      </c>
      <c r="AI58" s="1142">
        <f t="shared" si="91"/>
        <v>5783.28</v>
      </c>
      <c r="AJ58" s="1142">
        <f t="shared" si="91"/>
        <v>31434374.100000001</v>
      </c>
      <c r="AK58" s="1142">
        <f t="shared" si="91"/>
        <v>4918.9799999999996</v>
      </c>
      <c r="AL58" s="1142">
        <f t="shared" si="91"/>
        <v>183890.49</v>
      </c>
      <c r="AM58" s="31">
        <f>SUM(AM49:AM57)</f>
        <v>161547064.81743121</v>
      </c>
      <c r="AN58" s="1142">
        <f t="shared" ref="AN58:AR58" si="92">SUM(AN49:AN57)</f>
        <v>24989094.960000001</v>
      </c>
      <c r="AO58" s="1142">
        <f t="shared" si="92"/>
        <v>5882.9400000000005</v>
      </c>
      <c r="AP58" s="1142">
        <f t="shared" si="92"/>
        <v>32405832.559999999</v>
      </c>
      <c r="AQ58" s="1142">
        <f t="shared" si="92"/>
        <v>5022.72</v>
      </c>
      <c r="AR58" s="1142">
        <f t="shared" si="92"/>
        <v>189573.84</v>
      </c>
      <c r="AS58" s="31">
        <f>SUM(AS49:AS57)</f>
        <v>166716570.89158905</v>
      </c>
      <c r="AT58" s="1142">
        <f t="shared" ref="AT58:AX58" si="93">SUM(AT49:AT57)</f>
        <v>25451328.289999999</v>
      </c>
      <c r="AU58" s="1142">
        <f t="shared" si="93"/>
        <v>5984.71</v>
      </c>
      <c r="AV58" s="1142">
        <f t="shared" si="93"/>
        <v>33408378.239999998</v>
      </c>
      <c r="AW58" s="1142">
        <f t="shared" si="93"/>
        <v>5364.71</v>
      </c>
      <c r="AX58" s="1146">
        <f t="shared" si="93"/>
        <v>195439.64</v>
      </c>
      <c r="AZ58" s="761" t="s">
        <v>959</v>
      </c>
      <c r="BB58" s="1140"/>
      <c r="BC58" s="1141"/>
      <c r="BD58" s="1141"/>
      <c r="BE58" s="1141"/>
    </row>
    <row r="59" spans="1:57">
      <c r="A59" s="245">
        <v>5</v>
      </c>
      <c r="B59" s="23" t="s">
        <v>966</v>
      </c>
      <c r="C59" s="1147"/>
      <c r="D59" s="85">
        <v>13136114</v>
      </c>
      <c r="E59" s="1148">
        <v>2925.2136540000001</v>
      </c>
      <c r="F59" s="1148">
        <v>31057288.59</v>
      </c>
      <c r="G59" s="1148">
        <v>3863</v>
      </c>
      <c r="H59" s="1148">
        <v>183352.1911</v>
      </c>
      <c r="I59" s="1147"/>
      <c r="J59" s="85">
        <v>13144723.890000001</v>
      </c>
      <c r="K59" s="1148">
        <v>2927.5167310000002</v>
      </c>
      <c r="L59" s="1148">
        <v>31057466.93</v>
      </c>
      <c r="M59" s="1148">
        <v>3637.3220769999998</v>
      </c>
      <c r="N59" s="1148">
        <v>183358.00690000001</v>
      </c>
      <c r="O59" s="1147"/>
      <c r="P59" s="85">
        <v>13144292.26</v>
      </c>
      <c r="Q59" s="1148">
        <v>2927.3272750000001</v>
      </c>
      <c r="R59" s="1148">
        <v>30707930.879999999</v>
      </c>
      <c r="S59" s="1148">
        <v>3389.3452040000002</v>
      </c>
      <c r="T59" s="1148">
        <v>181272.9375</v>
      </c>
      <c r="U59" s="1147"/>
      <c r="V59" s="85">
        <v>13142251</v>
      </c>
      <c r="W59" s="1148">
        <v>2927</v>
      </c>
      <c r="X59" s="1148">
        <v>30946307.02</v>
      </c>
      <c r="Y59" s="1148">
        <v>3241</v>
      </c>
      <c r="Z59" s="1148">
        <v>182638.82459999999</v>
      </c>
      <c r="AA59" s="1147"/>
      <c r="AB59" s="85">
        <v>24109262</v>
      </c>
      <c r="AC59" s="1148">
        <v>5686.1334919999999</v>
      </c>
      <c r="AD59" s="1148">
        <v>30811749</v>
      </c>
      <c r="AE59" s="1148">
        <v>5309.9143459999996</v>
      </c>
      <c r="AF59" s="1148">
        <v>180249</v>
      </c>
      <c r="AG59" s="1147"/>
      <c r="AH59" s="85">
        <v>24543338</v>
      </c>
      <c r="AI59" s="1148">
        <v>5782.8185009999997</v>
      </c>
      <c r="AJ59" s="1148">
        <v>31763284</v>
      </c>
      <c r="AK59" s="1148">
        <v>4920</v>
      </c>
      <c r="AL59" s="1148">
        <v>185815</v>
      </c>
      <c r="AM59" s="1147"/>
      <c r="AN59" s="85">
        <v>24991304</v>
      </c>
      <c r="AO59" s="1148">
        <v>5882.5974720000004</v>
      </c>
      <c r="AP59" s="1148">
        <v>32745268</v>
      </c>
      <c r="AQ59" s="1148">
        <v>5023.7004310000002</v>
      </c>
      <c r="AR59" s="1148">
        <v>191560</v>
      </c>
      <c r="AS59" s="1147"/>
      <c r="AT59" s="85">
        <v>25453606</v>
      </c>
      <c r="AU59" s="1148">
        <v>5985.5693600000004</v>
      </c>
      <c r="AV59" s="1148">
        <v>33758675</v>
      </c>
      <c r="AW59" s="1148">
        <v>5365.6944350000003</v>
      </c>
      <c r="AX59" s="1149">
        <v>197488</v>
      </c>
      <c r="AZ59" s="761"/>
      <c r="BB59" s="1140"/>
      <c r="BC59" s="1141"/>
      <c r="BD59" s="1141"/>
      <c r="BE59" s="1141"/>
    </row>
    <row r="60" spans="1:57">
      <c r="A60" s="245">
        <v>6</v>
      </c>
      <c r="B60" s="23" t="s">
        <v>967</v>
      </c>
      <c r="C60" s="1147"/>
      <c r="D60" s="1150">
        <f>+D58/D59</f>
        <v>0.99999996802707403</v>
      </c>
      <c r="E60" s="1151">
        <f t="shared" ref="E60:N60" si="94">+E58/E59</f>
        <v>1.0000295178438954</v>
      </c>
      <c r="F60" s="1151">
        <f t="shared" si="94"/>
        <v>0.99999994335951137</v>
      </c>
      <c r="G60" s="1151">
        <f t="shared" ref="G60" si="95">+G58/G59</f>
        <v>0.99992234015014247</v>
      </c>
      <c r="H60" s="1151">
        <f t="shared" ref="H60" si="96">+H58/H59</f>
        <v>1.0000029936920671</v>
      </c>
      <c r="I60" s="1147"/>
      <c r="J60" s="1151">
        <f t="shared" si="94"/>
        <v>0.99999999955038998</v>
      </c>
      <c r="K60" s="1151">
        <f t="shared" si="94"/>
        <v>1.0000012497738993</v>
      </c>
      <c r="L60" s="1151">
        <f t="shared" si="94"/>
        <v>1.0000000330493792</v>
      </c>
      <c r="M60" s="1151">
        <f t="shared" si="94"/>
        <v>0.99999918675114896</v>
      </c>
      <c r="N60" s="1151">
        <f t="shared" si="94"/>
        <v>1.0000025455550476</v>
      </c>
      <c r="O60" s="1147"/>
      <c r="P60" s="1151">
        <f t="shared" ref="P60:T60" si="97">+P58/P59</f>
        <v>0.99999996189144391</v>
      </c>
      <c r="Q60" s="1151">
        <f t="shared" si="97"/>
        <v>1.0000002783200934</v>
      </c>
      <c r="R60" s="1151">
        <f t="shared" si="97"/>
        <v>1.0000000265869429</v>
      </c>
      <c r="S60" s="1151">
        <f t="shared" si="97"/>
        <v>0.9999999998521838</v>
      </c>
      <c r="T60" s="1151">
        <f t="shared" si="97"/>
        <v>1.0000105428859178</v>
      </c>
      <c r="U60" s="1147"/>
      <c r="V60" s="1151">
        <f t="shared" ref="V60:AR60" si="98">+V58/V59</f>
        <v>1.0000000295071216</v>
      </c>
      <c r="W60" s="1151">
        <f t="shared" si="98"/>
        <v>1.0001471658155108</v>
      </c>
      <c r="X60" s="1151">
        <f t="shared" si="98"/>
        <v>1.0000000199807364</v>
      </c>
      <c r="Y60" s="1151">
        <f t="shared" si="98"/>
        <v>0.99999642496389984</v>
      </c>
      <c r="Z60" s="1151">
        <f t="shared" si="98"/>
        <v>1.0000123959673142</v>
      </c>
      <c r="AA60" s="1147"/>
      <c r="AB60" s="1151">
        <f t="shared" si="98"/>
        <v>0.99991399736748465</v>
      </c>
      <c r="AC60" s="1151">
        <f t="shared" si="98"/>
        <v>0.99981824345111603</v>
      </c>
      <c r="AD60" s="1151">
        <f t="shared" si="98"/>
        <v>0.98965614934744539</v>
      </c>
      <c r="AE60" s="1151">
        <f t="shared" ref="AE60:AF60" si="99">+AE58/AE59</f>
        <v>0.99983533708021899</v>
      </c>
      <c r="AF60" s="1151">
        <f t="shared" si="99"/>
        <v>0.9896561978152445</v>
      </c>
      <c r="AG60" s="1147"/>
      <c r="AH60" s="1151">
        <f t="shared" ref="AH60:AL60" si="100">+AH58/AH59</f>
        <v>0.99991288837728598</v>
      </c>
      <c r="AI60" s="1151">
        <f t="shared" si="100"/>
        <v>1.0000798052022417</v>
      </c>
      <c r="AJ60" s="1151">
        <f t="shared" si="100"/>
        <v>0.98964496555205062</v>
      </c>
      <c r="AK60" s="1151">
        <f t="shared" si="100"/>
        <v>0.99979268292682921</v>
      </c>
      <c r="AL60" s="1151">
        <f t="shared" si="100"/>
        <v>0.98964287059709921</v>
      </c>
      <c r="AM60" s="1147"/>
      <c r="AN60" s="1151">
        <f t="shared" si="98"/>
        <v>0.99991160765360632</v>
      </c>
      <c r="AO60" s="1151">
        <f t="shared" si="98"/>
        <v>1.0000582273394756</v>
      </c>
      <c r="AP60" s="1151">
        <f t="shared" si="98"/>
        <v>0.98963406132452481</v>
      </c>
      <c r="AQ60" s="1151">
        <f t="shared" si="98"/>
        <v>0.99980483888052918</v>
      </c>
      <c r="AR60" s="1151">
        <f t="shared" si="98"/>
        <v>0.98963165587805391</v>
      </c>
      <c r="AS60" s="1147"/>
      <c r="AT60" s="1151">
        <f t="shared" ref="AT60:AX60" si="101">+AT58/AT59</f>
        <v>0.99991051523308716</v>
      </c>
      <c r="AU60" s="1151">
        <f t="shared" si="101"/>
        <v>0.99985642802742491</v>
      </c>
      <c r="AV60" s="1151">
        <f t="shared" si="101"/>
        <v>0.989623503884557</v>
      </c>
      <c r="AW60" s="1151">
        <f t="shared" si="101"/>
        <v>0.99981653166949302</v>
      </c>
      <c r="AX60" s="1152">
        <f t="shared" si="101"/>
        <v>0.98962792676010702</v>
      </c>
      <c r="AZ60" s="761"/>
      <c r="BB60" s="1140"/>
      <c r="BC60" s="1141"/>
      <c r="BD60" s="1144"/>
      <c r="BE60" s="1141"/>
    </row>
    <row r="61" spans="1:57">
      <c r="A61" s="245">
        <v>8</v>
      </c>
      <c r="B61" s="20" t="s">
        <v>968</v>
      </c>
      <c r="C61" s="28">
        <f>+C62+C63</f>
        <v>6067501.5786348581</v>
      </c>
      <c r="D61" s="763"/>
      <c r="E61" s="763"/>
      <c r="F61" s="763"/>
      <c r="G61" s="763"/>
      <c r="H61" s="763"/>
      <c r="I61" s="28">
        <f>+I62+I63</f>
        <v>6091910.0279332595</v>
      </c>
      <c r="J61" s="763"/>
      <c r="K61" s="763"/>
      <c r="L61" s="763"/>
      <c r="M61" s="763"/>
      <c r="N61" s="763"/>
      <c r="O61" s="28">
        <f>+O62+O63</f>
        <v>6123644.7947404468</v>
      </c>
      <c r="P61" s="763"/>
      <c r="Q61" s="763"/>
      <c r="R61" s="763"/>
      <c r="S61" s="763"/>
      <c r="T61" s="763"/>
      <c r="U61" s="28">
        <f>+U62+U63</f>
        <v>6185103.7122976705</v>
      </c>
      <c r="V61" s="763"/>
      <c r="W61" s="763"/>
      <c r="X61" s="763"/>
      <c r="Y61" s="763"/>
      <c r="Z61" s="763"/>
      <c r="AA61" s="28">
        <f>+AA62+AA63</f>
        <v>6383027.0310911946</v>
      </c>
      <c r="AB61" s="763"/>
      <c r="AC61" s="763"/>
      <c r="AD61" s="763"/>
      <c r="AE61" s="763"/>
      <c r="AF61" s="763"/>
      <c r="AG61" s="28">
        <f>+AG62+AG63</f>
        <v>6587283.8960861135</v>
      </c>
      <c r="AH61" s="763"/>
      <c r="AI61" s="763"/>
      <c r="AJ61" s="763"/>
      <c r="AK61" s="763"/>
      <c r="AL61" s="763"/>
      <c r="AM61" s="28">
        <f>+AM62+AM63</f>
        <v>6798076.9807608668</v>
      </c>
      <c r="AN61" s="763"/>
      <c r="AO61" s="763"/>
      <c r="AP61" s="763"/>
      <c r="AQ61" s="763"/>
      <c r="AR61" s="763"/>
      <c r="AS61" s="28">
        <f>+AS62+AS63</f>
        <v>7015615.4441452175</v>
      </c>
      <c r="AT61" s="763"/>
      <c r="AU61" s="763"/>
      <c r="AV61" s="763"/>
      <c r="AW61" s="763"/>
      <c r="AX61" s="763"/>
      <c r="AZ61" s="761" t="s">
        <v>969</v>
      </c>
    </row>
    <row r="62" spans="1:57">
      <c r="A62" s="246" t="s">
        <v>970</v>
      </c>
      <c r="B62" s="764" t="s">
        <v>971</v>
      </c>
      <c r="C62" s="87">
        <f>+'4.1 Program Budget - 2024-2027'!S185</f>
        <v>1820250.4735904573</v>
      </c>
      <c r="D62" s="765"/>
      <c r="E62" s="765"/>
      <c r="F62" s="765"/>
      <c r="G62" s="765"/>
      <c r="H62" s="765"/>
      <c r="I62" s="87">
        <f>+'4.1 Program Budget - 2024-2027'!AK185</f>
        <v>1827573.0083799779</v>
      </c>
      <c r="J62" s="765"/>
      <c r="K62" s="765"/>
      <c r="L62" s="765"/>
      <c r="M62" s="765"/>
      <c r="N62" s="765"/>
      <c r="O62" s="87">
        <f>+'4.1 Program Budget - 2024-2027'!BC185</f>
        <v>1837093.4384221339</v>
      </c>
      <c r="P62" s="765"/>
      <c r="Q62" s="765"/>
      <c r="R62" s="765"/>
      <c r="S62" s="765"/>
      <c r="T62" s="765"/>
      <c r="U62" s="87">
        <f>+'4.1 Program Budget - 2024-2027'!BU185</f>
        <v>1855531.1136893011</v>
      </c>
      <c r="V62" s="765"/>
      <c r="W62" s="765"/>
      <c r="X62" s="765"/>
      <c r="Y62" s="765"/>
      <c r="Z62" s="765"/>
      <c r="AA62" s="87">
        <f>+'4.2 Program Budget 2028-2031'!I41</f>
        <v>1914908.1093273582</v>
      </c>
      <c r="AB62" s="765"/>
      <c r="AC62" s="765"/>
      <c r="AD62" s="765"/>
      <c r="AE62" s="765"/>
      <c r="AF62" s="765"/>
      <c r="AG62" s="87">
        <f>+'4.2 Program Budget 2028-2031'!T41</f>
        <v>1976185.1688258341</v>
      </c>
      <c r="AH62" s="765"/>
      <c r="AI62" s="765"/>
      <c r="AJ62" s="765"/>
      <c r="AK62" s="765"/>
      <c r="AL62" s="765"/>
      <c r="AM62" s="87">
        <f>+'4.2 Program Budget 2028-2031'!AE41</f>
        <v>2039423.09422826</v>
      </c>
      <c r="AN62" s="765"/>
      <c r="AO62" s="765"/>
      <c r="AP62" s="765"/>
      <c r="AQ62" s="765"/>
      <c r="AR62" s="765"/>
      <c r="AS62" s="87">
        <f>+'4.2 Program Budget 2028-2031'!AP41</f>
        <v>2104684.633243565</v>
      </c>
      <c r="AT62" s="765"/>
      <c r="AU62" s="765"/>
      <c r="AV62" s="765"/>
      <c r="AW62" s="765"/>
      <c r="AX62" s="765"/>
      <c r="AZ62" s="761" t="s">
        <v>972</v>
      </c>
    </row>
    <row r="63" spans="1:57">
      <c r="A63" s="246" t="s">
        <v>973</v>
      </c>
      <c r="B63" s="764" t="s">
        <v>974</v>
      </c>
      <c r="C63" s="87">
        <f>+'4.1 Program Budget - 2024-2027'!S186</f>
        <v>4247251.1050444003</v>
      </c>
      <c r="D63" s="765"/>
      <c r="E63" s="765"/>
      <c r="F63" s="765"/>
      <c r="G63" s="765"/>
      <c r="H63" s="765"/>
      <c r="I63" s="87">
        <f>+'4.1 Program Budget - 2024-2027'!AK186</f>
        <v>4264337.0195532814</v>
      </c>
      <c r="J63" s="765"/>
      <c r="K63" s="765"/>
      <c r="L63" s="765"/>
      <c r="M63" s="765"/>
      <c r="N63" s="765"/>
      <c r="O63" s="87">
        <f>+'4.1 Program Budget - 2024-2027'!BC186</f>
        <v>4286551.3563183127</v>
      </c>
      <c r="P63" s="765"/>
      <c r="Q63" s="765"/>
      <c r="R63" s="765"/>
      <c r="S63" s="765"/>
      <c r="T63" s="765"/>
      <c r="U63" s="87">
        <f>+'4.1 Program Budget - 2024-2027'!BU186</f>
        <v>4329572.598608369</v>
      </c>
      <c r="V63" s="765"/>
      <c r="W63" s="765"/>
      <c r="X63" s="765"/>
      <c r="Y63" s="765"/>
      <c r="Z63" s="765"/>
      <c r="AA63" s="87">
        <f>+'4.2 Program Budget 2028-2031'!I42</f>
        <v>4468118.9217638364</v>
      </c>
      <c r="AB63" s="765"/>
      <c r="AC63" s="765"/>
      <c r="AD63" s="765"/>
      <c r="AE63" s="765"/>
      <c r="AF63" s="765"/>
      <c r="AG63" s="87">
        <f>+'4.2 Program Budget 2028-2031'!T42</f>
        <v>4611098.7272602795</v>
      </c>
      <c r="AH63" s="765"/>
      <c r="AI63" s="765"/>
      <c r="AJ63" s="765"/>
      <c r="AK63" s="765"/>
      <c r="AL63" s="765"/>
      <c r="AM63" s="87">
        <f>+'4.2 Program Budget 2028-2031'!AE42</f>
        <v>4758653.8865326066</v>
      </c>
      <c r="AN63" s="765"/>
      <c r="AO63" s="765"/>
      <c r="AP63" s="765"/>
      <c r="AQ63" s="765"/>
      <c r="AR63" s="765"/>
      <c r="AS63" s="87">
        <f>+'4.2 Program Budget 2028-2031'!AP42</f>
        <v>4910930.810901653</v>
      </c>
      <c r="AT63" s="765"/>
      <c r="AU63" s="765"/>
      <c r="AV63" s="765"/>
      <c r="AW63" s="765"/>
      <c r="AX63" s="765"/>
      <c r="AZ63" s="761" t="s">
        <v>61</v>
      </c>
    </row>
    <row r="64" spans="1:57">
      <c r="B64" s="23" t="s">
        <v>960</v>
      </c>
      <c r="C64" s="88">
        <v>145057071</v>
      </c>
      <c r="D64" s="766"/>
      <c r="E64" s="767"/>
      <c r="F64" s="768"/>
      <c r="G64" s="767"/>
      <c r="H64" s="767"/>
      <c r="I64" s="88">
        <v>153587745</v>
      </c>
      <c r="J64" s="766"/>
      <c r="K64" s="767"/>
      <c r="L64" s="768"/>
      <c r="M64" s="767"/>
      <c r="N64" s="767"/>
      <c r="O64" s="88">
        <v>159287464</v>
      </c>
      <c r="P64" s="766"/>
      <c r="Q64" s="767"/>
      <c r="R64" s="768"/>
      <c r="S64" s="767"/>
      <c r="T64" s="767"/>
      <c r="U64" s="88">
        <v>170538806</v>
      </c>
      <c r="V64" s="766"/>
      <c r="W64" s="767"/>
      <c r="X64" s="768"/>
      <c r="Y64" s="767"/>
      <c r="Z64" s="767"/>
      <c r="AA64" s="88">
        <v>183621499</v>
      </c>
      <c r="AB64" s="766"/>
      <c r="AC64" s="767"/>
      <c r="AD64" s="768"/>
      <c r="AE64" s="767"/>
      <c r="AF64" s="767"/>
      <c r="AG64" s="88">
        <v>197736090</v>
      </c>
      <c r="AH64" s="766"/>
      <c r="AI64" s="767"/>
      <c r="AJ64" s="768"/>
      <c r="AK64" s="767"/>
      <c r="AL64" s="767"/>
      <c r="AM64" s="88">
        <v>212814714</v>
      </c>
      <c r="AN64" s="766"/>
      <c r="AO64" s="767"/>
      <c r="AP64" s="768"/>
      <c r="AQ64" s="767"/>
      <c r="AR64" s="767"/>
      <c r="AS64" s="88">
        <v>229126672</v>
      </c>
      <c r="AT64" s="766"/>
      <c r="AU64" s="767"/>
      <c r="AV64" s="768"/>
      <c r="AW64" s="767"/>
      <c r="AX64" s="767"/>
      <c r="AZ64" s="761" t="s">
        <v>961</v>
      </c>
      <c r="BB64" s="1140"/>
      <c r="BC64" s="1141"/>
      <c r="BD64" s="1144"/>
      <c r="BE64" s="1141"/>
    </row>
    <row r="65" spans="1:57" ht="17.100000000000001" customHeight="1" thickTop="1" thickBot="1">
      <c r="B65" s="23" t="s">
        <v>962</v>
      </c>
      <c r="C65" s="114">
        <v>0.76</v>
      </c>
      <c r="D65" s="766"/>
      <c r="E65" s="767"/>
      <c r="F65" s="768"/>
      <c r="G65" s="767"/>
      <c r="H65" s="767"/>
      <c r="I65" s="114">
        <v>0.8</v>
      </c>
      <c r="J65" s="766"/>
      <c r="K65" s="767"/>
      <c r="L65" s="768"/>
      <c r="M65" s="767"/>
      <c r="N65" s="767"/>
      <c r="O65" s="114">
        <v>0.83</v>
      </c>
      <c r="P65" s="766"/>
      <c r="Q65" s="767"/>
      <c r="R65" s="768"/>
      <c r="S65" s="767"/>
      <c r="T65" s="767"/>
      <c r="U65" s="114">
        <v>0.88</v>
      </c>
      <c r="V65" s="766"/>
      <c r="W65" s="767"/>
      <c r="X65" s="768"/>
      <c r="Y65" s="767"/>
      <c r="Z65" s="767"/>
      <c r="AA65" s="114">
        <v>0.92</v>
      </c>
      <c r="AB65" s="766"/>
      <c r="AC65" s="767"/>
      <c r="AD65" s="768"/>
      <c r="AE65" s="767"/>
      <c r="AF65" s="767"/>
      <c r="AG65" s="114">
        <v>0.96</v>
      </c>
      <c r="AH65" s="766"/>
      <c r="AI65" s="767"/>
      <c r="AJ65" s="768"/>
      <c r="AK65" s="767"/>
      <c r="AL65" s="767"/>
      <c r="AM65" s="114">
        <v>1</v>
      </c>
      <c r="AN65" s="766"/>
      <c r="AO65" s="767"/>
      <c r="AP65" s="768"/>
      <c r="AQ65" s="767"/>
      <c r="AR65" s="767"/>
      <c r="AS65" s="114">
        <v>1.04</v>
      </c>
      <c r="AT65" s="766"/>
      <c r="AU65" s="767"/>
      <c r="AV65" s="768"/>
      <c r="AW65" s="767"/>
      <c r="AX65" s="767"/>
      <c r="AZ65" s="1412" t="s">
        <v>963</v>
      </c>
      <c r="BB65" s="1140"/>
      <c r="BC65" s="1141"/>
      <c r="BD65" s="1144"/>
      <c r="BE65" s="1141"/>
    </row>
    <row r="66" spans="1:57">
      <c r="B66" s="23" t="s">
        <v>964</v>
      </c>
      <c r="C66" s="114">
        <v>0.93</v>
      </c>
      <c r="D66" s="766"/>
      <c r="E66" s="767"/>
      <c r="F66" s="768"/>
      <c r="G66" s="767"/>
      <c r="H66" s="767"/>
      <c r="I66" s="114">
        <v>0.98</v>
      </c>
      <c r="J66" s="766"/>
      <c r="K66" s="767"/>
      <c r="L66" s="768"/>
      <c r="M66" s="767"/>
      <c r="N66" s="767"/>
      <c r="O66" s="114">
        <v>1.01</v>
      </c>
      <c r="P66" s="766"/>
      <c r="Q66" s="767"/>
      <c r="R66" s="768"/>
      <c r="S66" s="767"/>
      <c r="T66" s="767"/>
      <c r="U66" s="114">
        <v>1.07</v>
      </c>
      <c r="V66" s="766"/>
      <c r="W66" s="767"/>
      <c r="X66" s="768"/>
      <c r="Y66" s="767"/>
      <c r="Z66" s="767"/>
      <c r="AA66" s="114">
        <v>1.1200000000000001</v>
      </c>
      <c r="AB66" s="766"/>
      <c r="AC66" s="767"/>
      <c r="AD66" s="768"/>
      <c r="AE66" s="767"/>
      <c r="AF66" s="767"/>
      <c r="AG66" s="114">
        <v>1.17</v>
      </c>
      <c r="AH66" s="766"/>
      <c r="AI66" s="767"/>
      <c r="AJ66" s="768"/>
      <c r="AK66" s="767"/>
      <c r="AL66" s="767"/>
      <c r="AM66" s="114">
        <v>1.22</v>
      </c>
      <c r="AN66" s="766"/>
      <c r="AO66" s="767"/>
      <c r="AP66" s="768"/>
      <c r="AQ66" s="767"/>
      <c r="AR66" s="767"/>
      <c r="AS66" s="114">
        <v>1.27</v>
      </c>
      <c r="AT66" s="766"/>
      <c r="AU66" s="767"/>
      <c r="AV66" s="768"/>
      <c r="AW66" s="767"/>
      <c r="AX66" s="767"/>
      <c r="AZ66" s="1413"/>
      <c r="BB66" s="1140"/>
      <c r="BC66" s="1141"/>
      <c r="BD66" s="1144"/>
      <c r="BE66" s="1141"/>
    </row>
    <row r="67" spans="1:57">
      <c r="B67" s="23" t="s">
        <v>975</v>
      </c>
      <c r="C67" s="114">
        <v>0.86</v>
      </c>
      <c r="D67" s="766"/>
      <c r="E67" s="767"/>
      <c r="F67" s="768"/>
      <c r="G67" s="767"/>
      <c r="H67" s="767"/>
      <c r="I67" s="114">
        <v>0.9</v>
      </c>
      <c r="J67" s="766"/>
      <c r="K67" s="767"/>
      <c r="L67" s="768"/>
      <c r="M67" s="767"/>
      <c r="N67" s="767"/>
      <c r="O67" s="114">
        <v>0.93</v>
      </c>
      <c r="P67" s="766"/>
      <c r="Q67" s="767"/>
      <c r="R67" s="768"/>
      <c r="S67" s="767"/>
      <c r="T67" s="767"/>
      <c r="U67" s="114">
        <v>0.98</v>
      </c>
      <c r="V67" s="766"/>
      <c r="W67" s="767"/>
      <c r="X67" s="768"/>
      <c r="Y67" s="767"/>
      <c r="Z67" s="767"/>
      <c r="AA67" s="114">
        <v>1.03</v>
      </c>
      <c r="AB67" s="766"/>
      <c r="AC67" s="767"/>
      <c r="AD67" s="768"/>
      <c r="AE67" s="767"/>
      <c r="AF67" s="767"/>
      <c r="AG67" s="114">
        <v>1.08</v>
      </c>
      <c r="AH67" s="766"/>
      <c r="AI67" s="767"/>
      <c r="AJ67" s="768"/>
      <c r="AK67" s="767"/>
      <c r="AL67" s="767"/>
      <c r="AM67" s="114">
        <v>1.1200000000000001</v>
      </c>
      <c r="AN67" s="766"/>
      <c r="AO67" s="767"/>
      <c r="AP67" s="768"/>
      <c r="AQ67" s="767"/>
      <c r="AR67" s="767"/>
      <c r="AS67" s="114">
        <v>1.18</v>
      </c>
      <c r="AT67" s="766"/>
      <c r="AU67" s="767"/>
      <c r="AV67" s="768"/>
      <c r="AW67" s="767"/>
      <c r="AX67" s="767"/>
      <c r="AZ67" s="1414"/>
      <c r="BB67" s="1140"/>
      <c r="BC67" s="1141"/>
      <c r="BD67" s="1144"/>
      <c r="BE67" s="1141"/>
    </row>
    <row r="68" spans="1:57">
      <c r="A68" s="245">
        <v>7</v>
      </c>
      <c r="B68" s="19" t="s">
        <v>976</v>
      </c>
      <c r="C68" s="769">
        <f>SUMIF('4.1 Program Budget - 2024-2027'!$G:$G,README!$L$17,'4.1 Program Budget - 2024-2027'!S:S)</f>
        <v>1461901.3288</v>
      </c>
      <c r="D68" s="1139">
        <v>0</v>
      </c>
      <c r="E68" s="1139">
        <v>0</v>
      </c>
      <c r="F68" s="1139">
        <v>20701171.920000002</v>
      </c>
      <c r="G68" s="1139">
        <v>0</v>
      </c>
      <c r="H68" s="1139">
        <v>121101.8557</v>
      </c>
      <c r="I68" s="769">
        <f>SUMIF('4.1 Program Budget - 2024-2027'!$G:$G,README!$L$17,'4.1 Program Budget - 2024-2027'!AK:AK)</f>
        <v>1461901.3288</v>
      </c>
      <c r="J68" s="759">
        <v>0</v>
      </c>
      <c r="K68" s="759">
        <v>0</v>
      </c>
      <c r="L68" s="759">
        <v>20193514.800000001</v>
      </c>
      <c r="M68" s="1139">
        <v>0</v>
      </c>
      <c r="N68" s="1139">
        <v>118132.0616</v>
      </c>
      <c r="O68" s="769">
        <f>SUMIF('4.1 Program Budget - 2024-2027'!$G:$G,README!$L$17,'4.1 Program Budget - 2024-2027'!BC:BC)</f>
        <v>1461901.3288</v>
      </c>
      <c r="P68" s="759">
        <v>0</v>
      </c>
      <c r="Q68" s="759">
        <v>0</v>
      </c>
      <c r="R68" s="759">
        <v>17307157.719999999</v>
      </c>
      <c r="S68" s="1139">
        <v>0</v>
      </c>
      <c r="T68" s="1139">
        <v>101246.87270000001</v>
      </c>
      <c r="U68" s="769">
        <f>SUMIF('4.1 Program Budget - 2024-2027'!$G:$G,README!$L$17,'4.1 Program Budget - 2024-2027'!BU:BU)</f>
        <v>1461901.3288</v>
      </c>
      <c r="V68" s="760">
        <v>0</v>
      </c>
      <c r="W68" s="760">
        <v>0</v>
      </c>
      <c r="X68" s="760">
        <v>14565298.67</v>
      </c>
      <c r="Y68" s="1139">
        <v>0</v>
      </c>
      <c r="Z68" s="1139">
        <v>85206.997239999997</v>
      </c>
      <c r="AA68" s="769">
        <f>+'4.2 Program Budget 2028-2031'!I37</f>
        <v>1508682.1713216</v>
      </c>
      <c r="AB68" s="760" t="s">
        <v>343</v>
      </c>
      <c r="AC68" s="760" t="s">
        <v>343</v>
      </c>
      <c r="AD68" s="759">
        <v>14565298.67</v>
      </c>
      <c r="AE68" s="1139" t="s">
        <v>343</v>
      </c>
      <c r="AF68" s="1139">
        <v>85207</v>
      </c>
      <c r="AG68" s="769">
        <f>+'4.2 Program Budget 2028-2031'!T37</f>
        <v>1556960.0008038911</v>
      </c>
      <c r="AH68" s="759" t="s">
        <v>343</v>
      </c>
      <c r="AI68" s="759" t="s">
        <v>343</v>
      </c>
      <c r="AJ68" s="759">
        <v>14565298.67</v>
      </c>
      <c r="AK68" s="1139" t="s">
        <v>343</v>
      </c>
      <c r="AL68" s="1139">
        <v>85207</v>
      </c>
      <c r="AM68" s="769">
        <f>+'4.2 Program Budget 2028-2031'!AE37</f>
        <v>1606782.7208296156</v>
      </c>
      <c r="AN68" s="759" t="s">
        <v>343</v>
      </c>
      <c r="AO68" s="759" t="s">
        <v>343</v>
      </c>
      <c r="AP68" s="759">
        <v>14565298.67</v>
      </c>
      <c r="AQ68" s="1139" t="s">
        <v>343</v>
      </c>
      <c r="AR68" s="1139">
        <v>85207</v>
      </c>
      <c r="AS68" s="769">
        <f>+'4.2 Program Budget 2028-2031'!AP37</f>
        <v>1658199.7678961633</v>
      </c>
      <c r="AT68" s="760" t="s">
        <v>343</v>
      </c>
      <c r="AU68" s="760" t="s">
        <v>343</v>
      </c>
      <c r="AV68" s="759">
        <v>14565298.67</v>
      </c>
      <c r="AW68" s="1139" t="s">
        <v>343</v>
      </c>
      <c r="AX68" s="1139">
        <v>85207</v>
      </c>
      <c r="AZ68" s="761"/>
    </row>
    <row r="69" spans="1:57" ht="15.75">
      <c r="A69" s="245">
        <v>9</v>
      </c>
      <c r="B69" s="20" t="s">
        <v>977</v>
      </c>
      <c r="C69" s="28">
        <f>C58+C61+C68</f>
        <v>151687539.46587145</v>
      </c>
      <c r="D69" s="763"/>
      <c r="E69" s="763"/>
      <c r="F69" s="763"/>
      <c r="G69" s="763"/>
      <c r="H69" s="763"/>
      <c r="I69" s="28">
        <f>I58+I61+I68</f>
        <v>152297750.69833142</v>
      </c>
      <c r="J69" s="763"/>
      <c r="K69" s="763"/>
      <c r="L69" s="763"/>
      <c r="M69" s="763"/>
      <c r="N69" s="763"/>
      <c r="O69" s="28">
        <f>O58+O61+O68</f>
        <v>153091119.86851111</v>
      </c>
      <c r="P69" s="763"/>
      <c r="Q69" s="763"/>
      <c r="R69" s="763"/>
      <c r="S69" s="763"/>
      <c r="T69" s="763"/>
      <c r="U69" s="28">
        <f>U58+U61+U68</f>
        <v>154627592.80744171</v>
      </c>
      <c r="V69" s="763"/>
      <c r="W69" s="763"/>
      <c r="X69" s="763"/>
      <c r="Y69" s="763"/>
      <c r="Z69" s="763"/>
      <c r="AA69" s="28">
        <f>AA58+AA61+AA68</f>
        <v>159575675.77727985</v>
      </c>
      <c r="AB69" s="763"/>
      <c r="AC69" s="763"/>
      <c r="AD69" s="763"/>
      <c r="AE69" s="763"/>
      <c r="AF69" s="763"/>
      <c r="AG69" s="28">
        <f>AG58+AG61+AG68</f>
        <v>164682097.40215284</v>
      </c>
      <c r="AH69" s="763"/>
      <c r="AI69" s="763"/>
      <c r="AJ69" s="763"/>
      <c r="AK69" s="763"/>
      <c r="AL69" s="763"/>
      <c r="AM69" s="28">
        <f>AM58+AM61+AM68</f>
        <v>169951924.51902169</v>
      </c>
      <c r="AN69" s="763"/>
      <c r="AO69" s="763"/>
      <c r="AP69" s="763"/>
      <c r="AQ69" s="763"/>
      <c r="AR69" s="763"/>
      <c r="AS69" s="28">
        <f>AS58+AS61+AS68</f>
        <v>175390386.10363042</v>
      </c>
      <c r="AT69" s="763"/>
      <c r="AU69" s="763"/>
      <c r="AV69" s="763"/>
      <c r="AW69" s="763"/>
      <c r="AX69" s="763"/>
      <c r="AZ69" s="761" t="s">
        <v>978</v>
      </c>
    </row>
    <row r="70" spans="1:57" ht="15.75">
      <c r="A70" s="245">
        <v>10</v>
      </c>
      <c r="B70" s="20" t="s">
        <v>979</v>
      </c>
      <c r="C70" s="26">
        <f>'3.2 Funding Source'!F47</f>
        <v>0</v>
      </c>
      <c r="I70" s="26">
        <f>'3.2 Funding Source'!I47</f>
        <v>0</v>
      </c>
      <c r="O70" s="26">
        <f>'3.2 Funding Source'!L47</f>
        <v>0</v>
      </c>
      <c r="U70" s="26">
        <f>'3.2 Funding Source'!O47</f>
        <v>0</v>
      </c>
      <c r="AA70" s="26">
        <f>'3.2 Funding Source'!R47</f>
        <v>0</v>
      </c>
      <c r="AG70" s="26">
        <f>'3.2 Funding Source'!U47</f>
        <v>0</v>
      </c>
      <c r="AM70" s="26">
        <f>'3.2 Funding Source'!X47</f>
        <v>0</v>
      </c>
      <c r="AS70" s="26">
        <f>'3.2 Funding Source'!AA47</f>
        <v>0</v>
      </c>
      <c r="AZ70" s="761" t="s">
        <v>980</v>
      </c>
    </row>
    <row r="71" spans="1:57" ht="29.25" customHeight="1" thickTop="1" thickBot="1">
      <c r="A71" s="245">
        <v>11</v>
      </c>
      <c r="B71" s="20" t="s">
        <v>981</v>
      </c>
      <c r="C71" s="26">
        <f>+C69-C70</f>
        <v>151687539.46587145</v>
      </c>
      <c r="E71" s="770"/>
      <c r="G71" s="770"/>
      <c r="H71" s="770"/>
      <c r="I71" s="26">
        <f>+I69-I70</f>
        <v>152297750.69833142</v>
      </c>
      <c r="K71" s="770"/>
      <c r="M71" s="770"/>
      <c r="N71" s="770"/>
      <c r="O71" s="26">
        <f>+O69-O70</f>
        <v>153091119.86851111</v>
      </c>
      <c r="Q71" s="770"/>
      <c r="S71" s="770"/>
      <c r="T71" s="770"/>
      <c r="U71" s="26">
        <f>+U69-U70</f>
        <v>154627592.80744171</v>
      </c>
      <c r="W71" s="770"/>
      <c r="Y71" s="770"/>
      <c r="Z71" s="770"/>
      <c r="AA71" s="26">
        <f>+AA69-AA70</f>
        <v>159575675.77727985</v>
      </c>
      <c r="AC71" s="770"/>
      <c r="AE71" s="770"/>
      <c r="AF71" s="770"/>
      <c r="AG71" s="26">
        <f t="shared" ref="AG71" si="102">+AG69-AG70</f>
        <v>164682097.40215284</v>
      </c>
      <c r="AI71" s="770"/>
      <c r="AK71" s="770"/>
      <c r="AL71" s="770"/>
      <c r="AM71" s="26">
        <f t="shared" ref="AM71" si="103">+AM69-AM70</f>
        <v>169951924.51902169</v>
      </c>
      <c r="AO71" s="770"/>
      <c r="AQ71" s="770"/>
      <c r="AR71" s="770"/>
      <c r="AS71" s="26">
        <f t="shared" ref="AS71" si="104">+AS69-AS70</f>
        <v>175390386.10363042</v>
      </c>
      <c r="AU71" s="770"/>
      <c r="AW71" s="770"/>
      <c r="AX71" s="770"/>
      <c r="AZ71" s="761" t="s">
        <v>982</v>
      </c>
    </row>
    <row r="72" spans="1:57" ht="29.25" customHeight="1" thickTop="1" thickBot="1">
      <c r="B72" s="20" t="s">
        <v>983</v>
      </c>
      <c r="C72" s="27">
        <f>(C30+C44)/C69</f>
        <v>0.28894429188101106</v>
      </c>
      <c r="E72" s="770"/>
      <c r="G72" s="770"/>
      <c r="H72" s="770"/>
      <c r="I72" s="44">
        <f>(I30+I44)/I69</f>
        <v>0.28909822762902671</v>
      </c>
      <c r="K72" s="770"/>
      <c r="M72" s="770"/>
      <c r="N72" s="770"/>
      <c r="O72" s="44">
        <f>(O30+O44)/O69</f>
        <v>0.28918955513255534</v>
      </c>
      <c r="Q72" s="770"/>
      <c r="S72" s="770"/>
      <c r="T72" s="770"/>
      <c r="U72" s="44">
        <f>(U30+U44)/U69</f>
        <v>0.28665401181023031</v>
      </c>
      <c r="W72" s="770"/>
      <c r="Y72" s="770"/>
      <c r="Z72" s="770"/>
      <c r="AA72" s="44">
        <f>(AA30+AA44)/AA69</f>
        <v>0.28665401181023031</v>
      </c>
      <c r="AC72" s="770"/>
      <c r="AE72" s="770"/>
      <c r="AF72" s="770"/>
      <c r="AG72" s="44">
        <f>(AG30+AG44)/AG69</f>
        <v>0.28665401181023031</v>
      </c>
      <c r="AI72" s="770"/>
      <c r="AK72" s="770"/>
      <c r="AL72" s="770"/>
      <c r="AM72" s="44">
        <f>(AM30+AM44)/AM69</f>
        <v>0.28665401181023031</v>
      </c>
      <c r="AO72" s="770"/>
      <c r="AQ72" s="770"/>
      <c r="AR72" s="770"/>
      <c r="AS72" s="44">
        <f>(AS30+AS44)/AS69</f>
        <v>0.28665401181023031</v>
      </c>
      <c r="AU72" s="770"/>
      <c r="AW72" s="770"/>
      <c r="AX72" s="770"/>
      <c r="AZ72" s="761"/>
    </row>
    <row r="73" spans="1:57" ht="29.25" customHeight="1" thickTop="1" thickBot="1">
      <c r="A73" s="245">
        <v>12</v>
      </c>
      <c r="B73" s="20" t="s">
        <v>984</v>
      </c>
      <c r="C73" s="85"/>
      <c r="D73" s="765"/>
      <c r="I73" s="86"/>
      <c r="J73" s="765"/>
      <c r="O73" s="86"/>
      <c r="P73" s="765"/>
      <c r="U73" s="86"/>
      <c r="V73" s="765"/>
      <c r="AA73" s="86"/>
      <c r="AB73" s="765"/>
      <c r="AG73" s="86"/>
      <c r="AH73" s="765"/>
      <c r="AM73" s="86"/>
      <c r="AN73" s="765"/>
      <c r="AS73" s="86"/>
      <c r="AT73" s="765"/>
      <c r="AZ73" s="761" t="s">
        <v>985</v>
      </c>
    </row>
    <row r="74" spans="1:57">
      <c r="B74" s="19"/>
      <c r="C74" s="764"/>
      <c r="D74" s="771"/>
      <c r="I74" s="772"/>
      <c r="J74" s="771"/>
      <c r="O74" s="772"/>
      <c r="P74" s="771"/>
      <c r="U74" s="772"/>
      <c r="V74" s="771"/>
      <c r="AA74" s="772"/>
      <c r="AB74" s="771"/>
      <c r="AG74" s="772"/>
      <c r="AH74" s="771"/>
      <c r="AM74" s="772"/>
      <c r="AN74" s="771"/>
      <c r="AS74" s="772"/>
      <c r="AT74" s="771"/>
      <c r="AZ74" s="761"/>
    </row>
    <row r="75" spans="1:57">
      <c r="B75" s="21" t="s">
        <v>986</v>
      </c>
      <c r="C75" s="764"/>
      <c r="D75" s="771"/>
      <c r="I75" s="772"/>
      <c r="J75" s="771"/>
      <c r="O75" s="772"/>
      <c r="P75" s="771"/>
      <c r="U75" s="772"/>
      <c r="V75" s="771"/>
      <c r="AA75" s="772"/>
      <c r="AB75" s="771"/>
      <c r="AG75" s="772"/>
      <c r="AH75" s="771"/>
      <c r="AM75" s="772"/>
      <c r="AN75" s="771"/>
      <c r="AS75" s="772"/>
      <c r="AT75" s="771"/>
      <c r="AZ75" s="761" t="s">
        <v>987</v>
      </c>
      <c r="BB75" s="1153"/>
    </row>
    <row r="76" spans="1:57">
      <c r="A76" s="245">
        <v>13</v>
      </c>
      <c r="B76" s="19" t="s">
        <v>988</v>
      </c>
      <c r="C76" s="45">
        <f>+SUM(C77:C81)</f>
        <v>12457356.91</v>
      </c>
      <c r="I76" s="45">
        <f>+SUM(I77:I81)</f>
        <v>13984373.109999999</v>
      </c>
      <c r="O76" s="45">
        <f>+SUM(O77:O81)</f>
        <v>14937470.030000001</v>
      </c>
      <c r="U76" s="45">
        <f>+SUM(U77:U81)</f>
        <v>15999903.120000001</v>
      </c>
      <c r="AA76" s="45">
        <f>+SUM(AA77:AA81)</f>
        <v>14628799.98</v>
      </c>
      <c r="AG76" s="45">
        <f>+SUM(AG77:AG81)</f>
        <v>15832601.93</v>
      </c>
      <c r="AM76" s="45">
        <f>+SUM(AM77:AM81)</f>
        <v>17147715.799999997</v>
      </c>
      <c r="AS76" s="45">
        <f>+SUM(AS77:AS81)</f>
        <v>18584954.969999999</v>
      </c>
      <c r="AZ76" s="761" t="s">
        <v>989</v>
      </c>
    </row>
    <row r="77" spans="1:57" s="246" customFormat="1">
      <c r="A77" s="246" t="s">
        <v>990</v>
      </c>
      <c r="B77" s="1154" t="s">
        <v>991</v>
      </c>
      <c r="C77" s="85">
        <v>0</v>
      </c>
      <c r="E77" s="245"/>
      <c r="F77" s="245"/>
      <c r="G77" s="245"/>
      <c r="H77" s="245"/>
      <c r="I77" s="89">
        <v>0</v>
      </c>
      <c r="K77" s="245"/>
      <c r="L77" s="245"/>
      <c r="M77" s="245"/>
      <c r="N77" s="245"/>
      <c r="O77" s="89">
        <v>0</v>
      </c>
      <c r="Q77" s="245"/>
      <c r="R77" s="245"/>
      <c r="S77" s="245"/>
      <c r="T77" s="245"/>
      <c r="U77" s="89">
        <v>0</v>
      </c>
      <c r="W77" s="245"/>
      <c r="X77" s="245"/>
      <c r="Y77" s="245"/>
      <c r="Z77" s="245"/>
      <c r="AA77" s="89">
        <v>0</v>
      </c>
      <c r="AC77" s="245"/>
      <c r="AD77" s="245"/>
      <c r="AE77" s="245"/>
      <c r="AF77" s="245"/>
      <c r="AG77" s="89">
        <v>0</v>
      </c>
      <c r="AI77" s="245"/>
      <c r="AJ77" s="245"/>
      <c r="AK77" s="245"/>
      <c r="AL77" s="245"/>
      <c r="AM77" s="89">
        <v>0</v>
      </c>
      <c r="AO77" s="245"/>
      <c r="AP77" s="245"/>
      <c r="AQ77" s="245"/>
      <c r="AR77" s="245"/>
      <c r="AS77" s="89">
        <v>0</v>
      </c>
      <c r="AU77" s="245"/>
      <c r="AV77" s="245"/>
      <c r="AW77" s="245"/>
      <c r="AX77" s="245"/>
      <c r="AY77" s="245"/>
      <c r="AZ77" s="761" t="s">
        <v>992</v>
      </c>
      <c r="BA77" s="245"/>
      <c r="BB77" s="253"/>
    </row>
    <row r="78" spans="1:57" s="246" customFormat="1">
      <c r="A78" s="246" t="s">
        <v>993</v>
      </c>
      <c r="B78" s="1155" t="s">
        <v>994</v>
      </c>
      <c r="C78" s="85">
        <v>6651317.2300000004</v>
      </c>
      <c r="E78" s="245"/>
      <c r="F78" s="245"/>
      <c r="G78" s="245"/>
      <c r="H78" s="245"/>
      <c r="I78" s="89">
        <f>7527055.56+94088.19+227379.8</f>
        <v>7848523.5499999998</v>
      </c>
      <c r="K78" s="245"/>
      <c r="L78" s="245"/>
      <c r="M78" s="245"/>
      <c r="N78" s="245"/>
      <c r="O78" s="89">
        <f>8282711.85+103533.9+250206.92</f>
        <v>8636452.6699999999</v>
      </c>
      <c r="Q78" s="245"/>
      <c r="R78" s="245"/>
      <c r="S78" s="245"/>
      <c r="T78" s="245"/>
      <c r="U78" s="89">
        <f>9095651.45+113695.64+274764.47</f>
        <v>9484111.5600000005</v>
      </c>
      <c r="W78" s="245"/>
      <c r="X78" s="245"/>
      <c r="Y78" s="245"/>
      <c r="Z78" s="245"/>
      <c r="AA78" s="89">
        <f>10207047.4+127588.09+308337.89</f>
        <v>10642973.380000001</v>
      </c>
      <c r="AC78" s="245"/>
      <c r="AD78" s="245"/>
      <c r="AE78" s="245"/>
      <c r="AF78" s="245"/>
      <c r="AG78" s="89">
        <f>11227752.15+140346.9+339171.68</f>
        <v>11707270.73</v>
      </c>
      <c r="AI78" s="245"/>
      <c r="AJ78" s="245"/>
      <c r="AK78" s="245"/>
      <c r="AL78" s="245"/>
      <c r="AM78" s="89">
        <f>12350527.36+154381.59+373088.85</f>
        <v>12877997.799999999</v>
      </c>
      <c r="AO78" s="245"/>
      <c r="AP78" s="245"/>
      <c r="AQ78" s="245"/>
      <c r="AR78" s="245"/>
      <c r="AS78" s="89">
        <f>13585580.09+169819.75+410397.73</f>
        <v>14165797.57</v>
      </c>
      <c r="AU78" s="245"/>
      <c r="AV78" s="245"/>
      <c r="AW78" s="245"/>
      <c r="AX78" s="245"/>
      <c r="AY78" s="245"/>
      <c r="AZ78" s="761" t="s">
        <v>992</v>
      </c>
      <c r="BA78" s="245"/>
      <c r="BB78" s="253"/>
    </row>
    <row r="79" spans="1:57" s="246" customFormat="1">
      <c r="A79" s="246" t="s">
        <v>995</v>
      </c>
      <c r="B79" s="1155" t="s">
        <v>996</v>
      </c>
      <c r="C79" s="85">
        <f>3182488.8+36466+96138</f>
        <v>3315092.8</v>
      </c>
      <c r="E79" s="245"/>
      <c r="F79" s="245"/>
      <c r="G79" s="245"/>
      <c r="H79" s="245"/>
      <c r="I79" s="89">
        <f>3332254.6+38182+100662</f>
        <v>3471098.6</v>
      </c>
      <c r="K79" s="245"/>
      <c r="L79" s="245"/>
      <c r="M79" s="245"/>
      <c r="N79" s="245"/>
      <c r="O79" s="89">
        <f>3490815.6+39999+105451.8</f>
        <v>3636266.4</v>
      </c>
      <c r="Q79" s="245"/>
      <c r="R79" s="245"/>
      <c r="S79" s="245"/>
      <c r="T79" s="245"/>
      <c r="U79" s="89">
        <f>3696999+42361.4+111680.2</f>
        <v>3851040.6</v>
      </c>
      <c r="W79" s="245"/>
      <c r="X79" s="245"/>
      <c r="Y79" s="245"/>
      <c r="Z79" s="245"/>
      <c r="AA79" s="89">
        <f>3826393.6+43844+115589</f>
        <v>3985826.6</v>
      </c>
      <c r="AC79" s="245"/>
      <c r="AD79" s="245"/>
      <c r="AE79" s="245"/>
      <c r="AF79" s="245"/>
      <c r="AG79" s="89">
        <f>3960318+45378.6+119634.6</f>
        <v>4125331.2</v>
      </c>
      <c r="AI79" s="245"/>
      <c r="AJ79" s="245"/>
      <c r="AK79" s="245"/>
      <c r="AL79" s="245"/>
      <c r="AM79" s="89">
        <f>4098929.4+46966.8+123821.8</f>
        <v>4269718</v>
      </c>
      <c r="AO79" s="245"/>
      <c r="AP79" s="245"/>
      <c r="AQ79" s="245"/>
      <c r="AR79" s="245"/>
      <c r="AS79" s="89">
        <f>4242391+48610.8+128155.6</f>
        <v>4419157.3999999994</v>
      </c>
      <c r="AU79" s="245"/>
      <c r="AV79" s="245"/>
      <c r="AW79" s="245"/>
      <c r="AX79" s="245"/>
      <c r="AY79" s="245"/>
      <c r="AZ79" s="761"/>
      <c r="BA79" s="245"/>
      <c r="BB79" s="253"/>
    </row>
    <row r="80" spans="1:57" s="246" customFormat="1">
      <c r="A80" s="246" t="s">
        <v>997</v>
      </c>
      <c r="B80" s="1155" t="s">
        <v>998</v>
      </c>
      <c r="C80" s="85">
        <f>2391308.4+27400.48+72238</f>
        <v>2490946.88</v>
      </c>
      <c r="E80" s="245"/>
      <c r="F80" s="245"/>
      <c r="G80" s="245"/>
      <c r="H80" s="245"/>
      <c r="I80" s="89">
        <f>2558160.64+29312.32+77278</f>
        <v>2664750.96</v>
      </c>
      <c r="K80" s="245"/>
      <c r="L80" s="245"/>
      <c r="M80" s="245"/>
      <c r="N80" s="245"/>
      <c r="O80" s="89">
        <f>2558160.64+29312.32+77278</f>
        <v>2664750.96</v>
      </c>
      <c r="Q80" s="245"/>
      <c r="R80" s="245"/>
      <c r="S80" s="245"/>
      <c r="T80" s="245"/>
      <c r="U80" s="89">
        <f>2558160.64+29312.32+77278</f>
        <v>2664750.96</v>
      </c>
      <c r="W80" s="245"/>
      <c r="X80" s="245"/>
      <c r="Y80" s="245"/>
      <c r="Z80" s="245"/>
      <c r="AA80" s="89">
        <v>0</v>
      </c>
      <c r="AC80" s="245"/>
      <c r="AD80" s="245"/>
      <c r="AE80" s="245"/>
      <c r="AF80" s="245"/>
      <c r="AG80" s="89">
        <v>0</v>
      </c>
      <c r="AI80" s="245"/>
      <c r="AJ80" s="245"/>
      <c r="AK80" s="245"/>
      <c r="AL80" s="245"/>
      <c r="AM80" s="89">
        <v>0</v>
      </c>
      <c r="AO80" s="245"/>
      <c r="AP80" s="245"/>
      <c r="AQ80" s="245"/>
      <c r="AR80" s="245"/>
      <c r="AS80" s="89">
        <v>0</v>
      </c>
      <c r="AU80" s="245"/>
      <c r="AV80" s="245"/>
      <c r="AW80" s="245"/>
      <c r="AX80" s="245"/>
      <c r="AY80" s="245"/>
      <c r="AZ80" s="761" t="s">
        <v>992</v>
      </c>
      <c r="BA80" s="245"/>
      <c r="BB80" s="253"/>
    </row>
    <row r="81" spans="1:54" s="246" customFormat="1">
      <c r="A81" s="246" t="s">
        <v>999</v>
      </c>
      <c r="B81" s="1155"/>
      <c r="C81" s="85">
        <v>0</v>
      </c>
      <c r="E81" s="245"/>
      <c r="F81" s="245"/>
      <c r="G81" s="245"/>
      <c r="H81" s="245"/>
      <c r="I81" s="89">
        <v>0</v>
      </c>
      <c r="K81" s="245"/>
      <c r="L81" s="245"/>
      <c r="M81" s="245"/>
      <c r="N81" s="245"/>
      <c r="O81" s="89">
        <v>0</v>
      </c>
      <c r="Q81" s="245"/>
      <c r="R81" s="245"/>
      <c r="S81" s="245"/>
      <c r="T81" s="245"/>
      <c r="U81" s="89">
        <v>0</v>
      </c>
      <c r="W81" s="245"/>
      <c r="X81" s="245"/>
      <c r="Y81" s="245"/>
      <c r="Z81" s="245"/>
      <c r="AA81" s="89">
        <v>0</v>
      </c>
      <c r="AC81" s="245"/>
      <c r="AD81" s="245"/>
      <c r="AE81" s="245"/>
      <c r="AF81" s="245"/>
      <c r="AG81" s="89">
        <v>0</v>
      </c>
      <c r="AI81" s="245"/>
      <c r="AJ81" s="245"/>
      <c r="AK81" s="245"/>
      <c r="AL81" s="245"/>
      <c r="AM81" s="89">
        <v>0</v>
      </c>
      <c r="AO81" s="245"/>
      <c r="AP81" s="245"/>
      <c r="AQ81" s="245"/>
      <c r="AR81" s="245"/>
      <c r="AS81" s="89">
        <v>0</v>
      </c>
      <c r="AU81" s="245"/>
      <c r="AV81" s="245"/>
      <c r="AW81" s="245"/>
      <c r="AX81" s="245"/>
      <c r="AY81" s="245"/>
      <c r="AZ81" s="761" t="s">
        <v>992</v>
      </c>
      <c r="BA81" s="245"/>
      <c r="BB81" s="253"/>
    </row>
    <row r="82" spans="1:54" s="246" customFormat="1">
      <c r="A82" s="245">
        <v>14</v>
      </c>
      <c r="B82" s="19" t="s">
        <v>1000</v>
      </c>
      <c r="C82" s="45">
        <f>+SUM(C83:C87)</f>
        <v>0</v>
      </c>
      <c r="E82" s="245"/>
      <c r="F82" s="245"/>
      <c r="G82" s="245"/>
      <c r="H82" s="245"/>
      <c r="I82" s="45">
        <f>+SUM(I83:I87)</f>
        <v>0</v>
      </c>
      <c r="K82" s="245"/>
      <c r="L82" s="245"/>
      <c r="M82" s="245"/>
      <c r="N82" s="245"/>
      <c r="O82" s="45">
        <f>+SUM(O83:O87)</f>
        <v>0</v>
      </c>
      <c r="Q82" s="245"/>
      <c r="R82" s="245"/>
      <c r="S82" s="245"/>
      <c r="T82" s="245"/>
      <c r="U82" s="45">
        <f>+SUM(U83:U87)</f>
        <v>0</v>
      </c>
      <c r="W82" s="245"/>
      <c r="X82" s="245"/>
      <c r="Y82" s="245"/>
      <c r="Z82" s="245"/>
      <c r="AA82" s="45">
        <f>+SUM(AA83:AA87)</f>
        <v>0</v>
      </c>
      <c r="AC82" s="245"/>
      <c r="AD82" s="245"/>
      <c r="AE82" s="245"/>
      <c r="AF82" s="245"/>
      <c r="AG82" s="45">
        <f>+SUM(AG83:AG87)</f>
        <v>0</v>
      </c>
      <c r="AI82" s="245"/>
      <c r="AJ82" s="245"/>
      <c r="AK82" s="245"/>
      <c r="AL82" s="245"/>
      <c r="AM82" s="45">
        <f>+SUM(AM83:AM87)</f>
        <v>0</v>
      </c>
      <c r="AO82" s="245"/>
      <c r="AP82" s="245"/>
      <c r="AQ82" s="245"/>
      <c r="AR82" s="245"/>
      <c r="AS82" s="45">
        <f>+SUM(AS83:AS87)</f>
        <v>0</v>
      </c>
      <c r="AU82" s="245"/>
      <c r="AV82" s="245"/>
      <c r="AW82" s="245"/>
      <c r="AX82" s="245"/>
      <c r="AY82" s="245"/>
      <c r="AZ82" s="761" t="s">
        <v>1001</v>
      </c>
      <c r="BA82" s="245"/>
      <c r="BB82" s="253"/>
    </row>
    <row r="83" spans="1:54">
      <c r="A83" s="246" t="s">
        <v>1002</v>
      </c>
      <c r="B83" s="1154" t="s">
        <v>1003</v>
      </c>
      <c r="C83" s="85">
        <v>0</v>
      </c>
      <c r="I83" s="89">
        <v>0</v>
      </c>
      <c r="O83" s="89">
        <v>0</v>
      </c>
      <c r="U83" s="89">
        <v>0</v>
      </c>
      <c r="AA83" s="89">
        <v>0</v>
      </c>
      <c r="AG83" s="89">
        <v>0</v>
      </c>
      <c r="AM83" s="89">
        <v>0</v>
      </c>
      <c r="AS83" s="89">
        <v>0</v>
      </c>
      <c r="AZ83" s="761" t="s">
        <v>992</v>
      </c>
    </row>
    <row r="84" spans="1:54">
      <c r="A84" s="246" t="s">
        <v>1004</v>
      </c>
      <c r="B84" s="1155" t="s">
        <v>1005</v>
      </c>
      <c r="C84" s="85">
        <v>0</v>
      </c>
      <c r="I84" s="89">
        <v>0</v>
      </c>
      <c r="O84" s="89">
        <v>0</v>
      </c>
      <c r="U84" s="89">
        <v>0</v>
      </c>
      <c r="AA84" s="89">
        <v>0</v>
      </c>
      <c r="AG84" s="89">
        <v>0</v>
      </c>
      <c r="AM84" s="89">
        <v>0</v>
      </c>
      <c r="AS84" s="89">
        <v>0</v>
      </c>
      <c r="AZ84" s="761" t="s">
        <v>992</v>
      </c>
    </row>
    <row r="85" spans="1:54">
      <c r="A85" s="246" t="s">
        <v>1006</v>
      </c>
      <c r="B85" s="1155" t="s">
        <v>1007</v>
      </c>
      <c r="C85" s="85"/>
      <c r="I85" s="89"/>
      <c r="O85" s="89"/>
      <c r="U85" s="89"/>
      <c r="AA85" s="89"/>
      <c r="AG85" s="89"/>
      <c r="AM85" s="89"/>
      <c r="AS85" s="89"/>
      <c r="AZ85" s="761"/>
    </row>
    <row r="86" spans="1:54">
      <c r="A86" s="246" t="s">
        <v>1008</v>
      </c>
      <c r="C86" s="85">
        <v>0</v>
      </c>
      <c r="I86" s="89">
        <v>0</v>
      </c>
      <c r="O86" s="89">
        <v>0</v>
      </c>
      <c r="U86" s="89">
        <v>0</v>
      </c>
      <c r="AA86" s="89">
        <v>0</v>
      </c>
      <c r="AG86" s="89">
        <v>0</v>
      </c>
      <c r="AM86" s="89">
        <v>0</v>
      </c>
      <c r="AS86" s="89">
        <v>0</v>
      </c>
      <c r="AZ86" s="761" t="s">
        <v>992</v>
      </c>
    </row>
    <row r="87" spans="1:54">
      <c r="A87" s="246" t="s">
        <v>1009</v>
      </c>
      <c r="C87" s="85">
        <v>0</v>
      </c>
      <c r="I87" s="89">
        <v>0</v>
      </c>
      <c r="O87" s="89">
        <v>0</v>
      </c>
      <c r="U87" s="89">
        <v>0</v>
      </c>
      <c r="AA87" s="89">
        <v>0</v>
      </c>
      <c r="AG87" s="89">
        <v>0</v>
      </c>
      <c r="AM87" s="89">
        <v>0</v>
      </c>
      <c r="AS87" s="89">
        <v>0</v>
      </c>
      <c r="AZ87" s="761" t="s">
        <v>992</v>
      </c>
    </row>
    <row r="88" spans="1:54" ht="33" customHeight="1" thickTop="1" thickBot="1">
      <c r="A88" s="245">
        <v>15</v>
      </c>
      <c r="B88" s="20" t="s">
        <v>1010</v>
      </c>
      <c r="C88" s="28">
        <f>C71+C76+C82</f>
        <v>164144896.37587145</v>
      </c>
      <c r="D88" s="771"/>
      <c r="I88" s="46">
        <f>I71+I76+I82</f>
        <v>166282123.80833143</v>
      </c>
      <c r="J88" s="771"/>
      <c r="O88" s="46">
        <f>O71+O76+O82</f>
        <v>168028589.89851111</v>
      </c>
      <c r="P88" s="771"/>
      <c r="U88" s="46">
        <f>U71+U76+U82</f>
        <v>170627495.92744172</v>
      </c>
      <c r="V88" s="771"/>
      <c r="AA88" s="46">
        <f>AA71+AA76+AA82</f>
        <v>174204475.75727984</v>
      </c>
      <c r="AB88" s="771"/>
      <c r="AG88" s="46">
        <f>AG71+AG76+AG82</f>
        <v>180514699.33215284</v>
      </c>
      <c r="AH88" s="771"/>
      <c r="AM88" s="46">
        <f>AM71+AM76+AM82</f>
        <v>187099640.3190217</v>
      </c>
      <c r="AN88" s="771"/>
      <c r="AS88" s="46">
        <f>AS71+AS76+AS82</f>
        <v>193975341.07363042</v>
      </c>
      <c r="AT88" s="771"/>
      <c r="AZ88" s="773" t="s">
        <v>1011</v>
      </c>
      <c r="BB88" s="1156"/>
    </row>
    <row r="89" spans="1:54" s="246" customFormat="1">
      <c r="B89" s="22"/>
      <c r="C89" s="245"/>
      <c r="E89" s="245"/>
      <c r="F89" s="245"/>
      <c r="G89" s="245"/>
      <c r="H89" s="245"/>
      <c r="I89" s="245"/>
      <c r="K89" s="245"/>
      <c r="L89" s="245"/>
      <c r="M89" s="245"/>
      <c r="N89" s="245"/>
      <c r="O89" s="245"/>
      <c r="Q89" s="245"/>
      <c r="R89" s="245"/>
      <c r="S89" s="245"/>
      <c r="T89" s="245"/>
      <c r="U89" s="245"/>
      <c r="W89" s="245"/>
      <c r="X89" s="245"/>
      <c r="Y89" s="245"/>
      <c r="Z89" s="245"/>
      <c r="AA89" s="245"/>
      <c r="AC89" s="245"/>
      <c r="AD89" s="245"/>
      <c r="AE89" s="245"/>
      <c r="AF89" s="245"/>
      <c r="AG89" s="245"/>
      <c r="AI89" s="245"/>
      <c r="AJ89" s="245"/>
      <c r="AK89" s="245"/>
      <c r="AL89" s="245"/>
      <c r="AM89" s="245"/>
      <c r="AO89" s="245"/>
      <c r="AP89" s="245"/>
      <c r="AQ89" s="245"/>
      <c r="AR89" s="245"/>
      <c r="AS89" s="245"/>
      <c r="AU89" s="245"/>
      <c r="AV89" s="245"/>
      <c r="AW89" s="245"/>
      <c r="AX89" s="245"/>
      <c r="AY89" s="245"/>
      <c r="AZ89" s="247"/>
      <c r="BA89" s="245"/>
      <c r="BB89" s="253"/>
    </row>
    <row r="90" spans="1:54" s="246" customFormat="1">
      <c r="B90" s="151" t="s">
        <v>1012</v>
      </c>
      <c r="C90" s="245"/>
      <c r="E90" s="245"/>
      <c r="F90" s="245"/>
      <c r="G90" s="245"/>
      <c r="H90" s="245"/>
      <c r="I90" s="245"/>
      <c r="K90" s="245"/>
      <c r="L90" s="245"/>
      <c r="M90" s="245"/>
      <c r="N90" s="245"/>
      <c r="O90" s="245"/>
      <c r="Q90" s="245"/>
      <c r="R90" s="245"/>
      <c r="S90" s="245"/>
      <c r="T90" s="245"/>
      <c r="U90" s="245"/>
      <c r="W90" s="245"/>
      <c r="X90" s="245"/>
      <c r="Y90" s="245"/>
      <c r="Z90" s="245"/>
      <c r="AA90" s="245"/>
      <c r="AC90" s="245"/>
      <c r="AD90" s="245"/>
      <c r="AE90" s="245"/>
      <c r="AF90" s="245"/>
      <c r="AG90" s="245"/>
      <c r="AI90" s="245"/>
      <c r="AJ90" s="245"/>
      <c r="AK90" s="245"/>
      <c r="AL90" s="245"/>
      <c r="AM90" s="245"/>
      <c r="AO90" s="245"/>
      <c r="AP90" s="245"/>
      <c r="AQ90" s="245"/>
      <c r="AR90" s="245"/>
      <c r="AS90" s="245"/>
      <c r="AU90" s="245"/>
      <c r="AV90" s="245"/>
      <c r="AW90" s="245"/>
      <c r="AX90" s="245"/>
      <c r="AY90" s="245"/>
      <c r="AZ90" s="247"/>
      <c r="BA90" s="245"/>
      <c r="BB90" s="253"/>
    </row>
    <row r="91" spans="1:54" s="246" customFormat="1">
      <c r="B91" s="151" t="s">
        <v>1013</v>
      </c>
      <c r="C91" s="245"/>
      <c r="E91" s="245"/>
      <c r="F91" s="245"/>
      <c r="G91" s="245"/>
      <c r="H91" s="245"/>
      <c r="I91" s="245"/>
      <c r="K91" s="245"/>
      <c r="L91" s="245"/>
      <c r="M91" s="245"/>
      <c r="N91" s="245"/>
      <c r="O91" s="245"/>
      <c r="Q91" s="245"/>
      <c r="R91" s="245"/>
      <c r="S91" s="245"/>
      <c r="T91" s="245"/>
      <c r="U91" s="245"/>
      <c r="W91" s="245"/>
      <c r="X91" s="245"/>
      <c r="Y91" s="245"/>
      <c r="Z91" s="245"/>
      <c r="AA91" s="245"/>
      <c r="AC91" s="245"/>
      <c r="AD91" s="245"/>
      <c r="AE91" s="245"/>
      <c r="AF91" s="245"/>
      <c r="AG91" s="245"/>
      <c r="AI91" s="245"/>
      <c r="AJ91" s="245"/>
      <c r="AK91" s="245"/>
      <c r="AL91" s="245"/>
      <c r="AM91" s="245"/>
      <c r="AO91" s="245"/>
      <c r="AP91" s="245"/>
      <c r="AQ91" s="245"/>
      <c r="AR91" s="245"/>
      <c r="AS91" s="245"/>
      <c r="AU91" s="245"/>
      <c r="AV91" s="245"/>
      <c r="AW91" s="245"/>
      <c r="AX91" s="245"/>
      <c r="AY91" s="245"/>
      <c r="AZ91" s="247"/>
      <c r="BA91" s="245"/>
      <c r="BB91" s="253"/>
    </row>
    <row r="92" spans="1:54">
      <c r="B92" s="151" t="s">
        <v>1014</v>
      </c>
    </row>
    <row r="93" spans="1:54" s="246" customFormat="1">
      <c r="B93" s="151" t="s">
        <v>1015</v>
      </c>
      <c r="C93" s="245"/>
      <c r="E93" s="245"/>
      <c r="F93" s="245"/>
      <c r="G93" s="245"/>
      <c r="H93" s="245"/>
      <c r="I93" s="245"/>
      <c r="K93" s="245"/>
      <c r="L93" s="245"/>
      <c r="M93" s="245"/>
      <c r="N93" s="245"/>
      <c r="O93" s="245"/>
      <c r="Q93" s="245"/>
      <c r="R93" s="245"/>
      <c r="S93" s="245"/>
      <c r="T93" s="245"/>
      <c r="U93" s="245"/>
      <c r="W93" s="245"/>
      <c r="X93" s="245"/>
      <c r="Y93" s="245"/>
      <c r="Z93" s="245"/>
      <c r="AA93" s="245"/>
      <c r="AC93" s="245"/>
      <c r="AD93" s="245"/>
      <c r="AE93" s="245"/>
      <c r="AF93" s="245"/>
      <c r="AG93" s="245"/>
      <c r="AI93" s="245"/>
      <c r="AJ93" s="245"/>
      <c r="AK93" s="245"/>
      <c r="AL93" s="245"/>
      <c r="AM93" s="245"/>
      <c r="AO93" s="245"/>
      <c r="AP93" s="245"/>
      <c r="AQ93" s="245"/>
      <c r="AR93" s="245"/>
      <c r="AS93" s="245"/>
      <c r="AU93" s="245"/>
      <c r="AV93" s="245"/>
      <c r="AW93" s="245"/>
      <c r="AX93" s="245"/>
      <c r="AY93" s="245"/>
      <c r="AZ93" s="247"/>
      <c r="BA93" s="245"/>
      <c r="BB93" s="253"/>
    </row>
    <row r="94" spans="1:54" s="246" customFormat="1">
      <c r="B94" s="151" t="s">
        <v>1016</v>
      </c>
      <c r="C94" s="245"/>
      <c r="E94" s="245"/>
      <c r="F94" s="245"/>
      <c r="G94" s="245"/>
      <c r="H94" s="245"/>
      <c r="I94" s="245"/>
      <c r="K94" s="245"/>
      <c r="L94" s="245"/>
      <c r="M94" s="245"/>
      <c r="N94" s="245"/>
      <c r="O94" s="245"/>
      <c r="Q94" s="245"/>
      <c r="R94" s="245"/>
      <c r="S94" s="245"/>
      <c r="T94" s="245"/>
      <c r="U94" s="245"/>
      <c r="W94" s="245"/>
      <c r="X94" s="245"/>
      <c r="Y94" s="245"/>
      <c r="Z94" s="245"/>
      <c r="AA94" s="245"/>
      <c r="AC94" s="245"/>
      <c r="AD94" s="245"/>
      <c r="AE94" s="245"/>
      <c r="AF94" s="245"/>
      <c r="AG94" s="245"/>
      <c r="AI94" s="245"/>
      <c r="AJ94" s="245"/>
      <c r="AK94" s="245"/>
      <c r="AL94" s="245"/>
      <c r="AM94" s="245"/>
      <c r="AO94" s="245"/>
      <c r="AP94" s="245"/>
      <c r="AQ94" s="245"/>
      <c r="AR94" s="245"/>
      <c r="AS94" s="245"/>
      <c r="AU94" s="245"/>
      <c r="AV94" s="245"/>
      <c r="AW94" s="245"/>
      <c r="AX94" s="245"/>
      <c r="AY94" s="245"/>
      <c r="AZ94" s="247"/>
      <c r="BA94" s="245"/>
      <c r="BB94" s="253"/>
    </row>
    <row r="95" spans="1:54" s="246" customFormat="1">
      <c r="B95" s="151" t="s">
        <v>1017</v>
      </c>
      <c r="C95" s="245"/>
      <c r="E95" s="245"/>
      <c r="F95" s="245"/>
      <c r="G95" s="245"/>
      <c r="H95" s="245"/>
      <c r="I95" s="245"/>
      <c r="K95" s="245"/>
      <c r="L95" s="245"/>
      <c r="M95" s="245"/>
      <c r="N95" s="245"/>
      <c r="O95" s="245"/>
      <c r="Q95" s="245"/>
      <c r="R95" s="245"/>
      <c r="S95" s="245"/>
      <c r="T95" s="245"/>
      <c r="U95" s="245"/>
      <c r="W95" s="245"/>
      <c r="X95" s="245"/>
      <c r="Y95" s="245"/>
      <c r="Z95" s="245"/>
      <c r="AA95" s="245"/>
      <c r="AC95" s="245"/>
      <c r="AD95" s="245"/>
      <c r="AE95" s="245"/>
      <c r="AF95" s="245"/>
      <c r="AG95" s="245"/>
      <c r="AI95" s="245"/>
      <c r="AJ95" s="245"/>
      <c r="AK95" s="245"/>
      <c r="AL95" s="245"/>
      <c r="AM95" s="245"/>
      <c r="AO95" s="245"/>
      <c r="AP95" s="245"/>
      <c r="AQ95" s="245"/>
      <c r="AR95" s="245"/>
      <c r="AS95" s="245"/>
      <c r="AU95" s="245"/>
      <c r="AV95" s="245"/>
      <c r="AW95" s="245"/>
      <c r="AX95" s="245"/>
      <c r="AY95" s="245"/>
      <c r="AZ95" s="247"/>
      <c r="BA95" s="245"/>
      <c r="BB95" s="253"/>
    </row>
    <row r="96" spans="1:54" ht="15.6" customHeight="1">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2"/>
    </row>
    <row r="98" spans="2:54" s="246" customFormat="1">
      <c r="C98" s="245"/>
      <c r="E98" s="245"/>
      <c r="F98" s="245"/>
      <c r="G98" s="245"/>
      <c r="H98" s="245"/>
      <c r="I98" s="245"/>
      <c r="K98" s="245"/>
      <c r="L98" s="245"/>
      <c r="M98" s="245"/>
      <c r="N98" s="245"/>
      <c r="O98" s="245"/>
      <c r="Q98" s="245"/>
      <c r="R98" s="245"/>
      <c r="S98" s="245"/>
      <c r="T98" s="245"/>
      <c r="U98" s="245"/>
      <c r="W98" s="245"/>
      <c r="X98" s="245"/>
      <c r="Y98" s="245"/>
      <c r="Z98" s="245"/>
      <c r="AA98" s="245"/>
      <c r="AC98" s="245"/>
      <c r="AD98" s="245"/>
      <c r="AE98" s="245"/>
      <c r="AF98" s="245"/>
      <c r="AG98" s="245"/>
      <c r="AI98" s="245"/>
      <c r="AJ98" s="245"/>
      <c r="AK98" s="245"/>
      <c r="AL98" s="245"/>
      <c r="AM98" s="245"/>
      <c r="AO98" s="245"/>
      <c r="AP98" s="245"/>
      <c r="AQ98" s="245"/>
      <c r="AR98" s="245"/>
      <c r="AS98" s="245"/>
      <c r="AU98" s="245"/>
      <c r="AV98" s="245"/>
      <c r="AW98" s="245"/>
      <c r="AX98" s="245"/>
      <c r="AY98" s="245"/>
      <c r="AZ98" s="247"/>
      <c r="BA98" s="245"/>
      <c r="BB98" s="253"/>
    </row>
    <row r="99" spans="2:54">
      <c r="B99" s="22"/>
    </row>
    <row r="100" spans="2:54">
      <c r="B100" s="112"/>
    </row>
    <row r="101" spans="2:54">
      <c r="B101" s="22"/>
    </row>
    <row r="102" spans="2:54">
      <c r="B102" s="22"/>
    </row>
    <row r="103" spans="2:54">
      <c r="B103" s="22"/>
    </row>
    <row r="104" spans="2:54">
      <c r="B104" s="22"/>
    </row>
    <row r="105" spans="2:54">
      <c r="B105" s="22"/>
    </row>
  </sheetData>
  <mergeCells count="12">
    <mergeCell ref="AZ65:AZ67"/>
    <mergeCell ref="AZ18:AZ19"/>
    <mergeCell ref="AZ32:AZ33"/>
    <mergeCell ref="AZ46:AZ47"/>
    <mergeCell ref="D4:H4"/>
    <mergeCell ref="AT4:AX4"/>
    <mergeCell ref="AN4:AR4"/>
    <mergeCell ref="AH4:AL4"/>
    <mergeCell ref="AB4:AF4"/>
    <mergeCell ref="V4:Z4"/>
    <mergeCell ref="P4:T4"/>
    <mergeCell ref="J4:N4"/>
  </mergeCells>
  <phoneticPr fontId="176" type="noConversion"/>
  <pageMargins left="0.7" right="0.7" top="0.75" bottom="0.75" header="0.3" footer="0.3"/>
  <pageSetup paperSize="3" scale="43" fitToWidth="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65E30-6F60-48D0-9D2D-E5F3D26A6EC5}">
  <sheetPr codeName="Sheet13">
    <pageSetUpPr fitToPage="1"/>
  </sheetPr>
  <dimension ref="A1:AB58"/>
  <sheetViews>
    <sheetView zoomScaleNormal="100" workbookViewId="0"/>
  </sheetViews>
  <sheetFormatPr defaultColWidth="8.875" defaultRowHeight="14.25"/>
  <cols>
    <col min="1" max="1" width="11.375" style="886" customWidth="1"/>
    <col min="2" max="2" width="9.75" style="886" customWidth="1"/>
    <col min="3" max="3" width="3.125" style="886" customWidth="1"/>
    <col min="4" max="4" width="30.75" style="886" customWidth="1"/>
    <col min="5" max="7" width="13.375" style="886" customWidth="1"/>
    <col min="8" max="10" width="7.5" style="886" customWidth="1"/>
    <col min="11" max="13" width="13.5" style="886" customWidth="1"/>
    <col min="14" max="16" width="7.625" style="886" customWidth="1"/>
    <col min="17" max="19" width="13.25" style="886" customWidth="1"/>
    <col min="20" max="22" width="7.5" style="886" customWidth="1"/>
    <col min="23" max="25" width="13.375" style="886" customWidth="1"/>
    <col min="26" max="28" width="7.5" style="886" customWidth="1"/>
    <col min="29" max="16384" width="8.875" style="886"/>
  </cols>
  <sheetData>
    <row r="1" spans="1:28">
      <c r="A1" s="175" t="s">
        <v>98</v>
      </c>
      <c r="B1" s="176" t="str">
        <f>PA_NAME</f>
        <v>SoCalGas</v>
      </c>
      <c r="D1" s="887"/>
      <c r="E1" s="902"/>
    </row>
    <row r="2" spans="1:28">
      <c r="A2" s="175" t="s">
        <v>99</v>
      </c>
      <c r="B2" s="176" t="s">
        <v>303</v>
      </c>
      <c r="C2" s="752"/>
      <c r="D2" s="752"/>
      <c r="E2" s="982"/>
      <c r="F2" s="752"/>
      <c r="K2" s="752"/>
      <c r="L2" s="752"/>
      <c r="Q2" s="752"/>
      <c r="R2" s="752"/>
      <c r="W2" s="752"/>
      <c r="X2" s="752"/>
    </row>
    <row r="3" spans="1:28">
      <c r="A3" s="254" t="s">
        <v>1018</v>
      </c>
      <c r="B3" s="983"/>
      <c r="C3" s="752"/>
      <c r="D3" s="752"/>
      <c r="E3" s="752"/>
      <c r="F3" s="752"/>
      <c r="K3" s="752"/>
      <c r="L3" s="752"/>
      <c r="Q3" s="752"/>
      <c r="R3" s="752"/>
      <c r="W3" s="752"/>
      <c r="X3" s="752"/>
    </row>
    <row r="4" spans="1:28">
      <c r="B4" s="752"/>
      <c r="C4" s="752"/>
      <c r="D4" s="984"/>
      <c r="E4" s="984"/>
      <c r="F4" s="984"/>
      <c r="K4" s="984"/>
      <c r="L4" s="984"/>
      <c r="Q4" s="984"/>
      <c r="R4" s="984"/>
      <c r="W4" s="984"/>
      <c r="X4" s="984"/>
    </row>
    <row r="5" spans="1:28">
      <c r="B5" s="985"/>
      <c r="C5" s="986"/>
      <c r="D5" s="986"/>
      <c r="E5" s="985" t="s">
        <v>1019</v>
      </c>
      <c r="F5" s="986"/>
      <c r="G5" s="986"/>
      <c r="H5" s="986"/>
      <c r="I5" s="986"/>
      <c r="J5" s="987"/>
      <c r="K5" s="986" t="s">
        <v>1020</v>
      </c>
      <c r="L5" s="986"/>
      <c r="M5" s="986"/>
      <c r="N5" s="986"/>
      <c r="O5" s="986"/>
      <c r="P5" s="987"/>
      <c r="Q5" s="986" t="s">
        <v>1021</v>
      </c>
      <c r="R5" s="986"/>
      <c r="S5" s="986"/>
      <c r="T5" s="986"/>
      <c r="U5" s="986"/>
      <c r="V5" s="987"/>
      <c r="W5" s="986" t="s">
        <v>1022</v>
      </c>
      <c r="X5" s="986"/>
      <c r="Y5" s="986"/>
      <c r="Z5" s="986"/>
      <c r="AA5" s="986"/>
      <c r="AB5" s="987"/>
    </row>
    <row r="6" spans="1:28">
      <c r="B6" s="988"/>
      <c r="C6" s="989"/>
      <c r="D6" s="989"/>
      <c r="E6" s="1421" t="s">
        <v>1023</v>
      </c>
      <c r="F6" s="1422"/>
      <c r="G6" s="1423"/>
      <c r="H6" s="1421" t="s">
        <v>1024</v>
      </c>
      <c r="I6" s="1422"/>
      <c r="J6" s="1423"/>
      <c r="K6" s="1421" t="s">
        <v>1023</v>
      </c>
      <c r="L6" s="1422"/>
      <c r="M6" s="1423"/>
      <c r="N6" s="1421" t="s">
        <v>1024</v>
      </c>
      <c r="O6" s="1422"/>
      <c r="P6" s="1423"/>
      <c r="Q6" s="1421" t="s">
        <v>1023</v>
      </c>
      <c r="R6" s="1422"/>
      <c r="S6" s="1423"/>
      <c r="T6" s="1421" t="s">
        <v>1024</v>
      </c>
      <c r="U6" s="1422"/>
      <c r="V6" s="1423"/>
      <c r="W6" s="1421" t="s">
        <v>1023</v>
      </c>
      <c r="X6" s="1422"/>
      <c r="Y6" s="1423"/>
      <c r="Z6" s="1421" t="s">
        <v>1024</v>
      </c>
      <c r="AA6" s="1422"/>
      <c r="AB6" s="1423"/>
    </row>
    <row r="7" spans="1:28" ht="67.150000000000006">
      <c r="B7" s="1307" t="s">
        <v>943</v>
      </c>
      <c r="C7" s="990" t="s">
        <v>1025</v>
      </c>
      <c r="D7" s="991"/>
      <c r="E7" s="992" t="s">
        <v>2299</v>
      </c>
      <c r="F7" s="992" t="s">
        <v>2301</v>
      </c>
      <c r="G7" s="992" t="s">
        <v>1026</v>
      </c>
      <c r="H7" s="993" t="s">
        <v>1027</v>
      </c>
      <c r="I7" s="994" t="s">
        <v>1028</v>
      </c>
      <c r="J7" s="994" t="s">
        <v>1029</v>
      </c>
      <c r="K7" s="992" t="s">
        <v>2299</v>
      </c>
      <c r="L7" s="992" t="s">
        <v>2300</v>
      </c>
      <c r="M7" s="992" t="s">
        <v>1026</v>
      </c>
      <c r="N7" s="993" t="s">
        <v>1027</v>
      </c>
      <c r="O7" s="994" t="s">
        <v>1028</v>
      </c>
      <c r="P7" s="994" t="s">
        <v>1029</v>
      </c>
      <c r="Q7" s="992" t="s">
        <v>2299</v>
      </c>
      <c r="R7" s="992" t="s">
        <v>2300</v>
      </c>
      <c r="S7" s="992" t="s">
        <v>1026</v>
      </c>
      <c r="T7" s="993" t="s">
        <v>1027</v>
      </c>
      <c r="U7" s="994" t="s">
        <v>1028</v>
      </c>
      <c r="V7" s="994" t="s">
        <v>1029</v>
      </c>
      <c r="W7" s="992" t="s">
        <v>2299</v>
      </c>
      <c r="X7" s="992" t="s">
        <v>2300</v>
      </c>
      <c r="Y7" s="992" t="s">
        <v>1026</v>
      </c>
      <c r="Z7" s="993" t="s">
        <v>1027</v>
      </c>
      <c r="AA7" s="994" t="s">
        <v>1028</v>
      </c>
      <c r="AB7" s="994" t="s">
        <v>1029</v>
      </c>
    </row>
    <row r="8" spans="1:28">
      <c r="B8" s="995"/>
      <c r="C8" s="752"/>
      <c r="D8" s="996"/>
      <c r="E8" s="997"/>
      <c r="F8" s="998"/>
      <c r="G8" s="999"/>
      <c r="H8" s="1000"/>
      <c r="I8" s="998"/>
      <c r="J8" s="999"/>
      <c r="K8" s="997"/>
      <c r="L8" s="998"/>
      <c r="M8" s="999"/>
      <c r="N8" s="1000"/>
      <c r="O8" s="998"/>
      <c r="P8" s="999"/>
      <c r="Q8" s="997"/>
      <c r="R8" s="998"/>
      <c r="S8" s="999"/>
      <c r="T8" s="1000"/>
      <c r="U8" s="998"/>
      <c r="V8" s="999"/>
      <c r="W8" s="997"/>
      <c r="X8" s="998"/>
      <c r="Y8" s="999"/>
      <c r="Z8" s="1000"/>
      <c r="AA8" s="998"/>
      <c r="AB8" s="999"/>
    </row>
    <row r="9" spans="1:28" hidden="1">
      <c r="B9" s="995"/>
      <c r="C9" s="752"/>
      <c r="D9" s="1001"/>
      <c r="E9" s="1002"/>
      <c r="F9" s="1001"/>
      <c r="G9" s="1003"/>
      <c r="H9" s="1004"/>
      <c r="I9" s="1005"/>
      <c r="J9" s="1006"/>
      <c r="K9" s="1002"/>
      <c r="L9" s="1001"/>
      <c r="M9" s="1003"/>
      <c r="N9" s="1004"/>
      <c r="O9" s="1005"/>
      <c r="P9" s="1006"/>
      <c r="Q9" s="1002"/>
      <c r="R9" s="1001"/>
      <c r="S9" s="1003"/>
      <c r="T9" s="1004"/>
      <c r="U9" s="1005"/>
      <c r="V9" s="1006"/>
      <c r="W9" s="1002"/>
      <c r="X9" s="1001"/>
      <c r="Y9" s="1003"/>
      <c r="Z9" s="1004"/>
      <c r="AA9" s="1005"/>
      <c r="AB9" s="1006"/>
    </row>
    <row r="10" spans="1:28">
      <c r="B10" s="995">
        <v>1</v>
      </c>
      <c r="C10" s="1001" t="s">
        <v>1030</v>
      </c>
      <c r="D10" s="1001"/>
      <c r="E10" s="1007"/>
      <c r="F10" s="1008"/>
      <c r="G10" s="1009"/>
      <c r="H10" s="1004"/>
      <c r="I10" s="1010"/>
      <c r="J10" s="1011"/>
      <c r="K10" s="1007"/>
      <c r="L10" s="1008"/>
      <c r="M10" s="1009"/>
      <c r="N10" s="1004"/>
      <c r="O10" s="1010"/>
      <c r="P10" s="1011"/>
      <c r="Q10" s="1007"/>
      <c r="R10" s="1008"/>
      <c r="S10" s="1009"/>
      <c r="T10" s="1004"/>
      <c r="U10" s="1010"/>
      <c r="V10" s="1011"/>
      <c r="W10" s="1007"/>
      <c r="X10" s="1008"/>
      <c r="Y10" s="1009"/>
      <c r="Z10" s="1004"/>
      <c r="AA10" s="1010"/>
      <c r="AB10" s="1011"/>
    </row>
    <row r="11" spans="1:28">
      <c r="B11" s="995"/>
      <c r="C11" s="1001"/>
      <c r="D11" s="1012"/>
      <c r="E11" s="1013"/>
      <c r="F11" s="1014"/>
      <c r="G11" s="1015"/>
      <c r="H11" s="1004"/>
      <c r="I11" s="1016"/>
      <c r="J11" s="1017"/>
      <c r="K11" s="1013"/>
      <c r="L11" s="1014"/>
      <c r="M11" s="1015"/>
      <c r="N11" s="1004"/>
      <c r="O11" s="1016"/>
      <c r="P11" s="1017"/>
      <c r="Q11" s="1013"/>
      <c r="R11" s="1014"/>
      <c r="S11" s="1015"/>
      <c r="T11" s="1004"/>
      <c r="U11" s="1016"/>
      <c r="V11" s="1017"/>
      <c r="W11" s="1013"/>
      <c r="X11" s="1014"/>
      <c r="Y11" s="1015"/>
      <c r="Z11" s="1004"/>
      <c r="AA11" s="1016"/>
      <c r="AB11" s="1017"/>
    </row>
    <row r="12" spans="1:28" s="1018" customFormat="1" ht="15.75">
      <c r="B12" s="1019">
        <v>2</v>
      </c>
      <c r="C12" s="1020"/>
      <c r="D12" s="1021" t="s">
        <v>1031</v>
      </c>
      <c r="E12" s="1022">
        <v>5844307.1458140071</v>
      </c>
      <c r="F12" s="1023"/>
      <c r="G12" s="1024">
        <f>E12</f>
        <v>5844307.1458140071</v>
      </c>
      <c r="H12" s="1025">
        <f>+G12/$G$36</f>
        <v>3.8528590854550265E-2</v>
      </c>
      <c r="I12" s="1026">
        <v>0.1</v>
      </c>
      <c r="J12" s="1027"/>
      <c r="K12" s="1022">
        <v>6010332.1761952639</v>
      </c>
      <c r="L12" s="1023"/>
      <c r="M12" s="1024">
        <f>K12</f>
        <v>6010332.1761952639</v>
      </c>
      <c r="N12" s="1025">
        <f>+M12/$G$36</f>
        <v>3.9623110753586606E-2</v>
      </c>
      <c r="O12" s="1026">
        <v>0.1</v>
      </c>
      <c r="P12" s="1027"/>
      <c r="Q12" s="1022">
        <v>6138583.4079991328</v>
      </c>
      <c r="R12" s="1023"/>
      <c r="S12" s="1024">
        <f>Q12</f>
        <v>6138583.4079991328</v>
      </c>
      <c r="T12" s="1025">
        <f>+S12/$G$36</f>
        <v>4.0468606911382245E-2</v>
      </c>
      <c r="U12" s="1026">
        <v>0.1</v>
      </c>
      <c r="V12" s="1027"/>
      <c r="W12" s="1022">
        <v>6431374.3274133746</v>
      </c>
      <c r="X12" s="1028"/>
      <c r="Y12" s="1029">
        <f>W12</f>
        <v>6431374.3274133746</v>
      </c>
      <c r="Z12" s="1030">
        <f>+Y12/$G$36</f>
        <v>4.2398830847014859E-2</v>
      </c>
      <c r="AA12" s="1031">
        <v>0.1</v>
      </c>
      <c r="AB12" s="1032"/>
    </row>
    <row r="13" spans="1:28" ht="15.75">
      <c r="B13" s="995">
        <v>3</v>
      </c>
      <c r="C13" s="1012"/>
      <c r="D13" s="752" t="s">
        <v>1032</v>
      </c>
      <c r="E13" s="1033"/>
      <c r="F13" s="1034">
        <f>'4.1 Program Budget - 2024-2027'!O182-SUM('8 Cap &amp; Target'!E12:E14,'8 Cap &amp; Target'!F14)</f>
        <v>5554899.0575283896</v>
      </c>
      <c r="G13" s="1035">
        <f>SUM(E13:F13)</f>
        <v>5554899.0575283896</v>
      </c>
      <c r="H13" s="1030">
        <f>+G13/$G$36</f>
        <v>3.6620668230815362E-2</v>
      </c>
      <c r="I13" s="1031"/>
      <c r="J13" s="1032">
        <v>0.1</v>
      </c>
      <c r="K13" s="1033"/>
      <c r="L13" s="1034">
        <f>'4.1 Program Budget - 2024-2027'!AG182-SUM('8 Cap &amp; Target'!K12:K14,'8 Cap &amp; Target'!L14)</f>
        <v>5505041.2251813887</v>
      </c>
      <c r="M13" s="1035">
        <f>SUM(K13:L13)</f>
        <v>5505041.2251813887</v>
      </c>
      <c r="N13" s="1030">
        <f>+M13/$G$36</f>
        <v>3.6291980505227861E-2</v>
      </c>
      <c r="O13" s="1031"/>
      <c r="P13" s="1032">
        <v>0.1</v>
      </c>
      <c r="Q13" s="1033"/>
      <c r="R13" s="1034">
        <f>'4.1 Program Budget - 2024-2027'!AY182-SUM('8 Cap &amp; Target'!Q12:Q14,'8 Cap &amp; Target'!R14)</f>
        <v>5448443.2134680282</v>
      </c>
      <c r="S13" s="1035">
        <f>SUM(Q13:R13)</f>
        <v>5448443.2134680282</v>
      </c>
      <c r="T13" s="1030">
        <f>+S13/$G$36</f>
        <v>3.5918858151785672E-2</v>
      </c>
      <c r="U13" s="1031"/>
      <c r="V13" s="1032">
        <v>0.1</v>
      </c>
      <c r="W13" s="1033"/>
      <c r="X13" s="1034">
        <f>'4.1 Program Budget - 2024-2027'!BQ182-SUM('8 Cap &amp; Target'!W12:W14,'8 Cap &amp; Target'!X14)</f>
        <v>5395495.0759733375</v>
      </c>
      <c r="Y13" s="1035">
        <f>SUM(W13:X13)</f>
        <v>5395495.0759733375</v>
      </c>
      <c r="Z13" s="1030">
        <f>+Y13/$G$36</f>
        <v>3.5569797591629357E-2</v>
      </c>
      <c r="AA13" s="1031"/>
      <c r="AB13" s="1032">
        <v>0.1</v>
      </c>
    </row>
    <row r="14" spans="1:28" ht="15.75">
      <c r="B14" s="995">
        <v>4</v>
      </c>
      <c r="C14" s="1012"/>
      <c r="D14" s="752" t="s">
        <v>1033</v>
      </c>
      <c r="E14" s="1036">
        <f>SUMIFS('4.1 Program Budget - 2024-2027'!$O$6:$O$182,'4.1 Program Budget - 2024-2027'!$E$6:$E$182,"Yes",'4.1 Program Budget - 2024-2027'!$F$6:$F$182,README!$K$8)</f>
        <v>1597382.3455909383</v>
      </c>
      <c r="F14" s="1034">
        <f>SUMIFS('4.1 Program Budget - 2024-2027'!$O$6:$O$182,'4.1 Program Budget - 2024-2027'!$E$6:$E$182,"Yes",'4.1 Program Budget - 2024-2027'!$F$6:$F$182,"&lt;&gt;"&amp;README!$K$8)</f>
        <v>622500.2891783244</v>
      </c>
      <c r="G14" s="1035">
        <f>SUM(E14:F14)</f>
        <v>2219882.6347692627</v>
      </c>
      <c r="H14" s="1037"/>
      <c r="I14" s="1038"/>
      <c r="J14" s="1039"/>
      <c r="K14" s="1036">
        <f>SUMIFS('4.1 Program Budget - 2024-2027'!$AG$6:$AG$182,'4.1 Program Budget - 2024-2027'!$E$6:$E$182,"Yes",'4.1 Program Budget - 2024-2027'!$F$6:$F$182,README!$K$8)</f>
        <v>1634386.9871592717</v>
      </c>
      <c r="L14" s="1034">
        <f>SUMIFS('4.1 Program Budget - 2024-2027'!$AG$6:$AG$182,'4.1 Program Budget - 2024-2027'!$E$6:$E$182,"Yes",'4.1 Program Budget - 2024-2027'!$F$6:$F$182,"&lt;&gt;"&amp;README!$K$8)</f>
        <v>629902.44340447302</v>
      </c>
      <c r="M14" s="1035">
        <f>SUM(K14:L14)</f>
        <v>2264289.4305637446</v>
      </c>
      <c r="N14" s="1037"/>
      <c r="O14" s="1038"/>
      <c r="P14" s="1039"/>
      <c r="Q14" s="1036">
        <f>SUMIFS('4.1 Program Budget - 2024-2027'!$AY$6:$AY$182,'4.1 Program Budget - 2024-2027'!$E$6:$E$182,"Yes",'4.1 Program Budget - 2024-2027'!$F$6:$F$182,README!$K$8)</f>
        <v>1673394.5912378719</v>
      </c>
      <c r="R14" s="1034">
        <f>SUMIFS('4.1 Program Budget - 2024-2027'!$AY$6:$AY$182,'4.1 Program Budget - 2024-2027'!$E$6:$E$182,"Yes",'4.1 Program Budget - 2024-2027'!$F$6:$F$182,"&lt;&gt;"&amp;README!$K$8)</f>
        <v>643182.22441363952</v>
      </c>
      <c r="S14" s="1035">
        <f>SUM(Q14:R14)</f>
        <v>2316576.8156515113</v>
      </c>
      <c r="T14" s="1037"/>
      <c r="U14" s="1038"/>
      <c r="V14" s="1039"/>
      <c r="W14" s="1036">
        <f>SUMIFS('4.1 Program Budget - 2024-2027'!$BQ$6:$BQ$182,'4.1 Program Budget - 2024-2027'!$E$6:$E$182,"Yes",'4.1 Program Budget - 2024-2027'!$F$6:$F$182,README!$K$8)</f>
        <v>1724948.1638255878</v>
      </c>
      <c r="X14" s="1034">
        <f>SUMIFS('4.1 Program Budget - 2024-2027'!$BQ$6:$BQ$182,'4.1 Program Budget - 2024-2027'!$E$6:$E$182,"Yes",'4.1 Program Budget - 2024-2027'!$F$6:$F$182,"&lt;&gt;"&amp;README!$K$8)</f>
        <v>657191.15956516645</v>
      </c>
      <c r="Y14" s="1035">
        <f>SUM(W14:X14)</f>
        <v>2382139.3233907544</v>
      </c>
      <c r="Z14" s="1037"/>
      <c r="AA14" s="1038"/>
      <c r="AB14" s="1039"/>
    </row>
    <row r="15" spans="1:28">
      <c r="B15" s="995"/>
      <c r="C15" s="752"/>
      <c r="D15" s="752"/>
      <c r="E15" s="1013"/>
      <c r="F15" s="1040"/>
      <c r="G15" s="1041"/>
      <c r="H15" s="1042"/>
      <c r="I15" s="1043"/>
      <c r="J15" s="1044"/>
      <c r="K15" s="1013"/>
      <c r="L15" s="1040"/>
      <c r="M15" s="1041"/>
      <c r="N15" s="1045"/>
      <c r="O15" s="1046"/>
      <c r="P15" s="1047"/>
      <c r="Q15" s="1013"/>
      <c r="R15" s="1040"/>
      <c r="S15" s="1041"/>
      <c r="T15" s="1045"/>
      <c r="U15" s="1046"/>
      <c r="V15" s="1047"/>
      <c r="W15" s="1013"/>
      <c r="X15" s="1040"/>
      <c r="Y15" s="1041"/>
      <c r="Z15" s="1045"/>
      <c r="AA15" s="1046"/>
      <c r="AB15" s="1047"/>
    </row>
    <row r="16" spans="1:28" ht="15.75">
      <c r="B16" s="995">
        <v>5</v>
      </c>
      <c r="C16" s="1001" t="s">
        <v>1034</v>
      </c>
      <c r="D16" s="1012"/>
      <c r="E16" s="1013"/>
      <c r="F16" s="1014"/>
      <c r="G16" s="1009"/>
      <c r="H16" s="1004"/>
      <c r="I16" s="1016"/>
      <c r="J16" s="1017"/>
      <c r="K16" s="1013"/>
      <c r="L16" s="1014"/>
      <c r="M16" s="1009"/>
      <c r="N16" s="1048"/>
      <c r="O16" s="1049"/>
      <c r="P16" s="1050"/>
      <c r="Q16" s="1013"/>
      <c r="R16" s="1014"/>
      <c r="S16" s="1009"/>
      <c r="T16" s="1048"/>
      <c r="U16" s="1049"/>
      <c r="V16" s="1050"/>
      <c r="X16" s="1014"/>
      <c r="Y16" s="1009"/>
      <c r="Z16" s="1048"/>
      <c r="AA16" s="1049"/>
      <c r="AB16" s="1050"/>
    </row>
    <row r="17" spans="2:28">
      <c r="B17" s="995"/>
      <c r="C17" s="1001"/>
      <c r="D17" s="1012"/>
      <c r="E17" s="1013"/>
      <c r="F17" s="1014"/>
      <c r="G17" s="1015"/>
      <c r="H17" s="1048"/>
      <c r="I17" s="1049"/>
      <c r="J17" s="1050"/>
      <c r="K17" s="1013"/>
      <c r="L17" s="1014"/>
      <c r="M17" s="1015"/>
      <c r="N17" s="1048"/>
      <c r="O17" s="1049"/>
      <c r="P17" s="1050"/>
      <c r="Q17" s="1013"/>
      <c r="R17" s="1014"/>
      <c r="S17" s="1015"/>
      <c r="T17" s="1048"/>
      <c r="U17" s="1049"/>
      <c r="V17" s="1050"/>
      <c r="W17" s="1013"/>
      <c r="X17" s="1014"/>
      <c r="Y17" s="1015"/>
      <c r="Z17" s="1048"/>
      <c r="AA17" s="1049"/>
      <c r="AB17" s="1050"/>
    </row>
    <row r="18" spans="2:28">
      <c r="B18" s="995">
        <v>6</v>
      </c>
      <c r="C18" s="1001"/>
      <c r="D18" s="752" t="s">
        <v>1035</v>
      </c>
      <c r="E18" s="1036">
        <f>SUMIF('4.1 Program Budget - 2024-2027'!$F$7:$F$182,README!$K$8,'4.1 Program Budget - 2024-2027'!$P$7:$P$182)</f>
        <v>3346649.7713305559</v>
      </c>
      <c r="F18" s="1034">
        <f>'4.1 Program Budget - 2024-2027'!P182-E18</f>
        <v>3760561.928608547</v>
      </c>
      <c r="G18" s="1035">
        <f>SUM(E18:F18)</f>
        <v>7107211.6999391029</v>
      </c>
      <c r="H18" s="1030">
        <f>+G18/$G$36</f>
        <v>4.6854288262340574E-2</v>
      </c>
      <c r="I18" s="1031"/>
      <c r="J18" s="1032">
        <v>0.06</v>
      </c>
      <c r="K18" s="1036">
        <f>SUMIF('4.1 Program Budget - 2024-2027'!$F$7:$F$182,README!$K$8,'4.1 Program Budget - 2024-2027'!$AH$7:$AH$182)</f>
        <v>3320365.2336713909</v>
      </c>
      <c r="L18" s="1034">
        <f>'4.1 Program Budget - 2024-2027'!AH182-K18</f>
        <v>3701171.5924388212</v>
      </c>
      <c r="M18" s="1035">
        <f>SUM(K18:L18)</f>
        <v>7021536.8261102121</v>
      </c>
      <c r="N18" s="1030">
        <f>+M18/$G$36</f>
        <v>4.6289476715323769E-2</v>
      </c>
      <c r="O18" s="1031"/>
      <c r="P18" s="1032">
        <v>0.06</v>
      </c>
      <c r="Q18" s="1036">
        <f>SUMIF('4.1 Program Budget - 2024-2027'!$F$7:$F$182,README!$K$8,'4.1 Program Budget - 2024-2027'!$AZ$7:$AZ$182)</f>
        <v>3295308.1936541023</v>
      </c>
      <c r="R18" s="1034">
        <f>'4.1 Program Budget - 2024-2027'!AZ182-Q18</f>
        <v>3641393.260189509</v>
      </c>
      <c r="S18" s="1035">
        <f>SUM(Q18:R18)</f>
        <v>6936701.4538436113</v>
      </c>
      <c r="T18" s="1030">
        <f>+S18/$G$36</f>
        <v>4.5730199581781185E-2</v>
      </c>
      <c r="U18" s="1031"/>
      <c r="V18" s="1032">
        <v>0.06</v>
      </c>
      <c r="W18" s="1036">
        <f>SUMIF('4.1 Program Budget - 2024-2027'!$F$7:$F$182,README!$K$8,'4.1 Program Budget - 2024-2027'!$BR$7:$BR$182)</f>
        <v>3202000.15008992</v>
      </c>
      <c r="X18" s="1034">
        <f>'4.1 Program Budget - 2024-2027'!BR182-W18</f>
        <v>3604879.3012048346</v>
      </c>
      <c r="Y18" s="1035">
        <f>SUM(W18:X18)</f>
        <v>6806879.4512947546</v>
      </c>
      <c r="Z18" s="1030">
        <f>+Y18/$G$36</f>
        <v>4.4874348118925426E-2</v>
      </c>
      <c r="AA18" s="1031"/>
      <c r="AB18" s="1032">
        <v>0.06</v>
      </c>
    </row>
    <row r="19" spans="2:28" ht="15.75">
      <c r="B19" s="995">
        <v>7</v>
      </c>
      <c r="C19" s="1051"/>
      <c r="D19" s="752" t="s">
        <v>1036</v>
      </c>
      <c r="E19" s="1036">
        <f>'4.1 Program Budget - 2024-2027'!$S$206</f>
        <v>0</v>
      </c>
      <c r="F19" s="1052"/>
      <c r="G19" s="1035">
        <f>E19</f>
        <v>0</v>
      </c>
      <c r="H19" s="1037"/>
      <c r="I19" s="1053"/>
      <c r="J19" s="1054"/>
      <c r="K19" s="1036">
        <f>'4.1 Program Budget - 2024-2027'!$AK$206</f>
        <v>0</v>
      </c>
      <c r="L19" s="1052"/>
      <c r="M19" s="1035">
        <f>K19</f>
        <v>0</v>
      </c>
      <c r="N19" s="1037"/>
      <c r="O19" s="1053"/>
      <c r="P19" s="1054"/>
      <c r="Q19" s="1036">
        <f>'4.1 Program Budget - 2024-2027'!$BC$206</f>
        <v>0</v>
      </c>
      <c r="R19" s="1052"/>
      <c r="S19" s="1035">
        <f>Q19</f>
        <v>0</v>
      </c>
      <c r="T19" s="1037"/>
      <c r="U19" s="1053"/>
      <c r="V19" s="1054"/>
      <c r="W19" s="1036">
        <f>'4.1 Program Budget - 2024-2027'!$BU$206</f>
        <v>0</v>
      </c>
      <c r="X19" s="1052"/>
      <c r="Y19" s="1035">
        <f>W19</f>
        <v>0</v>
      </c>
      <c r="Z19" s="1037"/>
      <c r="AA19" s="1053"/>
      <c r="AB19" s="1054"/>
    </row>
    <row r="20" spans="2:28">
      <c r="B20" s="995"/>
      <c r="C20" s="752"/>
      <c r="D20" s="752"/>
      <c r="E20" s="1013"/>
      <c r="F20" s="1040"/>
      <c r="G20" s="1041"/>
      <c r="H20" s="1045"/>
      <c r="I20" s="1046"/>
      <c r="J20" s="1047"/>
      <c r="K20" s="1013"/>
      <c r="L20" s="1040"/>
      <c r="M20" s="1041"/>
      <c r="N20" s="1045"/>
      <c r="O20" s="1046"/>
      <c r="P20" s="1047"/>
      <c r="Q20" s="1013"/>
      <c r="R20" s="1040"/>
      <c r="S20" s="1041"/>
      <c r="T20" s="1045"/>
      <c r="U20" s="1046"/>
      <c r="V20" s="1047"/>
      <c r="W20" s="1013"/>
      <c r="X20" s="1040"/>
      <c r="Y20" s="1041"/>
      <c r="Z20" s="1045"/>
      <c r="AA20" s="1046"/>
      <c r="AB20" s="1047"/>
    </row>
    <row r="21" spans="2:28">
      <c r="B21" s="995">
        <v>8</v>
      </c>
      <c r="C21" s="1001" t="s">
        <v>1037</v>
      </c>
      <c r="D21" s="1012"/>
      <c r="E21" s="1013"/>
      <c r="F21" s="1014"/>
      <c r="G21" s="1015"/>
      <c r="H21" s="1004"/>
      <c r="I21" s="1016"/>
      <c r="J21" s="1017"/>
      <c r="K21" s="1013"/>
      <c r="L21" s="1014"/>
      <c r="M21" s="1015"/>
      <c r="N21" s="1048"/>
      <c r="O21" s="1049"/>
      <c r="P21" s="1050"/>
      <c r="Q21" s="1013"/>
      <c r="R21" s="1014"/>
      <c r="S21" s="1015"/>
      <c r="T21" s="1048"/>
      <c r="U21" s="1049"/>
      <c r="V21" s="1050"/>
      <c r="W21" s="1013"/>
      <c r="X21" s="1014"/>
      <c r="Y21" s="1015"/>
      <c r="Z21" s="1048"/>
      <c r="AA21" s="1049"/>
      <c r="AB21" s="1050"/>
    </row>
    <row r="22" spans="2:28">
      <c r="B22" s="995"/>
      <c r="C22" s="1001"/>
      <c r="D22" s="1012"/>
      <c r="E22" s="1013"/>
      <c r="F22" s="1014"/>
      <c r="G22" s="1015"/>
      <c r="H22" s="1048"/>
      <c r="I22" s="1049"/>
      <c r="J22" s="1050"/>
      <c r="K22" s="1013"/>
      <c r="L22" s="1014"/>
      <c r="M22" s="1015"/>
      <c r="N22" s="1048"/>
      <c r="O22" s="1049"/>
      <c r="P22" s="1050"/>
      <c r="Q22" s="1013"/>
      <c r="R22" s="1014"/>
      <c r="S22" s="1015"/>
      <c r="T22" s="1048"/>
      <c r="U22" s="1049"/>
      <c r="V22" s="1050"/>
      <c r="W22" s="1013"/>
      <c r="X22" s="1014"/>
      <c r="Y22" s="1015"/>
      <c r="Z22" s="1048"/>
      <c r="AA22" s="1049"/>
      <c r="AB22" s="1050"/>
    </row>
    <row r="23" spans="2:28" ht="28.5">
      <c r="B23" s="995">
        <v>9</v>
      </c>
      <c r="C23" s="1051"/>
      <c r="D23" s="984" t="s">
        <v>2302</v>
      </c>
      <c r="E23" s="1036">
        <f>SUMIFS('4.1 Program Budget - 2024-2027'!$R$6:$R$182,'4.1 Program Budget - 2024-2027'!$F$6:$F$182,README!$K$8)</f>
        <v>19611410.5</v>
      </c>
      <c r="F23" s="1034">
        <f>'4.1 Program Budget - 2024-2027'!R182-E23</f>
        <v>46617979.575366206</v>
      </c>
      <c r="G23" s="1035">
        <f>SUM(E23:F23)</f>
        <v>66229390.075366206</v>
      </c>
      <c r="H23" s="1037"/>
      <c r="I23" s="1053"/>
      <c r="J23" s="1054"/>
      <c r="K23" s="1036">
        <f>SUMIFS('4.1 Program Budget - 2024-2027'!$AJ$6:$AJ$182,'4.1 Program Budget - 2024-2027'!$F$6:$F$182,README!$K$8)</f>
        <v>19439039.5</v>
      </c>
      <c r="L23" s="1034">
        <f>'4.1 Program Budget - 2024-2027'!AJ182-K23</f>
        <v>46816612.161529884</v>
      </c>
      <c r="M23" s="1035">
        <f>SUM(K23:L23)</f>
        <v>66255651.661529884</v>
      </c>
      <c r="N23" s="1037"/>
      <c r="O23" s="1053"/>
      <c r="P23" s="1054"/>
      <c r="Q23" s="1036">
        <f>SUMIFS('4.1 Program Budget - 2024-2027'!$BB$6:$BB$182,'4.1 Program Budget - 2024-2027'!$F$6:$F$182,README!$K$8)</f>
        <v>19494794</v>
      </c>
      <c r="R23" s="1034">
        <f>'4.1 Program Budget - 2024-2027'!BB182-Q23</f>
        <v>46987023.996552348</v>
      </c>
      <c r="S23" s="1035">
        <f>SUM(Q23:R23)</f>
        <v>66481817.996552348</v>
      </c>
      <c r="T23" s="1037"/>
      <c r="U23" s="1053"/>
      <c r="V23" s="1054"/>
      <c r="W23" s="1036">
        <f>SUMIFS('4.1 Program Budget - 2024-2027'!$BT$6:$BT$182,'4.1 Program Budget - 2024-2027'!F6:F182,README!$K$8)</f>
        <v>20198267.5</v>
      </c>
      <c r="X23" s="1034">
        <f>'4.1 Program Budget - 2024-2027'!BT182-W23</f>
        <v>47187433.442655042</v>
      </c>
      <c r="Y23" s="1035">
        <f>SUM(W23:X23)</f>
        <v>67385700.942655042</v>
      </c>
      <c r="Z23" s="1037"/>
      <c r="AA23" s="1053"/>
      <c r="AB23" s="1054"/>
    </row>
    <row r="24" spans="2:28">
      <c r="B24" s="995"/>
      <c r="C24" s="1051"/>
      <c r="D24" s="752"/>
      <c r="E24" s="1055"/>
      <c r="F24" s="1040"/>
      <c r="G24" s="1041"/>
      <c r="H24" s="1045"/>
      <c r="I24" s="1046"/>
      <c r="J24" s="1047"/>
      <c r="K24" s="1055"/>
      <c r="L24" s="1040"/>
      <c r="M24" s="1041"/>
      <c r="N24" s="1045"/>
      <c r="O24" s="1046"/>
      <c r="P24" s="1047"/>
      <c r="Q24" s="1055"/>
      <c r="R24" s="1040"/>
      <c r="S24" s="1041"/>
      <c r="T24" s="1045"/>
      <c r="U24" s="1046"/>
      <c r="V24" s="1047"/>
      <c r="W24" s="1055"/>
      <c r="X24" s="1040"/>
      <c r="Y24" s="1041"/>
      <c r="Z24" s="1045"/>
      <c r="AA24" s="1046"/>
      <c r="AB24" s="1047"/>
    </row>
    <row r="25" spans="2:28" ht="28.5">
      <c r="B25" s="995">
        <v>10</v>
      </c>
      <c r="C25" s="1051"/>
      <c r="D25" s="1056" t="s">
        <v>2303</v>
      </c>
      <c r="E25" s="1036">
        <f>SUMIFS('4.1 Program Budget - 2024-2027'!$Q$6:$Q$182,'4.1 Program Budget - 2024-2027'!$E$6:$E$182,"No",'4.1 Program Budget - 2024-2027'!F6:F182,README!$K$8)</f>
        <v>7098333.7558438415</v>
      </c>
      <c r="F25" s="1034">
        <f>SUMIF('4.1 Program Budget - 2024-2027'!$E$6:$E$182,"No",'4.1 Program Budget - 2024-2027'!$Q$6:$Q$182)-E25</f>
        <v>38409961.743758552</v>
      </c>
      <c r="G25" s="1035">
        <f>SUM(E25:F25)</f>
        <v>45508295.499602392</v>
      </c>
      <c r="H25" s="1030">
        <f>+G25/$G$36</f>
        <v>0.30001340690110812</v>
      </c>
      <c r="I25" s="1031"/>
      <c r="J25" s="1032">
        <v>0.2</v>
      </c>
      <c r="K25" s="1036">
        <f>SUMIFS('4.1 Program Budget - 2024-2027'!$AI$6:$AI$182,'4.1 Program Budget - 2024-2027'!$E$6:$E$182,"No",'4.1 Program Budget - 2024-2027'!$F$6:$F$182,README!$K$8)</f>
        <v>7208292.8982106382</v>
      </c>
      <c r="L25" s="1034">
        <f>SUMIF('4.1 Program Budget - 2024-2027'!$E$6:$E$182,"No",'4.1 Program Budget - 2024-2027'!$AI$6:$AI$182)-K25</f>
        <v>38657400.870964654</v>
      </c>
      <c r="M25" s="1035">
        <f>SUM(K25:L25)</f>
        <v>45865693.769175291</v>
      </c>
      <c r="N25" s="1030">
        <f>+M25/$G$36</f>
        <v>0.30236955474839594</v>
      </c>
      <c r="O25" s="1031"/>
      <c r="P25" s="1032">
        <v>0.2</v>
      </c>
      <c r="Q25" s="1036">
        <f>SUMIFS('4.1 Program Budget - 2024-2027'!$BA$6:$BA$182,'4.1 Program Budget - 2024-2027'!$E$6:$E$182,"No",'4.1 Program Budget - 2024-2027'!$F$6:$F$182,README!$K$8)</f>
        <v>7101807.1265994441</v>
      </c>
      <c r="R25" s="1034">
        <f>SUMIF('4.1 Program Budget - 2024-2027'!$E$6:$E$182,"No",'4.1 Program Budget - 2024-2027'!$BA$6:$BA$182)-Q25</f>
        <v>38781318.134189092</v>
      </c>
      <c r="S25" s="1035">
        <f>SUM(Q25:R25)</f>
        <v>45883125.260788538</v>
      </c>
      <c r="T25" s="1030">
        <f>+S25/$G$36</f>
        <v>0.30248447184491312</v>
      </c>
      <c r="U25" s="1031"/>
      <c r="V25" s="1032">
        <v>0.2</v>
      </c>
      <c r="W25" s="1036">
        <f>SUMIFS('4.1 Program Budget - 2024-2027'!$BS$6:$BS$182,'4.1 Program Budget - 2024-2027'!$E$6:$E$182,"No",'4.1 Program Budget - 2024-2027'!$F$6:$F$182,README!$K$8)</f>
        <v>7266850.0557910353</v>
      </c>
      <c r="X25" s="1034">
        <f>SUMIF('4.1 Program Budget - 2024-2027'!$E$6:$E$182,"No",'4.1 Program Budget - 2024-2027'!$BS$6:$BS$182)-W25</f>
        <v>38847011.12278197</v>
      </c>
      <c r="Y25" s="1035">
        <f>SUM(W25:X25)</f>
        <v>46113861.178573005</v>
      </c>
      <c r="Z25" s="1030">
        <f>+Y25/$G$36</f>
        <v>0.30400559822481843</v>
      </c>
      <c r="AA25" s="1031"/>
      <c r="AB25" s="1032">
        <v>0.2</v>
      </c>
    </row>
    <row r="26" spans="2:28">
      <c r="B26" s="995"/>
      <c r="C26" s="1051"/>
      <c r="D26" s="752"/>
      <c r="E26" s="1055"/>
      <c r="F26" s="1057"/>
      <c r="G26" s="1041"/>
      <c r="H26" s="1048"/>
      <c r="I26" s="1046"/>
      <c r="J26" s="1047"/>
      <c r="K26" s="1055"/>
      <c r="L26" s="1057"/>
      <c r="M26" s="1041"/>
      <c r="N26" s="1048"/>
      <c r="O26" s="1046"/>
      <c r="P26" s="1047"/>
      <c r="Q26" s="1055"/>
      <c r="R26" s="1057"/>
      <c r="S26" s="1041"/>
      <c r="T26" s="1048"/>
      <c r="U26" s="1046"/>
      <c r="V26" s="1047"/>
      <c r="W26" s="1055"/>
      <c r="X26" s="1057"/>
      <c r="Y26" s="1041"/>
      <c r="Z26" s="1048"/>
      <c r="AA26" s="1046"/>
      <c r="AB26" s="1047"/>
    </row>
    <row r="27" spans="2:28" ht="44.25">
      <c r="B27" s="995">
        <v>11</v>
      </c>
      <c r="C27" s="1051"/>
      <c r="D27" s="984" t="s">
        <v>1038</v>
      </c>
      <c r="E27" s="1058">
        <f>SUMIFS('4.1 Program Budget - 2024-2027'!$Q$6:$Q$182,'4.1 Program Budget - 2024-2027'!$E$6:$E$182,"Yes",'4.1 Program Budget - 2024-2027'!$F$6:$F$182,README!$K$8)</f>
        <v>6091910.8885387955</v>
      </c>
      <c r="F27" s="1034">
        <f>SUMIF('4.1 Program Budget - 2024-2027'!$E$6:$E$182,"Yes",'4.1 Program Budget - 2024-2027'!$Q$6:$Q$182)-E27</f>
        <v>7064140.8856784208</v>
      </c>
      <c r="G27" s="1035">
        <f>SUM(E27:F27)</f>
        <v>13156051.774217216</v>
      </c>
      <c r="H27" s="1059"/>
      <c r="I27" s="1060"/>
      <c r="J27" s="1061"/>
      <c r="K27" s="1058">
        <f>SUMIFS('4.1 Program Budget - 2024-2027'!$AI$6:$AI$182,'4.1 Program Budget - 2024-2027'!$E$6:$E$182,"Yes",'4.1 Program Budget - 2024-2027'!$F$6:$F$182,README!$K$8)</f>
        <v>6196725.1586639695</v>
      </c>
      <c r="L27" s="1034">
        <f>SUMIF('4.1 Program Budget - 2024-2027'!$E$6:$E$182,"Yes",'4.1 Program Budget - 2024-2027'!$AI$6:$AI$182)-K27</f>
        <v>7086570.4229784068</v>
      </c>
      <c r="M27" s="1035">
        <f>SUM(K27:L27)</f>
        <v>13283295.581642376</v>
      </c>
      <c r="N27" s="1062"/>
      <c r="O27" s="1053"/>
      <c r="P27" s="1054"/>
      <c r="Q27" s="1058">
        <f>SUMIFS('4.1 Program Budget - 2024-2027'!$BA$6:$BA$182,'4.1 Program Budget - 2024-2027'!$E$6:$E$182,"Yes",'4.1 Program Budget - 2024-2027'!$F$6:$F$182,README!$K$8)</f>
        <v>6320104.0039978717</v>
      </c>
      <c r="R27" s="1034">
        <f>SUMIF('4.1 Program Budget - 2024-2027'!$E$6:$E$182,"Yes",'4.1 Program Budget - 2024-2027'!$BA$6:$BA$182)-Q27</f>
        <v>7442122.921469681</v>
      </c>
      <c r="S27" s="1035">
        <f>SUM(Q27:R27)</f>
        <v>13762226.925467553</v>
      </c>
      <c r="T27" s="1062"/>
      <c r="U27" s="1053"/>
      <c r="V27" s="1054"/>
      <c r="W27" s="1058">
        <f>SUMIFS('4.1 Program Budget - 2024-2027'!$BS$6:$BS$182,'4.1 Program Budget - 2024-2027'!$E$6:$E$182,"Yes",'4.1 Program Budget - 2024-2027'!$F$6:$F$182,README!$K$8)</f>
        <v>6454148.0291233016</v>
      </c>
      <c r="X27" s="1034">
        <f>SUMIF('4.1 Program Budget - 2024-2027'!$E$6:$E$182,"Yes",'4.1 Program Budget - 2024-2027'!$BS$6:$BS$182)-W27</f>
        <v>7472890.766720484</v>
      </c>
      <c r="Y27" s="1035">
        <f>SUM(W27:X27)</f>
        <v>13927038.795843786</v>
      </c>
      <c r="Z27" s="1062"/>
      <c r="AA27" s="1053"/>
      <c r="AB27" s="1054"/>
    </row>
    <row r="28" spans="2:28">
      <c r="B28" s="995"/>
      <c r="C28" s="752"/>
      <c r="D28" s="752"/>
      <c r="E28" s="1013"/>
      <c r="F28" s="1040"/>
      <c r="G28" s="1041"/>
      <c r="H28" s="1045"/>
      <c r="I28" s="1046"/>
      <c r="J28" s="1047"/>
      <c r="K28" s="1013"/>
      <c r="L28" s="1040"/>
      <c r="M28" s="1041"/>
      <c r="N28" s="1045"/>
      <c r="O28" s="1046"/>
      <c r="P28" s="1047"/>
      <c r="Q28" s="1013"/>
      <c r="R28" s="1040"/>
      <c r="S28" s="1041"/>
      <c r="T28" s="1045"/>
      <c r="U28" s="1046"/>
      <c r="V28" s="1047"/>
      <c r="W28" s="1013"/>
      <c r="X28" s="1040"/>
      <c r="Y28" s="1041"/>
      <c r="Z28" s="1045"/>
      <c r="AA28" s="1046"/>
      <c r="AB28" s="1047"/>
    </row>
    <row r="29" spans="2:28">
      <c r="B29" s="995">
        <v>12</v>
      </c>
      <c r="C29" s="1424" t="s">
        <v>1039</v>
      </c>
      <c r="D29" s="1424"/>
      <c r="E29" s="1058">
        <f>E30+E31</f>
        <v>6067501.5786348581</v>
      </c>
      <c r="F29" s="1063"/>
      <c r="G29" s="1035">
        <f>+E29</f>
        <v>6067501.5786348581</v>
      </c>
      <c r="H29" s="1030">
        <f>+G29/(G$33-G$19)</f>
        <v>0.04</v>
      </c>
      <c r="I29" s="1030">
        <v>0.04</v>
      </c>
      <c r="J29" s="1064"/>
      <c r="K29" s="1058">
        <f>K30+K31</f>
        <v>6091910.0279332595</v>
      </c>
      <c r="L29" s="1063"/>
      <c r="M29" s="1035">
        <f>+K29</f>
        <v>6091910.0279332595</v>
      </c>
      <c r="N29" s="1030">
        <f>+M29/(M$33-M$19)</f>
        <v>4.0000000000000022E-2</v>
      </c>
      <c r="O29" s="1030">
        <v>0.04</v>
      </c>
      <c r="P29" s="1064"/>
      <c r="Q29" s="1058">
        <f>Q30+Q31</f>
        <v>6123644.7947404468</v>
      </c>
      <c r="R29" s="1063"/>
      <c r="S29" s="1035">
        <f>+Q29</f>
        <v>6123644.7947404468</v>
      </c>
      <c r="T29" s="1030">
        <f>+S29/(S$33-S$19)</f>
        <v>0.04</v>
      </c>
      <c r="U29" s="1030">
        <v>0.04</v>
      </c>
      <c r="V29" s="1064"/>
      <c r="W29" s="1058">
        <f>W30+W31</f>
        <v>6185103.7122976705</v>
      </c>
      <c r="X29" s="1063"/>
      <c r="Y29" s="1035">
        <f>+W29</f>
        <v>6185103.7122976705</v>
      </c>
      <c r="Z29" s="1030">
        <f>+Y29/(Y$33-Y$19)</f>
        <v>4.0000000000000015E-2</v>
      </c>
      <c r="AA29" s="1030">
        <v>0.04</v>
      </c>
      <c r="AB29" s="1064"/>
    </row>
    <row r="30" spans="2:28">
      <c r="B30" s="995" t="s">
        <v>1040</v>
      </c>
      <c r="C30" s="1065"/>
      <c r="D30" s="984" t="s">
        <v>650</v>
      </c>
      <c r="E30" s="1036">
        <f>'4.1 Program Budget - 2024-2027'!S185</f>
        <v>1820250.4735904573</v>
      </c>
      <c r="F30" s="1063"/>
      <c r="G30" s="1035">
        <f>+E30</f>
        <v>1820250.4735904573</v>
      </c>
      <c r="H30" s="1037"/>
      <c r="I30" s="1066"/>
      <c r="J30" s="1067"/>
      <c r="K30" s="1036">
        <f>+'4.1 Program Budget - 2024-2027'!AK185</f>
        <v>1827573.0083799779</v>
      </c>
      <c r="L30" s="1063"/>
      <c r="M30" s="1035">
        <f>+K30</f>
        <v>1827573.0083799779</v>
      </c>
      <c r="N30" s="1037"/>
      <c r="O30" s="1066"/>
      <c r="P30" s="1067"/>
      <c r="Q30" s="1036">
        <f>+'4.1 Program Budget - 2024-2027'!BC185</f>
        <v>1837093.4384221339</v>
      </c>
      <c r="R30" s="1063"/>
      <c r="S30" s="1035">
        <f>+Q30</f>
        <v>1837093.4384221339</v>
      </c>
      <c r="T30" s="1037"/>
      <c r="U30" s="1066"/>
      <c r="V30" s="1067"/>
      <c r="W30" s="1036">
        <f>+'4.1 Program Budget - 2024-2027'!BU185</f>
        <v>1855531.1136893011</v>
      </c>
      <c r="X30" s="1063"/>
      <c r="Y30" s="1035">
        <f>+W30</f>
        <v>1855531.1136893011</v>
      </c>
      <c r="Z30" s="1037"/>
      <c r="AA30" s="1066"/>
      <c r="AB30" s="1067"/>
    </row>
    <row r="31" spans="2:28">
      <c r="B31" s="995" t="s">
        <v>1041</v>
      </c>
      <c r="C31" s="1065"/>
      <c r="D31" s="984" t="s">
        <v>651</v>
      </c>
      <c r="E31" s="1036">
        <f>'4.1 Program Budget - 2024-2027'!S186</f>
        <v>4247251.1050444003</v>
      </c>
      <c r="F31" s="1063"/>
      <c r="G31" s="1035">
        <f>+E31</f>
        <v>4247251.1050444003</v>
      </c>
      <c r="H31" s="1037"/>
      <c r="I31" s="1066"/>
      <c r="J31" s="1067"/>
      <c r="K31" s="1036">
        <f>+'4.1 Program Budget - 2024-2027'!AK186</f>
        <v>4264337.0195532814</v>
      </c>
      <c r="L31" s="1063"/>
      <c r="M31" s="1035">
        <f>+K31</f>
        <v>4264337.0195532814</v>
      </c>
      <c r="N31" s="1037"/>
      <c r="O31" s="1066"/>
      <c r="P31" s="1067"/>
      <c r="Q31" s="1036">
        <f>+'4.1 Program Budget - 2024-2027'!BC186</f>
        <v>4286551.3563183127</v>
      </c>
      <c r="R31" s="1063"/>
      <c r="S31" s="1035">
        <f>+Q31</f>
        <v>4286551.3563183127</v>
      </c>
      <c r="T31" s="1037"/>
      <c r="U31" s="1066"/>
      <c r="V31" s="1067"/>
      <c r="W31" s="1036">
        <f>+'4.1 Program Budget - 2024-2027'!BU186</f>
        <v>4329572.598608369</v>
      </c>
      <c r="X31" s="1063"/>
      <c r="Y31" s="1035">
        <f>+W31</f>
        <v>4329572.598608369</v>
      </c>
      <c r="Z31" s="1037"/>
      <c r="AA31" s="1066"/>
      <c r="AB31" s="1067"/>
    </row>
    <row r="32" spans="2:28">
      <c r="B32" s="995"/>
      <c r="C32" s="1001"/>
      <c r="D32" s="1012"/>
      <c r="E32" s="1013"/>
      <c r="F32" s="1014"/>
      <c r="G32" s="1015"/>
      <c r="H32" s="1048"/>
      <c r="I32" s="1049"/>
      <c r="J32" s="1050"/>
      <c r="K32" s="1013"/>
      <c r="L32" s="1014"/>
      <c r="M32" s="1015"/>
      <c r="N32" s="1048"/>
      <c r="O32" s="1049"/>
      <c r="P32" s="1050"/>
      <c r="Q32" s="1013"/>
      <c r="R32" s="1014"/>
      <c r="S32" s="1015"/>
      <c r="T32" s="1048"/>
      <c r="U32" s="1049"/>
      <c r="V32" s="1050"/>
      <c r="W32" s="1013"/>
      <c r="X32" s="1014"/>
      <c r="Y32" s="1015"/>
      <c r="Z32" s="1048"/>
      <c r="AA32" s="1049"/>
      <c r="AB32" s="1050"/>
    </row>
    <row r="33" spans="2:28" ht="32.450000000000003" customHeight="1">
      <c r="B33" s="995">
        <v>13</v>
      </c>
      <c r="C33" s="1426" t="s">
        <v>1042</v>
      </c>
      <c r="D33" s="1426"/>
      <c r="E33" s="1058">
        <f>E29+E27+E25+E23+E19+E18+E14+E13+E12</f>
        <v>49657495.985753007</v>
      </c>
      <c r="F33" s="1068">
        <f>+F27+F25+F23+F18+F14+F13</f>
        <v>102030043.48011844</v>
      </c>
      <c r="G33" s="1069">
        <f>F33+E33</f>
        <v>151687539.46587145</v>
      </c>
      <c r="H33" s="1037"/>
      <c r="I33" s="1070"/>
      <c r="J33" s="1071"/>
      <c r="K33" s="1058">
        <f>K29+K27+K25+K23+K19+K18+K14+K13+K12</f>
        <v>49901051.981833793</v>
      </c>
      <c r="L33" s="1068">
        <f>+L27+L25+L23+L18+L14+L13</f>
        <v>102396698.71649761</v>
      </c>
      <c r="M33" s="1069">
        <f>L33+K33</f>
        <v>152297750.69833142</v>
      </c>
      <c r="N33" s="1037"/>
      <c r="O33" s="1070"/>
      <c r="P33" s="1071"/>
      <c r="Q33" s="1058">
        <f>Q29+Q27+Q25+Q23+Q19+Q18+Q14+Q13+Q12</f>
        <v>50147636.118228875</v>
      </c>
      <c r="R33" s="1068">
        <f>+R27+R25+R23+R18+R14+R13</f>
        <v>102943483.75028229</v>
      </c>
      <c r="S33" s="1069">
        <f>R33+Q33</f>
        <v>153091119.86851117</v>
      </c>
      <c r="T33" s="1037"/>
      <c r="U33" s="1070"/>
      <c r="V33" s="1071"/>
      <c r="W33" s="1058">
        <f>W29+W27+W25+W23+W19+W18+W14+W13+W12</f>
        <v>51462691.938540883</v>
      </c>
      <c r="X33" s="1068">
        <f>+X27+X25+X23+X18+X14+X13</f>
        <v>103164900.86890082</v>
      </c>
      <c r="Y33" s="1069">
        <f>X33+W33</f>
        <v>154627592.80744171</v>
      </c>
      <c r="Z33" s="1037"/>
      <c r="AA33" s="1070"/>
      <c r="AB33" s="1071"/>
    </row>
    <row r="34" spans="2:28">
      <c r="B34" s="995"/>
      <c r="C34" s="1072"/>
      <c r="D34" s="1072"/>
      <c r="E34" s="1013"/>
      <c r="F34" s="1014"/>
      <c r="G34" s="1073"/>
      <c r="H34" s="1048"/>
      <c r="I34" s="1049"/>
      <c r="J34" s="1050"/>
      <c r="K34" s="1013"/>
      <c r="L34" s="1014"/>
      <c r="M34" s="1073"/>
      <c r="N34" s="1004"/>
      <c r="O34" s="1016"/>
      <c r="P34" s="1017"/>
      <c r="Q34" s="1013"/>
      <c r="R34" s="1014"/>
      <c r="S34" s="1073"/>
      <c r="T34" s="1048"/>
      <c r="U34" s="1049"/>
      <c r="V34" s="1050"/>
      <c r="W34" s="1013"/>
      <c r="X34" s="1014"/>
      <c r="Y34" s="1073"/>
      <c r="Z34" s="1048"/>
      <c r="AA34" s="1049"/>
      <c r="AB34" s="1050"/>
    </row>
    <row r="35" spans="2:28">
      <c r="B35" s="1074"/>
      <c r="C35" s="1075"/>
      <c r="D35" s="1076"/>
      <c r="E35" s="1077"/>
      <c r="F35" s="1077"/>
      <c r="G35" s="1078"/>
      <c r="H35" s="1079"/>
      <c r="I35" s="1080"/>
      <c r="J35" s="1081"/>
      <c r="K35" s="1077"/>
      <c r="L35" s="1077"/>
      <c r="M35" s="1078"/>
      <c r="N35" s="1079"/>
      <c r="O35" s="1080"/>
      <c r="P35" s="1081"/>
      <c r="Q35" s="1077"/>
      <c r="R35" s="1077"/>
      <c r="S35" s="1078"/>
      <c r="T35" s="1082"/>
      <c r="U35" s="1083"/>
      <c r="V35" s="1084"/>
      <c r="W35" s="1077"/>
      <c r="X35" s="1077"/>
      <c r="Y35" s="1078"/>
      <c r="Z35" s="1082"/>
      <c r="AA35" s="1083"/>
      <c r="AB35" s="1084"/>
    </row>
    <row r="36" spans="2:28" ht="28.15" customHeight="1">
      <c r="B36" s="995">
        <v>14</v>
      </c>
      <c r="C36" s="1427" t="s">
        <v>1043</v>
      </c>
      <c r="D36" s="1427"/>
      <c r="E36" s="1085"/>
      <c r="F36" s="1085"/>
      <c r="G36" s="1069">
        <f>+G33</f>
        <v>151687539.46587145</v>
      </c>
      <c r="H36" s="1086"/>
      <c r="I36" s="1016"/>
      <c r="J36" s="1017"/>
      <c r="K36" s="1085"/>
      <c r="L36" s="1085"/>
      <c r="M36" s="1069">
        <f>M33</f>
        <v>152297750.69833142</v>
      </c>
      <c r="N36" s="1086"/>
      <c r="O36" s="1016"/>
      <c r="P36" s="1017"/>
      <c r="Q36" s="1085"/>
      <c r="R36" s="1085"/>
      <c r="S36" s="1069">
        <f>S33</f>
        <v>153091119.86851117</v>
      </c>
      <c r="T36" s="1087"/>
      <c r="U36" s="1049"/>
      <c r="V36" s="1050"/>
      <c r="W36" s="1085"/>
      <c r="X36" s="1085"/>
      <c r="Y36" s="1069">
        <f>+Y33</f>
        <v>154627592.80744171</v>
      </c>
      <c r="Z36" s="1087"/>
      <c r="AA36" s="1049"/>
      <c r="AB36" s="1050"/>
    </row>
    <row r="37" spans="2:28">
      <c r="B37" s="995"/>
      <c r="C37" s="752"/>
      <c r="D37" s="1088"/>
      <c r="E37" s="1014"/>
      <c r="F37" s="1014"/>
      <c r="G37" s="1089"/>
      <c r="H37" s="1004"/>
      <c r="I37" s="1016"/>
      <c r="J37" s="1017"/>
      <c r="K37" s="1014"/>
      <c r="L37" s="1014"/>
      <c r="M37" s="1089"/>
      <c r="N37" s="1048"/>
      <c r="O37" s="1049"/>
      <c r="P37" s="1050"/>
      <c r="Q37" s="1014"/>
      <c r="R37" s="1014"/>
      <c r="S37" s="1089"/>
      <c r="T37" s="1048"/>
      <c r="U37" s="1049"/>
      <c r="V37" s="1050"/>
      <c r="W37" s="1014"/>
      <c r="X37" s="1014"/>
      <c r="Y37" s="1089"/>
      <c r="Z37" s="1048"/>
      <c r="AA37" s="1049"/>
      <c r="AB37" s="1050"/>
    </row>
    <row r="38" spans="2:28" s="1018" customFormat="1" ht="51" customHeight="1">
      <c r="B38" s="1019">
        <v>15</v>
      </c>
      <c r="C38" s="1425" t="s">
        <v>1044</v>
      </c>
      <c r="D38" s="1425"/>
      <c r="E38" s="1090"/>
      <c r="F38" s="1091">
        <f>F33</f>
        <v>102030043.48011844</v>
      </c>
      <c r="G38" s="1092"/>
      <c r="H38" s="1093">
        <f>F38/(G$36-G$19)</f>
        <v>0.67263299173676971</v>
      </c>
      <c r="I38" s="1094"/>
      <c r="J38" s="1095">
        <v>0.6</v>
      </c>
      <c r="K38" s="1090"/>
      <c r="L38" s="1091">
        <f>L33</f>
        <v>102396698.71649761</v>
      </c>
      <c r="M38" s="1092"/>
      <c r="N38" s="1093">
        <f>L38/(M$36-M$19)</f>
        <v>0.67234544336326485</v>
      </c>
      <c r="O38" s="1096"/>
      <c r="P38" s="1064">
        <v>0.6</v>
      </c>
      <c r="Q38" s="1090"/>
      <c r="R38" s="1091">
        <f>R33</f>
        <v>102943483.75028229</v>
      </c>
      <c r="S38" s="1092"/>
      <c r="T38" s="1093">
        <f>R38/(S$36-S$19)</f>
        <v>0.67243275663996505</v>
      </c>
      <c r="U38" s="1096"/>
      <c r="V38" s="1064">
        <v>0.6</v>
      </c>
      <c r="W38" s="1090"/>
      <c r="X38" s="1091">
        <f>X33</f>
        <v>103164900.86890082</v>
      </c>
      <c r="Y38" s="1092"/>
      <c r="Z38" s="1093">
        <f>X38/(Y$36-Y$19)</f>
        <v>0.66718299752213328</v>
      </c>
      <c r="AA38" s="1096"/>
      <c r="AB38" s="1064">
        <v>0.6</v>
      </c>
    </row>
    <row r="39" spans="2:28">
      <c r="B39" s="1097"/>
      <c r="C39" s="1098"/>
      <c r="D39" s="1098"/>
      <c r="E39" s="1099"/>
      <c r="F39" s="1099"/>
      <c r="G39" s="1100"/>
      <c r="H39" s="1101"/>
      <c r="I39" s="1102"/>
      <c r="J39" s="1103"/>
      <c r="K39" s="1099"/>
      <c r="L39" s="1099"/>
      <c r="M39" s="1100"/>
      <c r="N39" s="1104"/>
      <c r="O39" s="1105"/>
      <c r="P39" s="1106"/>
      <c r="Q39" s="1099"/>
      <c r="R39" s="1099"/>
      <c r="S39" s="1100"/>
      <c r="T39" s="1104"/>
      <c r="U39" s="1105"/>
      <c r="V39" s="1106"/>
      <c r="W39" s="1099"/>
      <c r="X39" s="1099"/>
      <c r="Y39" s="1100"/>
      <c r="Z39" s="1104"/>
      <c r="AA39" s="1105"/>
      <c r="AB39" s="1106"/>
    </row>
    <row r="40" spans="2:28">
      <c r="B40" s="752"/>
      <c r="C40" s="752"/>
      <c r="D40" s="752"/>
      <c r="E40" s="1107"/>
      <c r="F40" s="1107"/>
      <c r="G40" s="1107"/>
      <c r="H40" s="1108"/>
      <c r="I40" s="1108"/>
      <c r="J40" s="752"/>
      <c r="K40" s="1107"/>
      <c r="L40" s="1107"/>
      <c r="M40" s="1107"/>
      <c r="N40" s="1109"/>
      <c r="O40" s="1109"/>
      <c r="P40" s="1110"/>
      <c r="Q40" s="1107"/>
      <c r="R40" s="1107"/>
      <c r="S40" s="1107"/>
      <c r="T40" s="1109"/>
      <c r="U40" s="1109"/>
      <c r="V40" s="1110"/>
      <c r="W40" s="1107"/>
      <c r="X40" s="1107"/>
      <c r="Y40" s="1107"/>
      <c r="Z40" s="1109"/>
      <c r="AA40" s="1109"/>
      <c r="AB40" s="1110"/>
    </row>
    <row r="41" spans="2:28">
      <c r="D41" s="752"/>
      <c r="E41" s="1107"/>
      <c r="F41" s="1107"/>
      <c r="G41" s="1107"/>
      <c r="H41" s="1108"/>
      <c r="I41" s="1108"/>
      <c r="J41" s="752"/>
      <c r="K41" s="1107"/>
      <c r="L41" s="1107"/>
      <c r="M41" s="1107"/>
      <c r="N41" s="1109"/>
      <c r="O41" s="1109"/>
      <c r="P41" s="1110"/>
      <c r="Q41" s="1107"/>
      <c r="R41" s="1107"/>
      <c r="S41" s="1107"/>
      <c r="T41" s="1109"/>
      <c r="U41" s="1109"/>
      <c r="V41" s="1110"/>
      <c r="W41" s="1107"/>
      <c r="X41" s="1107"/>
      <c r="Y41" s="1107"/>
      <c r="Z41" s="1109"/>
      <c r="AA41" s="1109"/>
      <c r="AB41" s="1110"/>
    </row>
    <row r="42" spans="2:28">
      <c r="C42" s="1111" t="s">
        <v>1045</v>
      </c>
      <c r="D42" s="1112"/>
      <c r="E42" s="1113"/>
      <c r="F42" s="1113"/>
      <c r="G42" s="1113"/>
      <c r="H42" s="1114"/>
      <c r="I42" s="1114"/>
      <c r="J42" s="1112"/>
      <c r="K42" s="1113"/>
      <c r="L42" s="1113"/>
      <c r="M42" s="1113"/>
      <c r="N42" s="1115"/>
      <c r="O42" s="1115"/>
      <c r="P42" s="1116"/>
      <c r="Q42" s="1113"/>
      <c r="R42" s="1113"/>
      <c r="S42" s="1113"/>
      <c r="T42" s="1115"/>
      <c r="U42" s="1115"/>
      <c r="V42" s="1116"/>
      <c r="W42" s="1113"/>
      <c r="X42" s="1113"/>
      <c r="Y42" s="1113"/>
      <c r="Z42" s="1115"/>
      <c r="AA42" s="1115"/>
      <c r="AB42" s="1117"/>
    </row>
    <row r="43" spans="2:28">
      <c r="B43" s="752"/>
      <c r="C43" s="1118" t="s">
        <v>1046</v>
      </c>
      <c r="E43" s="1024">
        <v>11244465.145814007</v>
      </c>
      <c r="F43" s="1023"/>
      <c r="G43" s="1024">
        <f>E43</f>
        <v>11244465.145814007</v>
      </c>
      <c r="H43" s="1025">
        <f>G43/G44</f>
        <v>7.1580813311347677E-2</v>
      </c>
      <c r="I43" s="1119">
        <v>0.1</v>
      </c>
      <c r="J43" s="1120"/>
      <c r="K43" s="1024">
        <v>11558404.176195264</v>
      </c>
      <c r="L43" s="1023"/>
      <c r="M43" s="1024">
        <f>K43</f>
        <v>11558404.176195264</v>
      </c>
      <c r="N43" s="1025">
        <f>M43/M44</f>
        <v>7.3225911073270672E-2</v>
      </c>
      <c r="O43" s="1026">
        <v>0.1</v>
      </c>
      <c r="P43" s="1027"/>
      <c r="Q43" s="1024">
        <v>11842011.407999132</v>
      </c>
      <c r="R43" s="1023"/>
      <c r="S43" s="1024">
        <f>Q43</f>
        <v>11842011.407999132</v>
      </c>
      <c r="T43" s="1025">
        <f>S43/S44</f>
        <v>7.457442063945946E-2</v>
      </c>
      <c r="U43" s="1026">
        <v>0.1</v>
      </c>
      <c r="V43" s="1027"/>
      <c r="W43" s="1024">
        <v>12296195.327413375</v>
      </c>
      <c r="X43" s="1023"/>
      <c r="Y43" s="1024">
        <f>W43</f>
        <v>12296195.327413375</v>
      </c>
      <c r="Z43" s="1030">
        <f>Y43/Y44</f>
        <v>7.6615430198254175E-2</v>
      </c>
      <c r="AA43" s="1031">
        <v>0.1</v>
      </c>
      <c r="AB43" s="1121"/>
    </row>
    <row r="44" spans="2:28" ht="31.5" customHeight="1">
      <c r="B44" s="752"/>
      <c r="C44" s="1428" t="s">
        <v>1047</v>
      </c>
      <c r="D44" s="1429"/>
      <c r="E44" s="1122"/>
      <c r="F44" s="1122"/>
      <c r="G44" s="1123">
        <v>157087697.46587145</v>
      </c>
      <c r="H44" s="1124"/>
      <c r="I44" s="1125"/>
      <c r="J44" s="1126"/>
      <c r="K44" s="1122"/>
      <c r="L44" s="1122"/>
      <c r="M44" s="1123">
        <v>157845822.69833139</v>
      </c>
      <c r="N44" s="1127"/>
      <c r="O44" s="1128"/>
      <c r="P44" s="1129"/>
      <c r="Q44" s="1122"/>
      <c r="R44" s="1122"/>
      <c r="S44" s="1123">
        <v>158794547.86851117</v>
      </c>
      <c r="T44" s="1127"/>
      <c r="U44" s="1128"/>
      <c r="V44" s="1129"/>
      <c r="W44" s="1122"/>
      <c r="X44" s="1122"/>
      <c r="Y44" s="1123">
        <v>160492413.80744171</v>
      </c>
      <c r="Z44" s="1130"/>
      <c r="AA44" s="1131"/>
      <c r="AB44" s="1132"/>
    </row>
    <row r="45" spans="2:28" customFormat="1" ht="31.5" customHeight="1"/>
    <row r="46" spans="2:28">
      <c r="B46" s="1133" t="s">
        <v>297</v>
      </c>
      <c r="C46" s="1012"/>
      <c r="D46" s="1134"/>
      <c r="E46" s="1134"/>
      <c r="F46" s="1134"/>
      <c r="G46" s="1135"/>
      <c r="H46" s="1134"/>
      <c r="I46" s="1134"/>
      <c r="J46" s="1134"/>
      <c r="K46" s="1134"/>
      <c r="L46" s="1133"/>
      <c r="M46" s="1012"/>
      <c r="N46" s="1134"/>
      <c r="O46" s="1134"/>
      <c r="P46" s="1134"/>
      <c r="Q46" s="1135"/>
      <c r="R46" s="1134"/>
      <c r="S46" s="1134"/>
      <c r="T46" s="1134"/>
      <c r="U46" s="1134"/>
      <c r="V46" s="1134"/>
      <c r="W46" s="1134"/>
      <c r="X46" s="1134"/>
      <c r="Y46" s="1135"/>
      <c r="Z46" s="1134"/>
      <c r="AA46" s="1134"/>
      <c r="AB46" s="1134"/>
    </row>
    <row r="47" spans="2:28">
      <c r="B47" s="1420" t="s">
        <v>1048</v>
      </c>
      <c r="C47" s="1420"/>
      <c r="D47" s="1420"/>
      <c r="E47" s="1420"/>
      <c r="F47" s="1420"/>
      <c r="G47" s="1420"/>
      <c r="H47" s="1420"/>
      <c r="I47" s="1420"/>
      <c r="J47" s="1420"/>
      <c r="L47" s="1136"/>
      <c r="M47" s="1136"/>
      <c r="N47" s="1136"/>
      <c r="O47" s="1136"/>
      <c r="P47" s="1136"/>
      <c r="Q47" s="1136"/>
      <c r="R47" s="1136"/>
      <c r="S47" s="1136"/>
      <c r="T47" s="1136"/>
    </row>
    <row r="48" spans="2:28">
      <c r="B48" s="1305" t="s">
        <v>1049</v>
      </c>
      <c r="C48" s="1305"/>
      <c r="D48" s="1305"/>
      <c r="E48" s="1305"/>
      <c r="F48" s="1305"/>
      <c r="G48" s="1305"/>
      <c r="H48" s="1305"/>
      <c r="I48" s="1305"/>
      <c r="J48" s="1305"/>
      <c r="L48" s="1137"/>
      <c r="M48" s="1137"/>
      <c r="N48" s="1137"/>
      <c r="O48" s="1137"/>
      <c r="P48" s="1137"/>
      <c r="Q48" s="1137"/>
      <c r="R48" s="1137"/>
      <c r="S48" s="1137"/>
      <c r="T48" s="1137"/>
    </row>
    <row r="49" spans="2:20">
      <c r="B49" s="1305" t="s">
        <v>1050</v>
      </c>
      <c r="C49" s="1305"/>
      <c r="D49" s="1305"/>
      <c r="E49" s="1305"/>
      <c r="F49" s="1305"/>
      <c r="G49" s="1305"/>
      <c r="H49" s="1305"/>
      <c r="I49" s="1305"/>
      <c r="J49" s="1305"/>
      <c r="L49" s="1137"/>
      <c r="M49" s="1137"/>
      <c r="N49" s="1137"/>
      <c r="O49" s="1137"/>
      <c r="P49" s="1137"/>
      <c r="Q49" s="1137"/>
      <c r="R49" s="1137"/>
      <c r="S49" s="1137"/>
      <c r="T49" s="1137"/>
    </row>
    <row r="50" spans="2:20">
      <c r="B50" s="1305" t="s">
        <v>1051</v>
      </c>
      <c r="C50" s="1305"/>
      <c r="D50" s="1305"/>
      <c r="E50" s="1305"/>
      <c r="F50" s="1305"/>
      <c r="G50" s="1305"/>
      <c r="H50" s="1305"/>
      <c r="I50" s="1305"/>
      <c r="J50" s="1305"/>
      <c r="L50" s="1430"/>
      <c r="M50" s="1430"/>
      <c r="N50" s="1430"/>
      <c r="O50" s="1430"/>
      <c r="P50" s="1430"/>
      <c r="Q50" s="1430"/>
      <c r="R50" s="1430"/>
      <c r="S50" s="1430"/>
      <c r="T50" s="1430"/>
    </row>
    <row r="51" spans="2:20">
      <c r="B51" s="1306" t="s">
        <v>1052</v>
      </c>
      <c r="C51" s="1306"/>
      <c r="D51" s="1306"/>
      <c r="E51" s="1306"/>
      <c r="F51" s="1306"/>
      <c r="G51" s="1306"/>
      <c r="H51" s="1306"/>
      <c r="I51" s="1306"/>
      <c r="J51" s="1306"/>
      <c r="L51" s="1138"/>
      <c r="M51" s="1138"/>
      <c r="N51" s="1138"/>
      <c r="O51" s="1138"/>
      <c r="P51" s="1138"/>
      <c r="Q51" s="1138"/>
      <c r="R51" s="1138"/>
      <c r="S51" s="1138"/>
      <c r="T51" s="1138"/>
    </row>
    <row r="52" spans="2:20">
      <c r="B52" s="1305" t="s">
        <v>1053</v>
      </c>
      <c r="C52" s="1305"/>
      <c r="D52" s="1305"/>
      <c r="E52" s="1305"/>
      <c r="F52" s="1305"/>
      <c r="G52" s="1305"/>
      <c r="H52" s="1305"/>
      <c r="I52" s="1305"/>
      <c r="J52" s="1305"/>
      <c r="L52" s="1137"/>
      <c r="M52" s="1137"/>
      <c r="N52" s="1137"/>
      <c r="O52" s="1137"/>
      <c r="P52" s="1137"/>
      <c r="Q52" s="1137"/>
      <c r="R52" s="1137"/>
      <c r="S52" s="1137"/>
      <c r="T52" s="1137"/>
    </row>
    <row r="53" spans="2:20">
      <c r="B53" s="1306" t="s">
        <v>1054</v>
      </c>
      <c r="C53" s="1306"/>
      <c r="D53" s="1306"/>
      <c r="E53" s="1306"/>
      <c r="F53" s="1306"/>
      <c r="G53" s="1306"/>
      <c r="H53" s="1306"/>
      <c r="I53" s="1306"/>
      <c r="J53" s="1306"/>
      <c r="L53" s="1137"/>
      <c r="M53" s="1137"/>
      <c r="N53" s="1137"/>
      <c r="O53" s="1137"/>
      <c r="P53" s="1137"/>
      <c r="Q53" s="1137"/>
      <c r="R53" s="1137"/>
      <c r="S53" s="1137"/>
      <c r="T53" s="1137"/>
    </row>
    <row r="54" spans="2:20">
      <c r="B54" s="1305" t="s">
        <v>1055</v>
      </c>
      <c r="C54" s="1305"/>
      <c r="D54" s="1305"/>
      <c r="E54" s="1305"/>
      <c r="F54" s="1305"/>
      <c r="G54" s="1305"/>
      <c r="H54" s="1305"/>
      <c r="I54" s="1305"/>
      <c r="J54" s="1305"/>
      <c r="L54" s="1137"/>
      <c r="M54" s="1137"/>
      <c r="N54" s="1137"/>
      <c r="O54" s="1137"/>
      <c r="P54" s="1137"/>
      <c r="Q54" s="1137"/>
      <c r="R54" s="1137"/>
      <c r="S54" s="1137"/>
      <c r="T54" s="1137"/>
    </row>
    <row r="55" spans="2:20">
      <c r="B55" s="1306" t="s">
        <v>1056</v>
      </c>
      <c r="C55" s="1306"/>
      <c r="D55" s="1306"/>
      <c r="E55" s="1306"/>
      <c r="F55" s="1306"/>
      <c r="G55" s="1306"/>
      <c r="H55" s="1306"/>
      <c r="I55" s="1306"/>
      <c r="J55" s="1306"/>
      <c r="L55" s="1137"/>
      <c r="M55" s="1137"/>
      <c r="N55" s="1137"/>
      <c r="O55" s="1137"/>
      <c r="P55" s="1137"/>
      <c r="Q55" s="1137"/>
      <c r="R55" s="1137"/>
      <c r="S55" s="1137"/>
      <c r="T55" s="1137"/>
    </row>
    <row r="56" spans="2:20">
      <c r="B56" s="1305" t="s">
        <v>1057</v>
      </c>
      <c r="C56" s="1305"/>
      <c r="D56" s="1305"/>
      <c r="E56" s="1305"/>
      <c r="F56" s="1305"/>
      <c r="G56" s="1305"/>
      <c r="H56" s="1305"/>
      <c r="I56" s="1305"/>
      <c r="J56" s="1305"/>
      <c r="L56" s="1137"/>
      <c r="M56" s="1137"/>
      <c r="N56" s="1137"/>
      <c r="O56" s="1137"/>
      <c r="P56" s="1137"/>
      <c r="Q56" s="1137"/>
      <c r="R56" s="1137"/>
      <c r="S56" s="1137"/>
      <c r="T56" s="1137"/>
    </row>
    <row r="57" spans="2:20">
      <c r="B57" s="1305" t="s">
        <v>1058</v>
      </c>
      <c r="C57" s="1305"/>
      <c r="D57" s="1305"/>
      <c r="E57" s="1305"/>
      <c r="F57" s="1305"/>
      <c r="G57" s="1305"/>
      <c r="H57" s="1305"/>
      <c r="I57" s="1305"/>
      <c r="J57" s="1305"/>
      <c r="L57" s="1137"/>
      <c r="M57" s="1137"/>
      <c r="N57" s="1137"/>
      <c r="O57" s="1137"/>
      <c r="P57" s="1137"/>
      <c r="Q57" s="1137"/>
      <c r="R57" s="1137"/>
      <c r="S57" s="1137"/>
      <c r="T57" s="1137"/>
    </row>
    <row r="58" spans="2:20">
      <c r="B58" s="1306" t="s">
        <v>1059</v>
      </c>
      <c r="C58" s="1306"/>
      <c r="D58" s="1306"/>
      <c r="E58" s="1306"/>
      <c r="F58" s="1306"/>
      <c r="G58" s="1306"/>
      <c r="H58" s="1306"/>
      <c r="I58" s="1306"/>
      <c r="J58" s="1306"/>
      <c r="L58" s="1137"/>
      <c r="M58" s="1137"/>
      <c r="N58" s="1137"/>
      <c r="O58" s="1137"/>
      <c r="P58" s="1137"/>
      <c r="Q58" s="1137"/>
      <c r="R58" s="1137"/>
      <c r="S58" s="1137"/>
      <c r="T58" s="1137"/>
    </row>
  </sheetData>
  <mergeCells count="15">
    <mergeCell ref="L50:T50"/>
    <mergeCell ref="Q6:S6"/>
    <mergeCell ref="T6:V6"/>
    <mergeCell ref="W6:Y6"/>
    <mergeCell ref="Z6:AB6"/>
    <mergeCell ref="K6:M6"/>
    <mergeCell ref="N6:P6"/>
    <mergeCell ref="B47:J47"/>
    <mergeCell ref="E6:G6"/>
    <mergeCell ref="H6:J6"/>
    <mergeCell ref="C29:D29"/>
    <mergeCell ref="C38:D38"/>
    <mergeCell ref="C33:D33"/>
    <mergeCell ref="C36:D36"/>
    <mergeCell ref="C44:D44"/>
  </mergeCells>
  <pageMargins left="0.7" right="0.7" top="0.75" bottom="0.75" header="0.3" footer="0.3"/>
  <pageSetup paperSize="3" scale="6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64BCA-7FDC-4517-9575-BBEEFC04AE79}">
  <sheetPr codeName="Sheet14">
    <pageSetUpPr fitToPage="1"/>
  </sheetPr>
  <dimension ref="A1:D29"/>
  <sheetViews>
    <sheetView zoomScaleNormal="100" zoomScaleSheetLayoutView="55" workbookViewId="0"/>
  </sheetViews>
  <sheetFormatPr defaultColWidth="8.625" defaultRowHeight="14.25"/>
  <cols>
    <col min="1" max="1" width="20.75" style="728" customWidth="1"/>
    <col min="2" max="2" width="22.125" style="728" customWidth="1"/>
    <col min="3" max="3" width="15.625" style="728" customWidth="1"/>
    <col min="4" max="4" width="76.125" style="728" customWidth="1"/>
    <col min="5" max="16384" width="8.625" style="728"/>
  </cols>
  <sheetData>
    <row r="1" spans="1:4">
      <c r="A1" s="175" t="s">
        <v>98</v>
      </c>
      <c r="B1" s="176" t="str">
        <f>PA_NAME</f>
        <v>SoCalGas</v>
      </c>
      <c r="C1" s="107"/>
    </row>
    <row r="2" spans="1:4">
      <c r="A2" s="175" t="s">
        <v>99</v>
      </c>
      <c r="B2" s="176" t="str">
        <f>RPT_YEAR</f>
        <v>2024-2031</v>
      </c>
    </row>
    <row r="3" spans="1:4">
      <c r="A3" s="8" t="s">
        <v>1060</v>
      </c>
    </row>
    <row r="4" spans="1:4" hidden="1"/>
    <row r="5" spans="1:4" hidden="1"/>
    <row r="6" spans="1:4" ht="14.65" thickBot="1"/>
    <row r="7" spans="1:4" ht="28.9" thickBot="1">
      <c r="A7" s="740" t="s">
        <v>1061</v>
      </c>
      <c r="B7" s="741" t="s">
        <v>1062</v>
      </c>
      <c r="C7" s="740" t="s">
        <v>1063</v>
      </c>
      <c r="D7" s="741" t="s">
        <v>1064</v>
      </c>
    </row>
    <row r="8" spans="1:4" ht="71.25">
      <c r="A8" s="1435" t="s">
        <v>1065</v>
      </c>
      <c r="B8" s="1435" t="s">
        <v>1066</v>
      </c>
      <c r="C8" s="742" t="s">
        <v>1067</v>
      </c>
      <c r="D8" s="743" t="s">
        <v>1068</v>
      </c>
    </row>
    <row r="9" spans="1:4" ht="28.5">
      <c r="A9" s="1432"/>
      <c r="B9" s="1432"/>
      <c r="C9" s="742" t="s">
        <v>1069</v>
      </c>
      <c r="D9" s="744" t="s">
        <v>1070</v>
      </c>
    </row>
    <row r="10" spans="1:4" ht="85.5">
      <c r="A10" s="1431" t="s">
        <v>1071</v>
      </c>
      <c r="B10" s="1431" t="s">
        <v>1072</v>
      </c>
      <c r="C10" s="745" t="s">
        <v>1073</v>
      </c>
      <c r="D10" s="746" t="s">
        <v>1074</v>
      </c>
    </row>
    <row r="11" spans="1:4" ht="142.5">
      <c r="A11" s="1436"/>
      <c r="B11" s="1436"/>
      <c r="C11" s="742" t="s">
        <v>1075</v>
      </c>
      <c r="D11" s="743" t="s">
        <v>1076</v>
      </c>
    </row>
    <row r="12" spans="1:4" ht="28.5">
      <c r="A12" s="1436"/>
      <c r="B12" s="1436"/>
      <c r="C12" s="742" t="s">
        <v>1077</v>
      </c>
      <c r="D12" s="747"/>
    </row>
    <row r="13" spans="1:4" ht="28.5">
      <c r="A13" s="1437"/>
      <c r="B13" s="1437"/>
      <c r="C13" s="748" t="s">
        <v>1078</v>
      </c>
      <c r="D13" s="749" t="s">
        <v>1079</v>
      </c>
    </row>
    <row r="14" spans="1:4" ht="38.25" customHeight="1" thickBot="1">
      <c r="A14" s="1435" t="s">
        <v>1080</v>
      </c>
      <c r="B14" s="1435" t="s">
        <v>1081</v>
      </c>
      <c r="C14" s="742" t="s">
        <v>1082</v>
      </c>
      <c r="D14" s="1435" t="s">
        <v>1083</v>
      </c>
    </row>
    <row r="15" spans="1:4" ht="32.25" customHeight="1" thickBot="1">
      <c r="A15" s="1436"/>
      <c r="B15" s="1436"/>
      <c r="C15" s="742" t="s">
        <v>1084</v>
      </c>
      <c r="D15" s="1436"/>
    </row>
    <row r="16" spans="1:4" ht="28.5">
      <c r="A16" s="1436"/>
      <c r="B16" s="1432"/>
      <c r="C16" s="742" t="s">
        <v>1085</v>
      </c>
      <c r="D16" s="1432"/>
    </row>
    <row r="17" spans="1:4" ht="85.5" customHeight="1" thickBot="1">
      <c r="A17" s="750" t="s">
        <v>1086</v>
      </c>
      <c r="B17" s="749" t="s">
        <v>1087</v>
      </c>
      <c r="C17" s="748" t="s">
        <v>1088</v>
      </c>
      <c r="D17" s="751"/>
    </row>
    <row r="18" spans="1:4" ht="43.5" customHeight="1" thickBot="1">
      <c r="A18" s="748" t="s">
        <v>1089</v>
      </c>
      <c r="B18" s="749" t="s">
        <v>1090</v>
      </c>
      <c r="C18" s="748" t="s">
        <v>1089</v>
      </c>
      <c r="D18" s="751"/>
    </row>
    <row r="19" spans="1:4" ht="95.25" customHeight="1">
      <c r="A19" s="1435" t="s">
        <v>1091</v>
      </c>
      <c r="B19" s="1435" t="s">
        <v>1092</v>
      </c>
      <c r="C19" s="1438" t="s">
        <v>1093</v>
      </c>
      <c r="D19" s="1435" t="s">
        <v>1094</v>
      </c>
    </row>
    <row r="20" spans="1:4" ht="14.65" thickBot="1">
      <c r="A20" s="1432"/>
      <c r="B20" s="1432"/>
      <c r="C20" s="1439"/>
      <c r="D20" s="1432"/>
    </row>
    <row r="21" spans="1:4" ht="14.65" thickBot="1">
      <c r="A21" s="1431" t="s">
        <v>679</v>
      </c>
      <c r="B21" s="1433" t="s">
        <v>1095</v>
      </c>
      <c r="C21" s="742" t="s">
        <v>1096</v>
      </c>
      <c r="D21" s="747" t="s">
        <v>1097</v>
      </c>
    </row>
    <row r="22" spans="1:4" ht="28.5">
      <c r="A22" s="1432"/>
      <c r="B22" s="1434"/>
      <c r="C22" s="742" t="s">
        <v>1098</v>
      </c>
      <c r="D22" s="743" t="s">
        <v>1099</v>
      </c>
    </row>
    <row r="23" spans="1:4" ht="28.5">
      <c r="A23" s="1431" t="s">
        <v>1100</v>
      </c>
      <c r="B23" s="1431" t="s">
        <v>1101</v>
      </c>
      <c r="C23" s="742" t="s">
        <v>1102</v>
      </c>
      <c r="D23" s="743" t="s">
        <v>1103</v>
      </c>
    </row>
    <row r="24" spans="1:4" ht="28.5">
      <c r="A24" s="1432"/>
      <c r="B24" s="1432"/>
      <c r="C24" s="742" t="s">
        <v>1104</v>
      </c>
      <c r="D24" s="743" t="s">
        <v>1105</v>
      </c>
    </row>
    <row r="25" spans="1:4" ht="42.75">
      <c r="A25" s="742" t="s">
        <v>1106</v>
      </c>
      <c r="B25" s="743" t="s">
        <v>1107</v>
      </c>
      <c r="C25" s="742" t="s">
        <v>1108</v>
      </c>
      <c r="D25" s="747"/>
    </row>
    <row r="26" spans="1:4" ht="59.25" customHeight="1" thickBot="1">
      <c r="A26" s="1435" t="s">
        <v>1109</v>
      </c>
      <c r="B26" s="1435" t="s">
        <v>1110</v>
      </c>
      <c r="C26" s="742" t="s">
        <v>1111</v>
      </c>
      <c r="D26" s="1435" t="s">
        <v>1112</v>
      </c>
    </row>
    <row r="27" spans="1:4" ht="14.65" thickBot="1">
      <c r="A27" s="1432"/>
      <c r="B27" s="1432"/>
      <c r="C27" s="742" t="s">
        <v>1113</v>
      </c>
      <c r="D27" s="1432"/>
    </row>
    <row r="28" spans="1:4" ht="84.75" customHeight="1" thickBot="1">
      <c r="A28" s="748" t="s">
        <v>1114</v>
      </c>
      <c r="B28" s="749" t="s">
        <v>1115</v>
      </c>
      <c r="C28" s="748" t="s">
        <v>1114</v>
      </c>
      <c r="D28" s="751"/>
    </row>
    <row r="29" spans="1:4" ht="83.25" customHeight="1" thickBot="1">
      <c r="A29" s="742" t="s">
        <v>1116</v>
      </c>
      <c r="B29" s="743" t="s">
        <v>1117</v>
      </c>
      <c r="C29" s="748" t="s">
        <v>1116</v>
      </c>
      <c r="D29" s="751"/>
    </row>
  </sheetData>
  <mergeCells count="18">
    <mergeCell ref="A23:A24"/>
    <mergeCell ref="B23:B24"/>
    <mergeCell ref="A26:A27"/>
    <mergeCell ref="B26:B27"/>
    <mergeCell ref="D26:D27"/>
    <mergeCell ref="D14:D16"/>
    <mergeCell ref="A19:A20"/>
    <mergeCell ref="B19:B20"/>
    <mergeCell ref="C19:C20"/>
    <mergeCell ref="D19:D20"/>
    <mergeCell ref="A21:A22"/>
    <mergeCell ref="B21:B22"/>
    <mergeCell ref="A8:A9"/>
    <mergeCell ref="B8:B9"/>
    <mergeCell ref="A10:A13"/>
    <mergeCell ref="B10:B13"/>
    <mergeCell ref="A14:A16"/>
    <mergeCell ref="B14:B16"/>
  </mergeCells>
  <pageMargins left="0.7" right="0.7" top="0.75" bottom="0.75" header="0.3" footer="0.3"/>
  <pageSetup paperSize="3" scale="8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5F4F7-1DB7-4A5B-AB23-B33B48D0D83B}">
  <sheetPr codeName="Sheet15"/>
  <dimension ref="A1:AJ1006"/>
  <sheetViews>
    <sheetView view="pageBreakPreview" zoomScaleNormal="100" zoomScaleSheetLayoutView="100" workbookViewId="0">
      <pane xSplit="1" ySplit="7" topLeftCell="B8" activePane="bottomRight" state="frozen"/>
      <selection activeCell="A26" sqref="A26"/>
      <selection pane="topRight" activeCell="A26" sqref="A26"/>
      <selection pane="bottomLeft" activeCell="A26" sqref="A26"/>
      <selection pane="bottomRight"/>
    </sheetView>
  </sheetViews>
  <sheetFormatPr defaultColWidth="8.625" defaultRowHeight="14.25"/>
  <cols>
    <col min="1" max="1" width="31.125" style="963" customWidth="1"/>
    <col min="2" max="7" width="12.125" style="728" customWidth="1"/>
    <col min="8" max="8" width="13.125" style="728" bestFit="1" customWidth="1"/>
    <col min="9" max="9" width="13.25" style="728" bestFit="1" customWidth="1"/>
    <col min="10" max="11" width="12.125" style="728" customWidth="1"/>
    <col min="12" max="12" width="13.125" style="728" bestFit="1" customWidth="1"/>
    <col min="13" max="13" width="13.25" style="728" bestFit="1" customWidth="1"/>
    <col min="14" max="15" width="12.125" style="728" customWidth="1"/>
    <col min="16" max="16" width="13.125" style="728" bestFit="1" customWidth="1"/>
    <col min="17" max="17" width="13.25" style="728" bestFit="1" customWidth="1"/>
    <col min="18" max="19" width="12.125" style="728" customWidth="1"/>
    <col min="20" max="20" width="13.125" style="728" bestFit="1" customWidth="1"/>
    <col min="21" max="21" width="13.25" style="728" bestFit="1" customWidth="1"/>
    <col min="22" max="22" width="13.125" style="733" bestFit="1" customWidth="1"/>
    <col min="23" max="23" width="9.125" style="733" bestFit="1" customWidth="1"/>
    <col min="24" max="24" width="13.875" style="733" customWidth="1"/>
    <col min="25" max="36" width="11.75" style="728" customWidth="1"/>
    <col min="37" max="16384" width="8.625" style="728"/>
  </cols>
  <sheetData>
    <row r="1" spans="1:36">
      <c r="A1" s="175" t="s">
        <v>98</v>
      </c>
      <c r="B1" s="176" t="str">
        <f>PA_NAME</f>
        <v>SoCalGas</v>
      </c>
      <c r="D1" s="107"/>
    </row>
    <row r="2" spans="1:36">
      <c r="A2" s="175" t="s">
        <v>99</v>
      </c>
      <c r="B2" s="176" t="str">
        <f>RPT_YEAR</f>
        <v>2024-2031</v>
      </c>
    </row>
    <row r="3" spans="1:36">
      <c r="A3" s="7" t="s">
        <v>1118</v>
      </c>
    </row>
    <row r="5" spans="1:36">
      <c r="B5" s="1440"/>
      <c r="C5" s="1440"/>
      <c r="D5" s="1440"/>
      <c r="E5" s="1440"/>
      <c r="V5" s="1441"/>
      <c r="W5" s="1441"/>
      <c r="X5" s="1441"/>
    </row>
    <row r="6" spans="1:36">
      <c r="A6" s="729"/>
      <c r="B6" s="1440" t="s">
        <v>1119</v>
      </c>
      <c r="C6" s="1440"/>
      <c r="D6" s="1440"/>
      <c r="E6" s="1440"/>
      <c r="F6" s="1440" t="s">
        <v>1120</v>
      </c>
      <c r="G6" s="1440"/>
      <c r="H6" s="1440"/>
      <c r="I6" s="1440"/>
      <c r="J6" s="1440" t="s">
        <v>1121</v>
      </c>
      <c r="K6" s="1440"/>
      <c r="L6" s="1440"/>
      <c r="M6" s="1440"/>
      <c r="N6" s="1440" t="s">
        <v>1122</v>
      </c>
      <c r="O6" s="1440"/>
      <c r="P6" s="1440"/>
      <c r="Q6" s="1440"/>
      <c r="R6" s="1440" t="s">
        <v>1123</v>
      </c>
      <c r="S6" s="1440"/>
      <c r="T6" s="1440"/>
      <c r="U6" s="1440"/>
      <c r="V6" s="1441" t="s">
        <v>1124</v>
      </c>
      <c r="W6" s="1441"/>
      <c r="X6" s="1441"/>
      <c r="Y6" s="1440" t="s">
        <v>1125</v>
      </c>
      <c r="Z6" s="1440"/>
      <c r="AA6" s="1440"/>
      <c r="AB6" s="1440" t="s">
        <v>1126</v>
      </c>
      <c r="AC6" s="1440"/>
      <c r="AD6" s="1440"/>
      <c r="AE6" s="1440" t="s">
        <v>1127</v>
      </c>
      <c r="AF6" s="1440"/>
      <c r="AG6" s="1440"/>
      <c r="AH6" s="1440" t="s">
        <v>1128</v>
      </c>
      <c r="AI6" s="1440"/>
      <c r="AJ6" s="1440"/>
    </row>
    <row r="7" spans="1:36" s="736" customFormat="1" ht="42.75">
      <c r="A7" s="734" t="s">
        <v>929</v>
      </c>
      <c r="B7" s="734" t="s">
        <v>1129</v>
      </c>
      <c r="C7" s="730" t="s">
        <v>1130</v>
      </c>
      <c r="D7" s="734" t="s">
        <v>1116</v>
      </c>
      <c r="E7" s="734" t="s">
        <v>222</v>
      </c>
      <c r="F7" s="734" t="s">
        <v>1129</v>
      </c>
      <c r="G7" s="730" t="s">
        <v>1130</v>
      </c>
      <c r="H7" s="734" t="s">
        <v>1116</v>
      </c>
      <c r="I7" s="734" t="s">
        <v>222</v>
      </c>
      <c r="J7" s="734" t="s">
        <v>1129</v>
      </c>
      <c r="K7" s="730" t="s">
        <v>1130</v>
      </c>
      <c r="L7" s="734" t="s">
        <v>1116</v>
      </c>
      <c r="M7" s="734" t="s">
        <v>222</v>
      </c>
      <c r="N7" s="734" t="s">
        <v>1129</v>
      </c>
      <c r="O7" s="730" t="s">
        <v>1130</v>
      </c>
      <c r="P7" s="734" t="s">
        <v>1116</v>
      </c>
      <c r="Q7" s="734" t="s">
        <v>222</v>
      </c>
      <c r="R7" s="734" t="s">
        <v>1129</v>
      </c>
      <c r="S7" s="730" t="s">
        <v>1130</v>
      </c>
      <c r="T7" s="734" t="s">
        <v>1116</v>
      </c>
      <c r="U7" s="734" t="s">
        <v>222</v>
      </c>
      <c r="V7" s="735" t="s">
        <v>1131</v>
      </c>
      <c r="W7" s="735" t="s">
        <v>1132</v>
      </c>
      <c r="X7" s="735" t="s">
        <v>1133</v>
      </c>
      <c r="Y7" s="734" t="s">
        <v>1131</v>
      </c>
      <c r="Z7" s="734" t="s">
        <v>1132</v>
      </c>
      <c r="AA7" s="734" t="s">
        <v>1133</v>
      </c>
      <c r="AB7" s="734" t="s">
        <v>1131</v>
      </c>
      <c r="AC7" s="734" t="s">
        <v>1132</v>
      </c>
      <c r="AD7" s="734" t="s">
        <v>1133</v>
      </c>
      <c r="AE7" s="734" t="s">
        <v>1131</v>
      </c>
      <c r="AF7" s="734" t="s">
        <v>1132</v>
      </c>
      <c r="AG7" s="734" t="s">
        <v>1133</v>
      </c>
      <c r="AH7" s="734" t="s">
        <v>1131</v>
      </c>
      <c r="AI7" s="734" t="s">
        <v>1132</v>
      </c>
      <c r="AJ7" s="734" t="s">
        <v>1133</v>
      </c>
    </row>
    <row r="8" spans="1:36">
      <c r="A8" s="729" t="s">
        <v>17</v>
      </c>
      <c r="B8" s="964">
        <v>4596651</v>
      </c>
      <c r="C8" s="964">
        <v>19353128</v>
      </c>
      <c r="D8" s="964">
        <v>28118741</v>
      </c>
      <c r="E8" s="965">
        <f>SUM(B8:D8)</f>
        <v>52068520</v>
      </c>
      <c r="F8" s="964">
        <v>6107062.1699999999</v>
      </c>
      <c r="G8" s="964">
        <f>22105255.22-2.73847968131303</f>
        <v>22105252.481520317</v>
      </c>
      <c r="H8" s="966">
        <f>+SUMIF('4.1 Program Budget - 2024-2027'!$G$6:$G$182,$A8,'4.1 Program Budget - 2024-2027'!$R$6:$R$182)</f>
        <v>32821938.099960491</v>
      </c>
      <c r="I8" s="965">
        <f>SUM(F8:H8)</f>
        <v>61034252.75148081</v>
      </c>
      <c r="J8" s="964">
        <v>6199970.8600000003</v>
      </c>
      <c r="K8" s="964">
        <f>22054325.23+0.55232199281454</f>
        <v>22054325.782321993</v>
      </c>
      <c r="L8" s="966">
        <f>+SUMIF('4.1 Program Budget - 2024-2027'!$G$6:$G$182,$A8,'4.1 Program Budget - 2024-2027'!$AJ$6:$AJ$182)</f>
        <v>32638075.782010023</v>
      </c>
      <c r="M8" s="965">
        <f>SUM(J8:L8)</f>
        <v>60892372.424332015</v>
      </c>
      <c r="N8" s="964">
        <v>6304435.1799999997</v>
      </c>
      <c r="O8" s="964">
        <f>22156937.06-2.67576618492603</f>
        <v>22156934.384233814</v>
      </c>
      <c r="P8" s="966">
        <f>+SUMIF('4.1 Program Budget - 2024-2027'!$G$6:$G$182,$A8,'4.1 Program Budget - 2024-2027'!$BB$6:$BB$182)</f>
        <v>33011642.825453695</v>
      </c>
      <c r="Q8" s="965">
        <f>SUM(N8:P8)</f>
        <v>61473012.389687508</v>
      </c>
      <c r="R8" s="964">
        <v>6404894.0700000003</v>
      </c>
      <c r="S8" s="964">
        <f>22385669.98-3.51887123286724</f>
        <v>22385666.461128768</v>
      </c>
      <c r="T8" s="966">
        <f>+SUMIF('4.1 Program Budget - 2024-2027'!$G$6:$G$182,$A8,'4.1 Program Budget - 2024-2027'!$BT$6:$BT$182)</f>
        <v>33585685.985526159</v>
      </c>
      <c r="U8" s="965">
        <f>SUM(R8:T8)</f>
        <v>62376246.516654924</v>
      </c>
      <c r="V8" s="967">
        <v>1792055.2000000004</v>
      </c>
      <c r="W8" s="967">
        <v>159.15</v>
      </c>
      <c r="X8" s="967">
        <v>18622971.999999996</v>
      </c>
      <c r="Y8" s="968">
        <f>+'7.3 PA PY budget_savings'!D49</f>
        <v>1880177.25</v>
      </c>
      <c r="Z8" s="968">
        <f>+'7.3 PA PY budget_savings'!E49</f>
        <v>613.09</v>
      </c>
      <c r="AA8" s="968">
        <f>+'7.3 PA PY budget_savings'!F49</f>
        <v>14823859.75</v>
      </c>
      <c r="AB8" s="968">
        <f>+'7.3 PA PY budget_savings'!J49</f>
        <v>1887816.5233900002</v>
      </c>
      <c r="AC8" s="968">
        <f>+'7.3 PA PY budget_savings'!K49</f>
        <v>614.85518973400008</v>
      </c>
      <c r="AD8" s="968">
        <f>+'7.3 PA PY budget_savings'!L49</f>
        <v>14665388.433289999</v>
      </c>
      <c r="AE8" s="968">
        <f>+'7.3 PA PY budget_savings'!P49</f>
        <v>1887123.4683900003</v>
      </c>
      <c r="AF8" s="968">
        <f>+'7.3 PA PY budget_savings'!Q49</f>
        <v>614.75288973400006</v>
      </c>
      <c r="AG8" s="968">
        <f>+'7.3 PA PY budget_savings'!R49</f>
        <v>14626745.48329</v>
      </c>
      <c r="AH8" s="968">
        <f>+'7.3 PA PY budget_savings'!V49</f>
        <v>1884565.0970900003</v>
      </c>
      <c r="AI8" s="968">
        <f>+'7.3 PA PY budget_savings'!W49</f>
        <v>615.21555434200002</v>
      </c>
      <c r="AJ8" s="968">
        <f>+'7.3 PA PY budget_savings'!X49</f>
        <v>14619251.055189999</v>
      </c>
    </row>
    <row r="9" spans="1:36">
      <c r="A9" s="729" t="s">
        <v>22</v>
      </c>
      <c r="B9" s="964">
        <v>3504646</v>
      </c>
      <c r="C9" s="964">
        <v>8061912</v>
      </c>
      <c r="D9" s="964">
        <v>6688931</v>
      </c>
      <c r="E9" s="965">
        <f t="shared" ref="E9:E13" si="0">SUM(B9:D9)</f>
        <v>18255489</v>
      </c>
      <c r="F9" s="964">
        <v>4365129.97</v>
      </c>
      <c r="G9" s="964">
        <f>16021611.38+1.225405998528</f>
        <v>16021612.605405999</v>
      </c>
      <c r="H9" s="966">
        <f>+SUMIF('4.1 Program Budget - 2024-2027'!$G$6:$G$182,$A9,'4.1 Program Budget - 2024-2027'!$R$6:$R$182)</f>
        <v>15294892.090214448</v>
      </c>
      <c r="I9" s="965">
        <f t="shared" ref="I9:I13" si="1">SUM(F9:H9)</f>
        <v>35681634.665620446</v>
      </c>
      <c r="J9" s="964">
        <v>4452755.8099999996</v>
      </c>
      <c r="K9" s="964">
        <f>16044322.13-1.49755211174488</f>
        <v>16044320.632447889</v>
      </c>
      <c r="L9" s="966">
        <f>+SUMIF('4.1 Program Budget - 2024-2027'!$G$6:$G$182,$A9,'4.1 Program Budget - 2024-2027'!$AJ$6:$AJ$182)</f>
        <v>15417562.053756069</v>
      </c>
      <c r="M9" s="965">
        <f t="shared" ref="M9:M13" si="2">SUM(J9:L9)</f>
        <v>35914638.496203959</v>
      </c>
      <c r="N9" s="964">
        <v>4566737.2</v>
      </c>
      <c r="O9" s="964">
        <f>16004276.87+1.52166767418384</f>
        <v>16004278.391667673</v>
      </c>
      <c r="P9" s="966">
        <f>+SUMIF('4.1 Program Budget - 2024-2027'!$G$6:$G$182,$A9,'4.1 Program Budget - 2024-2027'!$BB$6:$BB$182)</f>
        <v>15536642.848706201</v>
      </c>
      <c r="Q9" s="965">
        <f t="shared" ref="Q9:Q13" si="3">SUM(N9:P9)</f>
        <v>36107658.440373875</v>
      </c>
      <c r="R9" s="964">
        <v>4648150.92</v>
      </c>
      <c r="S9" s="964">
        <f>15936084.07+1.00597788393497</f>
        <v>15936085.075977884</v>
      </c>
      <c r="T9" s="966">
        <f>+SUMIF('4.1 Program Budget - 2024-2027'!$G$6:$G$182,$A9,'4.1 Program Budget - 2024-2027'!$BT$6:$BT$182)</f>
        <v>15823513.014309153</v>
      </c>
      <c r="U9" s="965">
        <f t="shared" ref="U9:U13" si="4">SUM(R9:T9)</f>
        <v>36407749.010287039</v>
      </c>
      <c r="V9" s="967">
        <v>22608.799999999996</v>
      </c>
      <c r="W9" s="967">
        <v>11.120000000000001</v>
      </c>
      <c r="X9" s="967">
        <v>4251112.5</v>
      </c>
      <c r="Y9" s="968">
        <f>+'7.3 PA PY budget_savings'!D50</f>
        <v>11211163</v>
      </c>
      <c r="Z9" s="968">
        <f>+'7.3 PA PY budget_savings'!E50</f>
        <v>2312.2099999999996</v>
      </c>
      <c r="AA9" s="968">
        <f>+'7.3 PA PY budget_savings'!F50</f>
        <v>6945718.8700000001</v>
      </c>
      <c r="AB9" s="968">
        <f>+'7.3 PA PY budget_savings'!J50</f>
        <v>11211284.595100001</v>
      </c>
      <c r="AC9" s="968">
        <f>+'7.3 PA PY budget_savings'!K50</f>
        <v>2312.4652000000001</v>
      </c>
      <c r="AD9" s="968">
        <f>+'7.3 PA PY budget_savings'!L50</f>
        <v>6965256.55614</v>
      </c>
      <c r="AE9" s="968">
        <f>+'7.3 PA PY budget_savings'!P50</f>
        <v>11211513.4651</v>
      </c>
      <c r="AF9" s="968">
        <f>+'7.3 PA PY budget_savings'!Q50</f>
        <v>2312.4151999999999</v>
      </c>
      <c r="AG9" s="968">
        <f>+'7.3 PA PY budget_savings'!R50</f>
        <v>6937667.76614</v>
      </c>
      <c r="AH9" s="968">
        <f>+'7.3 PA PY budget_savings'!V50</f>
        <v>11211800.4651</v>
      </c>
      <c r="AI9" s="968">
        <f>+'7.3 PA PY budget_savings'!W50</f>
        <v>2312.2152000000001</v>
      </c>
      <c r="AJ9" s="968">
        <f>+'7.3 PA PY budget_savings'!X50</f>
        <v>7128833.7061400004</v>
      </c>
    </row>
    <row r="10" spans="1:36">
      <c r="A10" s="729" t="s">
        <v>25</v>
      </c>
      <c r="B10" s="964">
        <v>2764317</v>
      </c>
      <c r="C10" s="964">
        <v>3453094</v>
      </c>
      <c r="D10" s="964">
        <v>563909</v>
      </c>
      <c r="E10" s="965">
        <f t="shared" si="0"/>
        <v>6781320</v>
      </c>
      <c r="F10" s="969">
        <v>1696089.41</v>
      </c>
      <c r="G10" s="964">
        <f>8535729.3-0.860132314264774</f>
        <v>8535728.4398676865</v>
      </c>
      <c r="H10" s="966">
        <f>+SUMIF('4.1 Program Budget - 2024-2027'!$G$6:$G$182,$A10,'4.1 Program Budget - 2024-2027'!$R$6:$R$182)</f>
        <v>9202490.5807399936</v>
      </c>
      <c r="I10" s="965">
        <f t="shared" si="1"/>
        <v>19434308.43060768</v>
      </c>
      <c r="J10" s="969">
        <v>1731106.75</v>
      </c>
      <c r="K10" s="964">
        <f>8536556.14-1.07995416224002</f>
        <v>8536555.0600458384</v>
      </c>
      <c r="L10" s="966">
        <f>+SUMIF('4.1 Program Budget - 2024-2027'!$G$6:$G$182,$A10,'4.1 Program Budget - 2024-2027'!$AJ$6:$AJ$182)</f>
        <v>8990186.1230513379</v>
      </c>
      <c r="M10" s="965">
        <f t="shared" si="2"/>
        <v>19257847.933097176</v>
      </c>
      <c r="N10" s="969">
        <v>1706285.27</v>
      </c>
      <c r="O10" s="964">
        <f>8537075+0.22952314093709</f>
        <v>8537075.2295231409</v>
      </c>
      <c r="P10" s="966">
        <f>+SUMIF('4.1 Program Budget - 2024-2027'!$G$6:$G$182,$A10,'4.1 Program Budget - 2024-2027'!$BB$6:$BB$182)</f>
        <v>8715195.4747205507</v>
      </c>
      <c r="Q10" s="965">
        <f t="shared" si="3"/>
        <v>18958555.974243693</v>
      </c>
      <c r="R10" s="969">
        <v>1736836.82</v>
      </c>
      <c r="S10" s="964">
        <f>8519837.19+0.028000220656395</f>
        <v>8519837.2180002201</v>
      </c>
      <c r="T10" s="966">
        <f>+SUMIF('4.1 Program Budget - 2024-2027'!$G$6:$G$182,$A10,'4.1 Program Budget - 2024-2027'!$BT$6:$BT$182)</f>
        <v>8697715.6116104033</v>
      </c>
      <c r="U10" s="965">
        <f t="shared" si="4"/>
        <v>18954389.649610624</v>
      </c>
      <c r="V10" s="967">
        <v>0</v>
      </c>
      <c r="W10" s="967">
        <v>0</v>
      </c>
      <c r="X10" s="967">
        <v>3829899.52</v>
      </c>
      <c r="Y10" s="968">
        <f>+'7.3 PA PY budget_savings'!D51</f>
        <v>1857.38</v>
      </c>
      <c r="Z10" s="968">
        <f>+'7.3 PA PY budget_savings'!E51</f>
        <v>0</v>
      </c>
      <c r="AA10" s="968">
        <f>+'7.3 PA PY budget_savings'!F51</f>
        <v>5047161.8308999995</v>
      </c>
      <c r="AB10" s="968">
        <f>+'7.3 PA PY budget_savings'!J51</f>
        <v>1890.4</v>
      </c>
      <c r="AC10" s="968">
        <f>+'7.3 PA PY budget_savings'!K51</f>
        <v>7.0000000000000007E-2</v>
      </c>
      <c r="AD10" s="968">
        <f>+'7.3 PA PY budget_savings'!L51</f>
        <v>5063623.34</v>
      </c>
      <c r="AE10" s="968">
        <f>+'7.3 PA PY budget_savings'!P51</f>
        <v>1901</v>
      </c>
      <c r="AF10" s="968">
        <f>+'7.3 PA PY budget_savings'!Q51</f>
        <v>0.05</v>
      </c>
      <c r="AG10" s="968">
        <f>+'7.3 PA PY budget_savings'!R51</f>
        <v>4854184.5</v>
      </c>
      <c r="AH10" s="968">
        <f>+'7.3 PA PY budget_savings'!V51</f>
        <v>1978</v>
      </c>
      <c r="AI10" s="968">
        <f>+'7.3 PA PY budget_savings'!W51</f>
        <v>0</v>
      </c>
      <c r="AJ10" s="968">
        <f>+'7.3 PA PY budget_savings'!X51</f>
        <v>4824906</v>
      </c>
    </row>
    <row r="11" spans="1:36">
      <c r="A11" s="729" t="s">
        <v>27</v>
      </c>
      <c r="B11" s="964">
        <v>828261</v>
      </c>
      <c r="C11" s="964">
        <v>56391</v>
      </c>
      <c r="D11" s="964">
        <v>108628</v>
      </c>
      <c r="E11" s="965">
        <f t="shared" si="0"/>
        <v>993280</v>
      </c>
      <c r="F11" s="964">
        <v>854545.94</v>
      </c>
      <c r="G11" s="964">
        <f>2390571.23+1.65401416458189</f>
        <v>2390572.8840141646</v>
      </c>
      <c r="H11" s="966">
        <f>+SUMIF('4.1 Program Budget - 2024-2027'!$G$6:$G$182,$A11,'4.1 Program Budget - 2024-2027'!$R$6:$R$182)</f>
        <v>2206456.8383106384</v>
      </c>
      <c r="I11" s="965">
        <f t="shared" si="1"/>
        <v>5451575.662324803</v>
      </c>
      <c r="J11" s="964">
        <v>873971.66</v>
      </c>
      <c r="K11" s="964">
        <f>2394499.69-0.767181755974888</f>
        <v>2394498.922818244</v>
      </c>
      <c r="L11" s="966">
        <f>+SUMIF('4.1 Program Budget - 2024-2027'!$G$6:$G$182,$A11,'4.1 Program Budget - 2024-2027'!$AJ$6:$AJ$182)</f>
        <v>2203761.7452982599</v>
      </c>
      <c r="M11" s="965">
        <f t="shared" si="2"/>
        <v>5472232.3281165045</v>
      </c>
      <c r="N11" s="964">
        <v>925854.91</v>
      </c>
      <c r="O11" s="964">
        <f>2458747.33-0.886929822154343</f>
        <v>2458746.4430701779</v>
      </c>
      <c r="P11" s="966">
        <f>+SUMIF('4.1 Program Budget - 2024-2027'!$G$6:$G$182,$A11,'4.1 Program Budget - 2024-2027'!$BB$6:$BB$182)</f>
        <v>2194764.3809921867</v>
      </c>
      <c r="Q11" s="965">
        <f t="shared" si="3"/>
        <v>5579365.7340623643</v>
      </c>
      <c r="R11" s="964">
        <v>940908.62</v>
      </c>
      <c r="S11" s="964">
        <f>2465916.15-1.20637299399822</f>
        <v>2465914.9436270059</v>
      </c>
      <c r="T11" s="966">
        <f>+SUMIF('4.1 Program Budget - 2024-2027'!$G$6:$G$182,$A11,'4.1 Program Budget - 2024-2027'!$BT$6:$BT$182)</f>
        <v>2212306.1743333037</v>
      </c>
      <c r="U11" s="965">
        <f t="shared" si="4"/>
        <v>5619129.7379603097</v>
      </c>
      <c r="V11" s="967">
        <v>27976.05</v>
      </c>
      <c r="W11" s="967">
        <v>0</v>
      </c>
      <c r="X11" s="967">
        <v>183651.22</v>
      </c>
      <c r="Y11" s="968">
        <f>+'7.3 PA PY budget_savings'!D52</f>
        <v>35516.42</v>
      </c>
      <c r="Z11" s="968">
        <f>+'7.3 PA PY budget_savings'!E52</f>
        <v>0</v>
      </c>
      <c r="AA11" s="968">
        <f>+'7.3 PA PY budget_savings'!F52</f>
        <v>605436.41999999993</v>
      </c>
      <c r="AB11" s="968">
        <f>+'7.3 PA PY budget_savings'!J52</f>
        <v>35538.555</v>
      </c>
      <c r="AC11" s="968">
        <f>+'7.3 PA PY budget_savings'!K52</f>
        <v>0.04</v>
      </c>
      <c r="AD11" s="968">
        <f>+'7.3 PA PY budget_savings'!L52</f>
        <v>592078.16</v>
      </c>
      <c r="AE11" s="968">
        <f>+'7.3 PA PY budget_savings'!P52</f>
        <v>35545.375</v>
      </c>
      <c r="AF11" s="968">
        <f>+'7.3 PA PY budget_savings'!Q52</f>
        <v>0.04</v>
      </c>
      <c r="AG11" s="968">
        <f>+'7.3 PA PY budget_savings'!R52</f>
        <v>573343.41</v>
      </c>
      <c r="AH11" s="968">
        <f>+'7.3 PA PY budget_savings'!V52</f>
        <v>35597.375</v>
      </c>
      <c r="AI11" s="968">
        <f>+'7.3 PA PY budget_savings'!W52</f>
        <v>0</v>
      </c>
      <c r="AJ11" s="968">
        <f>+'7.3 PA PY budget_savings'!X52</f>
        <v>601498</v>
      </c>
    </row>
    <row r="12" spans="1:36">
      <c r="A12" s="729" t="s">
        <v>30</v>
      </c>
      <c r="B12" s="964">
        <v>2352680</v>
      </c>
      <c r="C12" s="964">
        <v>1541084</v>
      </c>
      <c r="D12" s="964">
        <v>1249153</v>
      </c>
      <c r="E12" s="965">
        <f t="shared" si="0"/>
        <v>5142917</v>
      </c>
      <c r="F12" s="964">
        <v>2995964.31</v>
      </c>
      <c r="G12" s="964">
        <f>4248142.63+0.0519477240741253</f>
        <v>4248142.681947724</v>
      </c>
      <c r="H12" s="966">
        <f>+SUMIF('4.1 Program Budget - 2024-2027'!$G$6:$G$182,$A12,'4.1 Program Budget - 2024-2027'!$R$6:$R$182)</f>
        <v>4593412.4661406381</v>
      </c>
      <c r="I12" s="965">
        <f t="shared" si="1"/>
        <v>11837519.458088361</v>
      </c>
      <c r="J12" s="964">
        <v>3078128.71</v>
      </c>
      <c r="K12" s="964">
        <f>4440836.42+0.9171789791435</f>
        <v>4440837.3371789791</v>
      </c>
      <c r="L12" s="966">
        <f>+SUMIF('4.1 Program Budget - 2024-2027'!$G$6:$G$182,$A12,'4.1 Program Budget - 2024-2027'!$AJ$6:$AJ$182)</f>
        <v>4895865.957414207</v>
      </c>
      <c r="M12" s="965">
        <f t="shared" si="2"/>
        <v>12414832.004593186</v>
      </c>
      <c r="N12" s="964">
        <v>3142717.8</v>
      </c>
      <c r="O12" s="964">
        <f>4457923.28+0.451417008414865</f>
        <v>4457923.7314170087</v>
      </c>
      <c r="P12" s="966">
        <f>+SUMIF('4.1 Program Budget - 2024-2027'!$G$6:$G$182,$A12,'4.1 Program Budget - 2024-2027'!$BB$6:$BB$182)</f>
        <v>4913372.4666797183</v>
      </c>
      <c r="Q12" s="965">
        <f t="shared" si="3"/>
        <v>12514013.998096727</v>
      </c>
      <c r="R12" s="964">
        <v>3213911.78</v>
      </c>
      <c r="S12" s="964">
        <f>4489075.06-1.30078622885048</f>
        <v>4489073.7592137707</v>
      </c>
      <c r="T12" s="966">
        <f>+SUMIF('4.1 Program Budget - 2024-2027'!$G$6:$G$182,$A12,'4.1 Program Budget - 2024-2027'!$BT$6:$BT$182)</f>
        <v>4956280.1568760229</v>
      </c>
      <c r="U12" s="965">
        <f t="shared" si="4"/>
        <v>12659265.696089793</v>
      </c>
      <c r="V12" s="967">
        <v>1688.31</v>
      </c>
      <c r="W12" s="967">
        <v>0</v>
      </c>
      <c r="X12" s="967">
        <v>1113089.52</v>
      </c>
      <c r="Y12" s="968">
        <f>+'7.3 PA PY budget_savings'!D54</f>
        <v>7399.53</v>
      </c>
      <c r="Z12" s="968">
        <f>+'7.3 PA PY budget_savings'!E54</f>
        <v>0</v>
      </c>
      <c r="AA12" s="968">
        <f>+'7.3 PA PY budget_savings'!F54</f>
        <v>2304976.96</v>
      </c>
      <c r="AB12" s="968">
        <f>+'7.3 PA PY budget_savings'!J54</f>
        <v>8193.8106000000007</v>
      </c>
      <c r="AC12" s="968">
        <f>+'7.3 PA PY budget_savings'!K54</f>
        <v>0.09</v>
      </c>
      <c r="AD12" s="968">
        <f>+'7.3 PA PY budget_savings'!L54</f>
        <v>2440988.39</v>
      </c>
      <c r="AE12" s="968">
        <f>+'7.3 PA PY budget_savings'!P54</f>
        <v>8208.4506000000001</v>
      </c>
      <c r="AF12" s="968">
        <f>+'7.3 PA PY budget_savings'!Q54</f>
        <v>7.0000000000000007E-2</v>
      </c>
      <c r="AG12" s="968">
        <f>+'7.3 PA PY budget_savings'!R54</f>
        <v>2385857.46</v>
      </c>
      <c r="AH12" s="968">
        <f>+'7.3 PA PY budget_savings'!V54</f>
        <v>8310.4506000000001</v>
      </c>
      <c r="AI12" s="968">
        <f>+'7.3 PA PY budget_savings'!W54</f>
        <v>0</v>
      </c>
      <c r="AJ12" s="968">
        <f>+'7.3 PA PY budget_savings'!X54</f>
        <v>2441685.7999999998</v>
      </c>
    </row>
    <row r="13" spans="1:36">
      <c r="A13" s="141" t="s">
        <v>1134</v>
      </c>
      <c r="B13" s="964">
        <v>2917295</v>
      </c>
      <c r="C13" s="964">
        <v>4209139</v>
      </c>
      <c r="D13" s="964">
        <v>0</v>
      </c>
      <c r="E13" s="965">
        <f t="shared" si="0"/>
        <v>7126434</v>
      </c>
      <c r="F13" s="964">
        <v>2567188.2000000002</v>
      </c>
      <c r="G13" s="964">
        <f>7503359.27-0.550885515287518</f>
        <v>7503358.7191144843</v>
      </c>
      <c r="H13" s="966">
        <f>'4.1 Program Budget - 2024-2027'!R$182-SUM(H8:H12)-SUMIF('4.1 Program Budget - 2024-2027'!$G$6:$G$182,README!$L$16,'4.1 Program Budget - 2024-2027'!$R$6:$R$182)</f>
        <v>2110200.0000000075</v>
      </c>
      <c r="I13" s="965">
        <f t="shared" si="1"/>
        <v>12180746.919114493</v>
      </c>
      <c r="J13" s="964">
        <v>2626303.2200000002</v>
      </c>
      <c r="K13" s="964">
        <f>7517414.91-0.64594467356801</f>
        <v>7517414.2640553266</v>
      </c>
      <c r="L13" s="966">
        <f>'4.1 Program Budget - 2024-2027'!AJ$182-SUM(L8:L12)-SUMIF('4.1 Program Budget - 2024-2027'!$G$6:$G$182,README!$L$16,'4.1 Program Budget - 2024-2027'!$AJ$6:$AJ$182)</f>
        <v>2110199.9999999851</v>
      </c>
      <c r="M13" s="965">
        <f t="shared" si="2"/>
        <v>12253917.484055312</v>
      </c>
      <c r="N13" s="964">
        <v>2690445.64</v>
      </c>
      <c r="O13" s="964">
        <f>7534222.98-0.0826934278011322</f>
        <v>7534222.8973065726</v>
      </c>
      <c r="P13" s="966">
        <f>'4.1 Program Budget - 2024-2027'!BB$182-SUM(P8:P12)-SUMIF('4.1 Program Budget - 2024-2027'!$G$6:$G$182,README!$L$16,'4.1 Program Budget - 2024-2027'!$AJ$6:$BB$182)</f>
        <v>2110199.9999999851</v>
      </c>
      <c r="Q13" s="965">
        <f t="shared" si="3"/>
        <v>12334868.537306558</v>
      </c>
      <c r="R13" s="964">
        <v>2749612.8</v>
      </c>
      <c r="S13" s="964">
        <f>7565895.84-0.155458642169833</f>
        <v>7565895.6845413577</v>
      </c>
      <c r="T13" s="966">
        <f>'4.1 Program Budget - 2024-2027'!BT$182-SUM(T8:T12)-SUMIF('4.1 Program Budget - 2024-2027'!$G$6:$G$182,README!$L$16,'4.1 Program Budget - 2024-2027'!$AJ$6:$BT$182)</f>
        <v>2110200</v>
      </c>
      <c r="U13" s="965">
        <f t="shared" si="4"/>
        <v>12425708.484541357</v>
      </c>
      <c r="V13" s="967">
        <v>0</v>
      </c>
      <c r="W13" s="967">
        <v>0</v>
      </c>
      <c r="X13" s="967">
        <v>18372087.109999999</v>
      </c>
      <c r="Y13" s="968">
        <f>'7.3 PA PY budget_savings'!D58+'7.3 PA PY budget_savings'!D68-'7.3 PA PY budget_savings'!D57-SUM(Y8:Y12)</f>
        <v>0</v>
      </c>
      <c r="Z13" s="968">
        <f>'7.3 PA PY budget_savings'!E58+'7.3 PA PY budget_savings'!E68-'7.3 PA PY budget_savings'!E57-SUM(Z8:Z12)</f>
        <v>0</v>
      </c>
      <c r="AA13" s="968">
        <f>'7.3 PA PY budget_savings'!F53+'7.3 PA PY budget_savings'!F55+'7.3 PA PY budget_savings'!F56+'7.3 PA PY budget_savings'!F68</f>
        <v>22031304.920000002</v>
      </c>
      <c r="AB13" s="968">
        <f>+'7.3 PA PY budget_savings'!J58+'7.3 PA PY budget_savings'!J68-'7.3 PA PY budget_savings'!J57-SUM(AB8:AB12)</f>
        <v>0</v>
      </c>
      <c r="AC13" s="968">
        <f>+'7.3 PA PY budget_savings'!K58+'7.3 PA PY budget_savings'!K68-'7.3 PA PY budget_savings'!K57-SUM(AC8:AC12)</f>
        <v>0</v>
      </c>
      <c r="AD13" s="968">
        <f>'7.3 PA PY budget_savings'!L53+'7.3 PA PY budget_savings'!L55+'7.3 PA PY budget_savings'!L56+'7.3 PA PY budget_savings'!L68</f>
        <v>21523647.877</v>
      </c>
      <c r="AE13" s="968">
        <f>+'7.3 PA PY budget_savings'!P58+'7.3 PA PY budget_savings'!P68-'7.3 PA PY budget_savings'!O57-SUM(AE8:AE12)</f>
        <v>0</v>
      </c>
      <c r="AF13" s="968">
        <f>+'7.3 PA PY budget_savings'!Q58+'7.3 PA PY budget_savings'!Q68-'7.3 PA PY budget_savings'!P57-SUM(AF8:AF12)</f>
        <v>0</v>
      </c>
      <c r="AG13" s="968">
        <f>+'7.3 PA PY budget_savings'!R58+'7.3 PA PY budget_savings'!R68-'7.3 PA PY budget_savings'!Q57-SUM(AG8:AG12)</f>
        <v>18637290.796999995</v>
      </c>
      <c r="AH13" s="968">
        <f>+'7.3 PA PY budget_savings'!V58+'7.3 PA PY budget_savings'!V68-'7.3 PA PY budget_savings'!R57-SUM(AH8:AH12)</f>
        <v>0</v>
      </c>
      <c r="AI13" s="968">
        <f>+'7.3 PA PY budget_savings'!W58+'7.3 PA PY budget_savings'!W68-'7.3 PA PY budget_savings'!U57-SUM(AI8:AI12)</f>
        <v>0</v>
      </c>
      <c r="AJ13" s="968">
        <f>+'7.3 PA PY budget_savings'!X58+'7.3 PA PY budget_savings'!X68-'7.3 PA PY budget_savings'!V57-SUM(AJ8:AJ12)</f>
        <v>15895431.746999998</v>
      </c>
    </row>
    <row r="14" spans="1:36">
      <c r="A14" s="737" t="s">
        <v>1135</v>
      </c>
      <c r="B14" s="970">
        <f t="shared" ref="B14:L14" si="5">SUM(B8:B13)</f>
        <v>16963850</v>
      </c>
      <c r="C14" s="970">
        <f t="shared" si="5"/>
        <v>36674748</v>
      </c>
      <c r="D14" s="970">
        <f t="shared" si="5"/>
        <v>36729362</v>
      </c>
      <c r="E14" s="965">
        <f t="shared" si="5"/>
        <v>90367960</v>
      </c>
      <c r="F14" s="970">
        <f t="shared" si="5"/>
        <v>18585980</v>
      </c>
      <c r="G14" s="970">
        <f t="shared" si="5"/>
        <v>60804667.811870374</v>
      </c>
      <c r="H14" s="970">
        <f t="shared" si="5"/>
        <v>66229390.075366206</v>
      </c>
      <c r="I14" s="965">
        <f t="shared" si="5"/>
        <v>145620037.8872366</v>
      </c>
      <c r="J14" s="970">
        <f t="shared" si="5"/>
        <v>18962237.009999998</v>
      </c>
      <c r="K14" s="970">
        <f t="shared" si="5"/>
        <v>60987951.998868272</v>
      </c>
      <c r="L14" s="970">
        <f t="shared" si="5"/>
        <v>66255651.661529884</v>
      </c>
      <c r="M14" s="965">
        <f>SUM(M8:M13)</f>
        <v>146205840.67039818</v>
      </c>
      <c r="N14" s="970">
        <f t="shared" ref="N14:P14" si="6">SUM(N8:N13)</f>
        <v>19336476</v>
      </c>
      <c r="O14" s="970">
        <f t="shared" si="6"/>
        <v>61149181.077218398</v>
      </c>
      <c r="P14" s="970">
        <f t="shared" si="6"/>
        <v>66481817.996552348</v>
      </c>
      <c r="Q14" s="965">
        <f>SUM(Q8:Q13)</f>
        <v>146967475.0737707</v>
      </c>
      <c r="R14" s="970">
        <f t="shared" ref="R14:T14" si="7">SUM(R8:R13)</f>
        <v>19694315.010000002</v>
      </c>
      <c r="S14" s="970">
        <f t="shared" si="7"/>
        <v>61362473.142489001</v>
      </c>
      <c r="T14" s="970">
        <f t="shared" si="7"/>
        <v>67385700.942655042</v>
      </c>
      <c r="U14" s="965">
        <f>SUM(U8:U13)</f>
        <v>148442489.09514403</v>
      </c>
      <c r="V14" s="968">
        <f t="shared" ref="V14:AC14" si="8">SUM(V8:V13)</f>
        <v>1844328.3600000006</v>
      </c>
      <c r="W14" s="968">
        <f t="shared" si="8"/>
        <v>170.27</v>
      </c>
      <c r="X14" s="968">
        <f t="shared" si="8"/>
        <v>46372811.86999999</v>
      </c>
      <c r="Y14" s="968">
        <f t="shared" si="8"/>
        <v>13136113.58</v>
      </c>
      <c r="Z14" s="968">
        <f t="shared" si="8"/>
        <v>2925.2999999999997</v>
      </c>
      <c r="AA14" s="968">
        <f t="shared" si="8"/>
        <v>51758458.7509</v>
      </c>
      <c r="AB14" s="968">
        <f t="shared" si="8"/>
        <v>13144723.884090001</v>
      </c>
      <c r="AC14" s="968">
        <f t="shared" si="8"/>
        <v>2927.5203897340002</v>
      </c>
      <c r="AD14" s="968">
        <f>SUM(AD8:AD13)</f>
        <v>51250982.75643</v>
      </c>
      <c r="AE14" s="968">
        <f t="shared" ref="AE14:AF14" si="9">SUM(AE8:AE13)</f>
        <v>13144291.759090001</v>
      </c>
      <c r="AF14" s="968">
        <f t="shared" si="9"/>
        <v>2927.3280897340005</v>
      </c>
      <c r="AG14" s="968">
        <f>SUM(AG8:AG13)</f>
        <v>48015089.416429996</v>
      </c>
      <c r="AH14" s="968">
        <f t="shared" ref="AH14:AI14" si="10">SUM(AH8:AH13)</f>
        <v>13142251.38779</v>
      </c>
      <c r="AI14" s="968">
        <f t="shared" si="10"/>
        <v>2927.430754342</v>
      </c>
      <c r="AJ14" s="968">
        <f>SUM(AJ8:AJ13)</f>
        <v>45511606.308329999</v>
      </c>
    </row>
    <row r="15" spans="1:36">
      <c r="A15" s="729" t="s">
        <v>1136</v>
      </c>
      <c r="B15" s="964">
        <v>234590</v>
      </c>
      <c r="C15" s="964">
        <v>137277</v>
      </c>
      <c r="D15" s="964">
        <v>0</v>
      </c>
      <c r="E15" s="965">
        <f>SUM(B15:D15)</f>
        <v>371867</v>
      </c>
      <c r="F15" s="971">
        <v>398719</v>
      </c>
      <c r="G15" s="971">
        <f>'4.1 Program Budget - 2024-2027'!S185-'9 Portfolio Summary'!F20</f>
        <v>1820250.4735904573</v>
      </c>
      <c r="H15" s="964">
        <v>0</v>
      </c>
      <c r="I15" s="965">
        <f>+'4.1 Program Budget - 2024-2027'!S185</f>
        <v>1820250.4735904573</v>
      </c>
      <c r="J15" s="971">
        <v>409319</v>
      </c>
      <c r="K15" s="971">
        <f>'4.1 Program Budget - 2024-2027'!AN185-'9 Portfolio Summary'!J20</f>
        <v>1827573.0083799779</v>
      </c>
      <c r="L15" s="964">
        <v>0</v>
      </c>
      <c r="M15" s="972">
        <f>'4.1 Program Budget - 2024-2027'!AK185</f>
        <v>1827573.0083799779</v>
      </c>
      <c r="N15" s="971">
        <v>420753.3</v>
      </c>
      <c r="O15" s="971">
        <f>'4.1 Program Budget - 2024-2027'!BC185-'9 Portfolio Summary'!N20</f>
        <v>1837093.4384221339</v>
      </c>
      <c r="P15" s="964">
        <v>0</v>
      </c>
      <c r="Q15" s="972">
        <f>'4.1 Program Budget - 2024-2027'!BC185</f>
        <v>1837093.4384221339</v>
      </c>
      <c r="R15" s="971">
        <v>432696</v>
      </c>
      <c r="S15" s="971">
        <f>'4.1 Program Budget - 2024-2027'!BU185-'9 Portfolio Summary'!R20</f>
        <v>1855531.1136893011</v>
      </c>
      <c r="T15" s="964">
        <v>0</v>
      </c>
      <c r="U15" s="972">
        <f>'4.1 Program Budget - 2024-2027'!BU185</f>
        <v>1855531.1136893011</v>
      </c>
      <c r="V15" s="973"/>
      <c r="W15" s="973"/>
      <c r="X15" s="973"/>
      <c r="Y15" s="974"/>
      <c r="Z15" s="974"/>
      <c r="AA15" s="974"/>
      <c r="AB15" s="974"/>
      <c r="AC15" s="974"/>
      <c r="AD15" s="974"/>
      <c r="AE15" s="974"/>
      <c r="AF15" s="974"/>
      <c r="AG15" s="974"/>
      <c r="AH15" s="974"/>
      <c r="AI15" s="974"/>
      <c r="AJ15" s="974"/>
    </row>
    <row r="16" spans="1:36">
      <c r="A16" s="729" t="s">
        <v>1137</v>
      </c>
      <c r="B16" s="964">
        <v>0</v>
      </c>
      <c r="C16" s="964">
        <v>0</v>
      </c>
      <c r="D16" s="964">
        <v>0</v>
      </c>
      <c r="E16" s="965">
        <f t="shared" ref="E16" si="11">SUM(B16:D16)</f>
        <v>0</v>
      </c>
      <c r="F16" s="964">
        <v>0</v>
      </c>
      <c r="G16" s="971">
        <f>'4.1 Program Budget - 2024-2027'!V186</f>
        <v>4247251.1050444003</v>
      </c>
      <c r="H16" s="964">
        <v>0</v>
      </c>
      <c r="I16" s="965">
        <f>+'4.1 Program Budget - 2024-2027'!S186</f>
        <v>4247251.1050444003</v>
      </c>
      <c r="J16" s="964">
        <v>0</v>
      </c>
      <c r="K16" s="971">
        <f>'4.1 Program Budget - 2024-2027'!AK186</f>
        <v>4264337.0195532814</v>
      </c>
      <c r="L16" s="964">
        <v>0</v>
      </c>
      <c r="M16" s="972">
        <f>'4.1 Program Budget - 2024-2027'!AK186</f>
        <v>4264337.0195532814</v>
      </c>
      <c r="N16" s="964">
        <v>0</v>
      </c>
      <c r="O16" s="971">
        <f>'4.1 Program Budget - 2024-2027'!BC186</f>
        <v>4286551.3563183127</v>
      </c>
      <c r="P16" s="964">
        <v>0</v>
      </c>
      <c r="Q16" s="972">
        <f>'4.1 Program Budget - 2024-2027'!BC186</f>
        <v>4286551.3563183127</v>
      </c>
      <c r="R16" s="964">
        <v>0</v>
      </c>
      <c r="S16" s="971">
        <f>'4.1 Program Budget - 2024-2027'!BU186</f>
        <v>4329572.598608369</v>
      </c>
      <c r="T16" s="964">
        <v>0</v>
      </c>
      <c r="U16" s="972">
        <f>'4.1 Program Budget - 2024-2027'!BU186</f>
        <v>4329572.598608369</v>
      </c>
      <c r="V16" s="973"/>
      <c r="W16" s="973"/>
      <c r="X16" s="973"/>
      <c r="Y16" s="974"/>
      <c r="Z16" s="974"/>
      <c r="AA16" s="974"/>
      <c r="AB16" s="975"/>
      <c r="AC16" s="975"/>
      <c r="AD16" s="975"/>
      <c r="AE16" s="975"/>
      <c r="AF16" s="975"/>
      <c r="AG16" s="975"/>
      <c r="AH16" s="975"/>
      <c r="AI16" s="975"/>
      <c r="AJ16" s="975"/>
    </row>
    <row r="17" spans="1:36">
      <c r="A17" s="729" t="s">
        <v>1138</v>
      </c>
      <c r="B17" s="964">
        <v>0</v>
      </c>
      <c r="C17" s="964">
        <v>0</v>
      </c>
      <c r="D17" s="964">
        <v>0</v>
      </c>
      <c r="E17" s="965">
        <f t="shared" ref="E17" si="12">SUM(B17:D17)</f>
        <v>0</v>
      </c>
      <c r="F17" s="964"/>
      <c r="G17" s="964"/>
      <c r="H17" s="966">
        <f>SUMIF('4.1 Program Budget - 2024-2027'!$G$6:$G$182,README!$L$16,'4.1 Program Budget - 2024-2027'!$R$6:$R$182)</f>
        <v>0</v>
      </c>
      <c r="I17" s="965">
        <f t="shared" ref="I17" si="13">SUM(F17:H17)</f>
        <v>0</v>
      </c>
      <c r="J17" s="964"/>
      <c r="K17" s="964"/>
      <c r="L17" s="966">
        <f>SUMIF('4.1 Program Budget - 2024-2027'!$G$6:$G$182,README!$L$16,'4.1 Program Budget - 2024-2027'!$AJ$6:$AJ$182)</f>
        <v>0</v>
      </c>
      <c r="M17" s="965">
        <f>SUM(J17:L17)</f>
        <v>0</v>
      </c>
      <c r="N17" s="964"/>
      <c r="O17" s="964"/>
      <c r="P17" s="966">
        <f>SUMIF('4.1 Program Budget - 2024-2027'!$G$6:$G$182,README!$L$16,'4.1 Program Budget - 2024-2027'!$AJ$6:$AJ$182)</f>
        <v>0</v>
      </c>
      <c r="Q17" s="965">
        <f t="shared" ref="Q17" si="14">SUM(N17:P17)</f>
        <v>0</v>
      </c>
      <c r="R17" s="964"/>
      <c r="S17" s="964"/>
      <c r="T17" s="966">
        <f>SUMIF('4.1 Program Budget - 2024-2027'!$G$6:$G$182,README!$L$16,'4.1 Program Budget - 2024-2027'!$AJ$6:$AJ$182)</f>
        <v>0</v>
      </c>
      <c r="U17" s="965">
        <f t="shared" ref="U17" si="15">SUM(R17:T17)</f>
        <v>0</v>
      </c>
      <c r="V17" s="973"/>
      <c r="W17" s="973"/>
      <c r="X17" s="973"/>
      <c r="Y17" s="975"/>
      <c r="Z17" s="975"/>
      <c r="AA17" s="975"/>
      <c r="AB17" s="975"/>
      <c r="AC17" s="975"/>
      <c r="AD17" s="975"/>
      <c r="AE17" s="975"/>
      <c r="AF17" s="975"/>
      <c r="AG17" s="975"/>
      <c r="AH17" s="975"/>
      <c r="AI17" s="975"/>
      <c r="AJ17" s="975"/>
    </row>
    <row r="18" spans="1:36">
      <c r="A18" s="737" t="s">
        <v>685</v>
      </c>
      <c r="B18" s="965">
        <f t="shared" ref="B18:U18" si="16">SUM(B14:B17)</f>
        <v>17198440</v>
      </c>
      <c r="C18" s="965">
        <f t="shared" si="16"/>
        <v>36812025</v>
      </c>
      <c r="D18" s="965">
        <f t="shared" si="16"/>
        <v>36729362</v>
      </c>
      <c r="E18" s="965">
        <f t="shared" si="16"/>
        <v>90739827</v>
      </c>
      <c r="F18" s="965">
        <f t="shared" si="16"/>
        <v>18984699</v>
      </c>
      <c r="G18" s="965">
        <f t="shared" si="16"/>
        <v>66872169.390505232</v>
      </c>
      <c r="H18" s="965">
        <f t="shared" si="16"/>
        <v>66229390.075366206</v>
      </c>
      <c r="I18" s="965">
        <f>SUM(I14:I17)</f>
        <v>151687539.46587145</v>
      </c>
      <c r="J18" s="965">
        <f t="shared" si="16"/>
        <v>19371556.009999998</v>
      </c>
      <c r="K18" s="965">
        <f t="shared" si="16"/>
        <v>67079862.026801534</v>
      </c>
      <c r="L18" s="965">
        <f t="shared" si="16"/>
        <v>66255651.661529884</v>
      </c>
      <c r="M18" s="965">
        <f t="shared" si="16"/>
        <v>152297750.69833142</v>
      </c>
      <c r="N18" s="965">
        <f t="shared" si="16"/>
        <v>19757229.300000001</v>
      </c>
      <c r="O18" s="965">
        <f t="shared" si="16"/>
        <v>67272825.871958852</v>
      </c>
      <c r="P18" s="965">
        <f t="shared" si="16"/>
        <v>66481817.996552348</v>
      </c>
      <c r="Q18" s="965">
        <f t="shared" si="16"/>
        <v>153091119.86851117</v>
      </c>
      <c r="R18" s="965">
        <f t="shared" si="16"/>
        <v>20127011.010000002</v>
      </c>
      <c r="S18" s="965">
        <f t="shared" si="16"/>
        <v>67547576.854786679</v>
      </c>
      <c r="T18" s="965">
        <f t="shared" si="16"/>
        <v>67385700.942655042</v>
      </c>
      <c r="U18" s="965">
        <f t="shared" si="16"/>
        <v>154627592.80744171</v>
      </c>
      <c r="V18" s="976">
        <f>+V14</f>
        <v>1844328.3600000006</v>
      </c>
      <c r="W18" s="976">
        <f t="shared" ref="W18:AJ18" si="17">+W14</f>
        <v>170.27</v>
      </c>
      <c r="X18" s="976">
        <f t="shared" si="17"/>
        <v>46372811.86999999</v>
      </c>
      <c r="Y18" s="977">
        <f t="shared" si="17"/>
        <v>13136113.58</v>
      </c>
      <c r="Z18" s="977">
        <f t="shared" si="17"/>
        <v>2925.2999999999997</v>
      </c>
      <c r="AA18" s="977">
        <f t="shared" si="17"/>
        <v>51758458.7509</v>
      </c>
      <c r="AB18" s="977">
        <f t="shared" si="17"/>
        <v>13144723.884090001</v>
      </c>
      <c r="AC18" s="977">
        <f t="shared" si="17"/>
        <v>2927.5203897340002</v>
      </c>
      <c r="AD18" s="977">
        <f t="shared" si="17"/>
        <v>51250982.75643</v>
      </c>
      <c r="AE18" s="977">
        <f t="shared" si="17"/>
        <v>13144291.759090001</v>
      </c>
      <c r="AF18" s="977">
        <f t="shared" si="17"/>
        <v>2927.3280897340005</v>
      </c>
      <c r="AG18" s="977">
        <f t="shared" si="17"/>
        <v>48015089.416429996</v>
      </c>
      <c r="AH18" s="977">
        <f t="shared" si="17"/>
        <v>13142251.38779</v>
      </c>
      <c r="AI18" s="977">
        <f t="shared" si="17"/>
        <v>2927.430754342</v>
      </c>
      <c r="AJ18" s="977">
        <f t="shared" si="17"/>
        <v>45511606.308329999</v>
      </c>
    </row>
    <row r="19" spans="1:36">
      <c r="A19" s="738" t="s">
        <v>1139</v>
      </c>
    </row>
    <row r="20" spans="1:36">
      <c r="A20" s="738" t="s">
        <v>1140</v>
      </c>
      <c r="F20" s="978"/>
      <c r="G20" s="107"/>
      <c r="H20" s="107"/>
      <c r="I20" s="107"/>
      <c r="J20" s="978"/>
      <c r="K20" s="107"/>
      <c r="L20" s="107"/>
      <c r="M20" s="107"/>
      <c r="N20" s="978"/>
      <c r="O20" s="107"/>
      <c r="P20" s="107"/>
      <c r="Q20" s="107"/>
      <c r="R20" s="978"/>
    </row>
    <row r="21" spans="1:36">
      <c r="A21" s="728"/>
      <c r="F21" s="979"/>
    </row>
    <row r="22" spans="1:36">
      <c r="A22" s="728"/>
    </row>
    <row r="23" spans="1:36">
      <c r="A23" s="728"/>
      <c r="L23" s="980"/>
      <c r="M23" s="980"/>
    </row>
    <row r="24" spans="1:36">
      <c r="A24" s="728"/>
      <c r="G24" s="886"/>
      <c r="H24" s="886"/>
      <c r="I24" s="886"/>
      <c r="J24" s="886"/>
      <c r="L24" s="980"/>
      <c r="M24" s="886"/>
    </row>
    <row r="25" spans="1:36">
      <c r="A25" s="728"/>
      <c r="F25" s="981"/>
      <c r="G25" s="886"/>
      <c r="H25" s="886"/>
      <c r="I25" s="886"/>
      <c r="J25" s="886"/>
      <c r="L25" s="980"/>
      <c r="M25" s="886"/>
    </row>
    <row r="26" spans="1:36">
      <c r="A26" s="728"/>
      <c r="F26" s="981"/>
      <c r="G26" s="886"/>
      <c r="H26" s="886"/>
      <c r="I26" s="886"/>
      <c r="J26" s="886"/>
      <c r="L26" s="980"/>
      <c r="M26" s="886"/>
    </row>
    <row r="27" spans="1:36">
      <c r="A27" s="728"/>
      <c r="F27" s="981"/>
      <c r="G27" s="886"/>
      <c r="H27" s="886"/>
      <c r="I27" s="886"/>
      <c r="J27" s="886"/>
      <c r="L27" s="980"/>
      <c r="M27" s="886"/>
    </row>
    <row r="28" spans="1:36">
      <c r="A28" s="728"/>
      <c r="F28" s="981"/>
      <c r="G28" s="886"/>
      <c r="H28" s="886"/>
      <c r="I28" s="886"/>
      <c r="J28" s="886"/>
    </row>
    <row r="29" spans="1:36">
      <c r="A29" s="728"/>
      <c r="F29" s="981"/>
      <c r="G29" s="886"/>
      <c r="H29" s="886"/>
      <c r="I29" s="886"/>
      <c r="J29" s="886"/>
    </row>
    <row r="30" spans="1:36">
      <c r="A30" s="728"/>
      <c r="H30" s="739"/>
      <c r="I30" s="739"/>
      <c r="J30" s="739"/>
      <c r="K30" s="739"/>
    </row>
    <row r="31" spans="1:36">
      <c r="A31" s="728"/>
      <c r="H31" s="739"/>
      <c r="I31" s="739"/>
      <c r="J31" s="739"/>
      <c r="K31" s="739"/>
    </row>
    <row r="32" spans="1:36">
      <c r="A32" s="728"/>
      <c r="H32" s="739"/>
      <c r="I32" s="739"/>
      <c r="J32" s="739"/>
      <c r="K32" s="739"/>
    </row>
    <row r="33" spans="1:11">
      <c r="A33" s="728"/>
      <c r="H33" s="739"/>
      <c r="I33" s="739"/>
      <c r="J33" s="739"/>
      <c r="K33" s="739"/>
    </row>
    <row r="34" spans="1:11">
      <c r="A34" s="728"/>
      <c r="H34" s="739"/>
      <c r="I34" s="739"/>
      <c r="J34" s="739"/>
      <c r="K34" s="739"/>
    </row>
    <row r="35" spans="1:11">
      <c r="A35" s="728"/>
      <c r="H35" s="739"/>
      <c r="I35" s="739"/>
      <c r="J35" s="739"/>
      <c r="K35" s="739"/>
    </row>
    <row r="36" spans="1:11">
      <c r="A36" s="728"/>
    </row>
    <row r="37" spans="1:11">
      <c r="A37" s="728"/>
    </row>
    <row r="38" spans="1:11">
      <c r="A38" s="728"/>
    </row>
    <row r="39" spans="1:11">
      <c r="A39" s="728"/>
    </row>
    <row r="40" spans="1:11">
      <c r="A40" s="728"/>
    </row>
    <row r="41" spans="1:11">
      <c r="A41" s="728"/>
    </row>
    <row r="42" spans="1:11">
      <c r="A42" s="728"/>
    </row>
    <row r="43" spans="1:11">
      <c r="A43" s="728"/>
    </row>
    <row r="44" spans="1:11">
      <c r="A44" s="728"/>
    </row>
    <row r="45" spans="1:11">
      <c r="A45" s="728"/>
    </row>
    <row r="46" spans="1:11">
      <c r="A46" s="728"/>
    </row>
    <row r="47" spans="1:11">
      <c r="A47" s="728"/>
    </row>
    <row r="48" spans="1:11">
      <c r="A48" s="728"/>
    </row>
    <row r="49" spans="1:1">
      <c r="A49" s="728"/>
    </row>
    <row r="50" spans="1:1">
      <c r="A50" s="728"/>
    </row>
    <row r="51" spans="1:1">
      <c r="A51" s="728"/>
    </row>
    <row r="52" spans="1:1">
      <c r="A52" s="728"/>
    </row>
    <row r="53" spans="1:1">
      <c r="A53" s="728"/>
    </row>
    <row r="54" spans="1:1">
      <c r="A54" s="728"/>
    </row>
    <row r="55" spans="1:1">
      <c r="A55" s="728"/>
    </row>
    <row r="56" spans="1:1">
      <c r="A56" s="728"/>
    </row>
    <row r="57" spans="1:1">
      <c r="A57" s="728"/>
    </row>
    <row r="58" spans="1:1">
      <c r="A58" s="728"/>
    </row>
    <row r="59" spans="1:1">
      <c r="A59" s="728"/>
    </row>
    <row r="60" spans="1:1">
      <c r="A60" s="728"/>
    </row>
    <row r="61" spans="1:1">
      <c r="A61" s="728"/>
    </row>
    <row r="62" spans="1:1">
      <c r="A62" s="728"/>
    </row>
    <row r="63" spans="1:1">
      <c r="A63" s="728"/>
    </row>
    <row r="64" spans="1:1">
      <c r="A64" s="728"/>
    </row>
    <row r="65" spans="1:1">
      <c r="A65" s="728"/>
    </row>
    <row r="66" spans="1:1">
      <c r="A66" s="728"/>
    </row>
    <row r="67" spans="1:1">
      <c r="A67" s="728"/>
    </row>
    <row r="68" spans="1:1">
      <c r="A68" s="728"/>
    </row>
    <row r="69" spans="1:1">
      <c r="A69" s="728"/>
    </row>
    <row r="70" spans="1:1">
      <c r="A70" s="728"/>
    </row>
    <row r="71" spans="1:1">
      <c r="A71" s="728"/>
    </row>
    <row r="72" spans="1:1">
      <c r="A72" s="728"/>
    </row>
    <row r="73" spans="1:1">
      <c r="A73" s="728"/>
    </row>
    <row r="74" spans="1:1">
      <c r="A74" s="728"/>
    </row>
    <row r="75" spans="1:1">
      <c r="A75" s="728"/>
    </row>
    <row r="76" spans="1:1">
      <c r="A76" s="728"/>
    </row>
    <row r="77" spans="1:1">
      <c r="A77" s="728"/>
    </row>
    <row r="78" spans="1:1">
      <c r="A78" s="728"/>
    </row>
    <row r="79" spans="1:1">
      <c r="A79" s="728"/>
    </row>
    <row r="80" spans="1:1">
      <c r="A80" s="728"/>
    </row>
    <row r="81" spans="1:1">
      <c r="A81" s="728"/>
    </row>
    <row r="82" spans="1:1">
      <c r="A82" s="728"/>
    </row>
    <row r="83" spans="1:1">
      <c r="A83" s="728"/>
    </row>
    <row r="84" spans="1:1">
      <c r="A84" s="728"/>
    </row>
    <row r="85" spans="1:1">
      <c r="A85" s="728"/>
    </row>
    <row r="86" spans="1:1">
      <c r="A86" s="728"/>
    </row>
    <row r="87" spans="1:1">
      <c r="A87" s="728"/>
    </row>
    <row r="88" spans="1:1">
      <c r="A88" s="728"/>
    </row>
    <row r="89" spans="1:1">
      <c r="A89" s="728"/>
    </row>
    <row r="90" spans="1:1">
      <c r="A90" s="728"/>
    </row>
    <row r="91" spans="1:1">
      <c r="A91" s="728"/>
    </row>
    <row r="92" spans="1:1">
      <c r="A92" s="728"/>
    </row>
    <row r="93" spans="1:1">
      <c r="A93" s="728"/>
    </row>
    <row r="94" spans="1:1">
      <c r="A94" s="728"/>
    </row>
    <row r="95" spans="1:1">
      <c r="A95" s="728"/>
    </row>
    <row r="96" spans="1:1">
      <c r="A96" s="728"/>
    </row>
    <row r="97" spans="1:1">
      <c r="A97" s="728"/>
    </row>
    <row r="98" spans="1:1">
      <c r="A98" s="728"/>
    </row>
    <row r="99" spans="1:1">
      <c r="A99" s="728"/>
    </row>
    <row r="100" spans="1:1">
      <c r="A100" s="728"/>
    </row>
    <row r="101" spans="1:1">
      <c r="A101" s="728"/>
    </row>
    <row r="102" spans="1:1">
      <c r="A102" s="728"/>
    </row>
    <row r="103" spans="1:1">
      <c r="A103" s="728"/>
    </row>
    <row r="104" spans="1:1">
      <c r="A104" s="728"/>
    </row>
    <row r="105" spans="1:1">
      <c r="A105" s="728"/>
    </row>
    <row r="106" spans="1:1">
      <c r="A106" s="728"/>
    </row>
    <row r="107" spans="1:1">
      <c r="A107" s="728"/>
    </row>
    <row r="108" spans="1:1">
      <c r="A108" s="728"/>
    </row>
    <row r="109" spans="1:1">
      <c r="A109" s="728"/>
    </row>
    <row r="110" spans="1:1">
      <c r="A110" s="728"/>
    </row>
    <row r="111" spans="1:1">
      <c r="A111" s="728"/>
    </row>
    <row r="112" spans="1:1">
      <c r="A112" s="728"/>
    </row>
    <row r="113" spans="1:1">
      <c r="A113" s="728"/>
    </row>
    <row r="114" spans="1:1">
      <c r="A114" s="728"/>
    </row>
    <row r="115" spans="1:1">
      <c r="A115" s="728"/>
    </row>
    <row r="116" spans="1:1">
      <c r="A116" s="728"/>
    </row>
    <row r="117" spans="1:1">
      <c r="A117" s="728"/>
    </row>
    <row r="118" spans="1:1">
      <c r="A118" s="728"/>
    </row>
    <row r="119" spans="1:1">
      <c r="A119" s="728"/>
    </row>
    <row r="120" spans="1:1">
      <c r="A120" s="728"/>
    </row>
    <row r="121" spans="1:1">
      <c r="A121" s="728"/>
    </row>
    <row r="122" spans="1:1">
      <c r="A122" s="728"/>
    </row>
    <row r="123" spans="1:1">
      <c r="A123" s="728"/>
    </row>
    <row r="124" spans="1:1">
      <c r="A124" s="728"/>
    </row>
    <row r="125" spans="1:1">
      <c r="A125" s="728"/>
    </row>
    <row r="126" spans="1:1">
      <c r="A126" s="728"/>
    </row>
    <row r="127" spans="1:1">
      <c r="A127" s="728"/>
    </row>
    <row r="128" spans="1:1">
      <c r="A128" s="728"/>
    </row>
    <row r="129" spans="1:1">
      <c r="A129" s="728"/>
    </row>
    <row r="130" spans="1:1">
      <c r="A130" s="728"/>
    </row>
    <row r="131" spans="1:1">
      <c r="A131" s="728"/>
    </row>
    <row r="132" spans="1:1">
      <c r="A132" s="728"/>
    </row>
    <row r="133" spans="1:1">
      <c r="A133" s="728"/>
    </row>
    <row r="134" spans="1:1">
      <c r="A134" s="728"/>
    </row>
    <row r="135" spans="1:1">
      <c r="A135" s="728"/>
    </row>
    <row r="136" spans="1:1">
      <c r="A136" s="728"/>
    </row>
    <row r="137" spans="1:1">
      <c r="A137" s="728"/>
    </row>
    <row r="138" spans="1:1">
      <c r="A138" s="728"/>
    </row>
    <row r="139" spans="1:1">
      <c r="A139" s="728"/>
    </row>
    <row r="140" spans="1:1">
      <c r="A140" s="728"/>
    </row>
    <row r="141" spans="1:1">
      <c r="A141" s="728"/>
    </row>
    <row r="142" spans="1:1">
      <c r="A142" s="728"/>
    </row>
    <row r="143" spans="1:1">
      <c r="A143" s="728"/>
    </row>
    <row r="144" spans="1:1">
      <c r="A144" s="728"/>
    </row>
    <row r="145" spans="1:1">
      <c r="A145" s="728"/>
    </row>
    <row r="146" spans="1:1">
      <c r="A146" s="728"/>
    </row>
    <row r="147" spans="1:1">
      <c r="A147" s="728"/>
    </row>
    <row r="148" spans="1:1">
      <c r="A148" s="728"/>
    </row>
    <row r="149" spans="1:1">
      <c r="A149" s="728"/>
    </row>
    <row r="150" spans="1:1">
      <c r="A150" s="728"/>
    </row>
    <row r="151" spans="1:1">
      <c r="A151" s="728"/>
    </row>
    <row r="152" spans="1:1">
      <c r="A152" s="728"/>
    </row>
    <row r="153" spans="1:1">
      <c r="A153" s="728"/>
    </row>
    <row r="154" spans="1:1">
      <c r="A154" s="728"/>
    </row>
    <row r="155" spans="1:1">
      <c r="A155" s="728"/>
    </row>
    <row r="156" spans="1:1">
      <c r="A156" s="728"/>
    </row>
    <row r="157" spans="1:1">
      <c r="A157" s="728"/>
    </row>
    <row r="158" spans="1:1">
      <c r="A158" s="728"/>
    </row>
    <row r="159" spans="1:1">
      <c r="A159" s="728"/>
    </row>
    <row r="160" spans="1:1">
      <c r="A160" s="728"/>
    </row>
    <row r="161" spans="1:1">
      <c r="A161" s="728"/>
    </row>
    <row r="162" spans="1:1">
      <c r="A162" s="728"/>
    </row>
    <row r="163" spans="1:1">
      <c r="A163" s="728"/>
    </row>
    <row r="164" spans="1:1">
      <c r="A164" s="728"/>
    </row>
    <row r="165" spans="1:1">
      <c r="A165" s="728"/>
    </row>
    <row r="166" spans="1:1">
      <c r="A166" s="728"/>
    </row>
    <row r="167" spans="1:1">
      <c r="A167" s="728"/>
    </row>
    <row r="168" spans="1:1">
      <c r="A168" s="728"/>
    </row>
    <row r="169" spans="1:1">
      <c r="A169" s="728"/>
    </row>
    <row r="170" spans="1:1">
      <c r="A170" s="728"/>
    </row>
    <row r="171" spans="1:1">
      <c r="A171" s="728"/>
    </row>
    <row r="172" spans="1:1">
      <c r="A172" s="728"/>
    </row>
    <row r="173" spans="1:1">
      <c r="A173" s="728"/>
    </row>
    <row r="174" spans="1:1">
      <c r="A174" s="728"/>
    </row>
    <row r="175" spans="1:1">
      <c r="A175" s="728"/>
    </row>
    <row r="176" spans="1:1">
      <c r="A176" s="728"/>
    </row>
    <row r="177" spans="1:1">
      <c r="A177" s="728"/>
    </row>
    <row r="178" spans="1:1">
      <c r="A178" s="728"/>
    </row>
    <row r="179" spans="1:1">
      <c r="A179" s="728"/>
    </row>
    <row r="180" spans="1:1">
      <c r="A180" s="728"/>
    </row>
    <row r="181" spans="1:1">
      <c r="A181" s="728"/>
    </row>
    <row r="182" spans="1:1">
      <c r="A182" s="728"/>
    </row>
    <row r="183" spans="1:1">
      <c r="A183" s="728"/>
    </row>
    <row r="184" spans="1:1">
      <c r="A184" s="728"/>
    </row>
    <row r="185" spans="1:1">
      <c r="A185" s="728"/>
    </row>
    <row r="186" spans="1:1">
      <c r="A186" s="728"/>
    </row>
    <row r="187" spans="1:1">
      <c r="A187" s="728"/>
    </row>
    <row r="188" spans="1:1">
      <c r="A188" s="728"/>
    </row>
    <row r="189" spans="1:1">
      <c r="A189" s="728"/>
    </row>
    <row r="190" spans="1:1">
      <c r="A190" s="728"/>
    </row>
    <row r="191" spans="1:1">
      <c r="A191" s="728"/>
    </row>
    <row r="192" spans="1:1">
      <c r="A192" s="728"/>
    </row>
    <row r="193" spans="1:1">
      <c r="A193" s="728"/>
    </row>
    <row r="194" spans="1:1">
      <c r="A194" s="728"/>
    </row>
    <row r="195" spans="1:1">
      <c r="A195" s="728"/>
    </row>
    <row r="196" spans="1:1">
      <c r="A196" s="728"/>
    </row>
    <row r="197" spans="1:1">
      <c r="A197" s="728"/>
    </row>
    <row r="198" spans="1:1">
      <c r="A198" s="728"/>
    </row>
    <row r="199" spans="1:1">
      <c r="A199" s="728"/>
    </row>
    <row r="200" spans="1:1">
      <c r="A200" s="728"/>
    </row>
    <row r="201" spans="1:1">
      <c r="A201" s="728"/>
    </row>
    <row r="202" spans="1:1">
      <c r="A202" s="728"/>
    </row>
    <row r="203" spans="1:1">
      <c r="A203" s="728"/>
    </row>
    <row r="204" spans="1:1">
      <c r="A204" s="728"/>
    </row>
    <row r="205" spans="1:1">
      <c r="A205" s="728"/>
    </row>
    <row r="206" spans="1:1">
      <c r="A206" s="728"/>
    </row>
    <row r="207" spans="1:1">
      <c r="A207" s="728"/>
    </row>
    <row r="208" spans="1:1">
      <c r="A208" s="728"/>
    </row>
    <row r="209" spans="1:1">
      <c r="A209" s="728"/>
    </row>
    <row r="210" spans="1:1">
      <c r="A210" s="728"/>
    </row>
    <row r="211" spans="1:1">
      <c r="A211" s="728"/>
    </row>
    <row r="212" spans="1:1">
      <c r="A212" s="728"/>
    </row>
    <row r="213" spans="1:1">
      <c r="A213" s="728"/>
    </row>
    <row r="214" spans="1:1">
      <c r="A214" s="728"/>
    </row>
    <row r="215" spans="1:1">
      <c r="A215" s="728"/>
    </row>
    <row r="216" spans="1:1">
      <c r="A216" s="728"/>
    </row>
    <row r="217" spans="1:1">
      <c r="A217" s="728"/>
    </row>
    <row r="218" spans="1:1">
      <c r="A218" s="728"/>
    </row>
    <row r="219" spans="1:1">
      <c r="A219" s="728"/>
    </row>
    <row r="220" spans="1:1">
      <c r="A220" s="728"/>
    </row>
    <row r="221" spans="1:1">
      <c r="A221" s="728"/>
    </row>
    <row r="222" spans="1:1">
      <c r="A222" s="728"/>
    </row>
    <row r="223" spans="1:1">
      <c r="A223" s="728"/>
    </row>
    <row r="224" spans="1:1">
      <c r="A224" s="728"/>
    </row>
    <row r="225" spans="1:1">
      <c r="A225" s="728"/>
    </row>
    <row r="226" spans="1:1">
      <c r="A226" s="728"/>
    </row>
    <row r="227" spans="1:1">
      <c r="A227" s="728"/>
    </row>
    <row r="228" spans="1:1">
      <c r="A228" s="728"/>
    </row>
    <row r="229" spans="1:1">
      <c r="A229" s="728"/>
    </row>
    <row r="230" spans="1:1">
      <c r="A230" s="728"/>
    </row>
    <row r="231" spans="1:1">
      <c r="A231" s="728"/>
    </row>
    <row r="232" spans="1:1">
      <c r="A232" s="728"/>
    </row>
    <row r="233" spans="1:1">
      <c r="A233" s="728"/>
    </row>
    <row r="234" spans="1:1">
      <c r="A234" s="728"/>
    </row>
    <row r="235" spans="1:1">
      <c r="A235" s="728"/>
    </row>
    <row r="236" spans="1:1">
      <c r="A236" s="728"/>
    </row>
    <row r="237" spans="1:1">
      <c r="A237" s="728"/>
    </row>
    <row r="238" spans="1:1">
      <c r="A238" s="728"/>
    </row>
    <row r="239" spans="1:1">
      <c r="A239" s="728"/>
    </row>
    <row r="240" spans="1:1">
      <c r="A240" s="728"/>
    </row>
    <row r="241" spans="1:1">
      <c r="A241" s="728"/>
    </row>
    <row r="242" spans="1:1">
      <c r="A242" s="728"/>
    </row>
    <row r="243" spans="1:1">
      <c r="A243" s="728"/>
    </row>
    <row r="244" spans="1:1">
      <c r="A244" s="728"/>
    </row>
    <row r="245" spans="1:1">
      <c r="A245" s="728"/>
    </row>
    <row r="246" spans="1:1">
      <c r="A246" s="728"/>
    </row>
    <row r="247" spans="1:1">
      <c r="A247" s="728"/>
    </row>
    <row r="248" spans="1:1">
      <c r="A248" s="728"/>
    </row>
    <row r="249" spans="1:1">
      <c r="A249" s="728"/>
    </row>
    <row r="250" spans="1:1">
      <c r="A250" s="728"/>
    </row>
    <row r="251" spans="1:1">
      <c r="A251" s="728"/>
    </row>
    <row r="252" spans="1:1">
      <c r="A252" s="728"/>
    </row>
    <row r="253" spans="1:1">
      <c r="A253" s="728"/>
    </row>
    <row r="254" spans="1:1">
      <c r="A254" s="728"/>
    </row>
    <row r="255" spans="1:1">
      <c r="A255" s="728"/>
    </row>
    <row r="256" spans="1:1">
      <c r="A256" s="728"/>
    </row>
    <row r="257" spans="1:1">
      <c r="A257" s="728"/>
    </row>
    <row r="258" spans="1:1">
      <c r="A258" s="728"/>
    </row>
    <row r="259" spans="1:1">
      <c r="A259" s="728"/>
    </row>
    <row r="260" spans="1:1">
      <c r="A260" s="728"/>
    </row>
    <row r="261" spans="1:1">
      <c r="A261" s="728"/>
    </row>
    <row r="262" spans="1:1">
      <c r="A262" s="728"/>
    </row>
    <row r="263" spans="1:1">
      <c r="A263" s="728"/>
    </row>
    <row r="264" spans="1:1">
      <c r="A264" s="728"/>
    </row>
    <row r="265" spans="1:1">
      <c r="A265" s="728"/>
    </row>
    <row r="266" spans="1:1">
      <c r="A266" s="728"/>
    </row>
    <row r="267" spans="1:1">
      <c r="A267" s="728"/>
    </row>
    <row r="268" spans="1:1">
      <c r="A268" s="728"/>
    </row>
    <row r="269" spans="1:1">
      <c r="A269" s="728"/>
    </row>
    <row r="270" spans="1:1">
      <c r="A270" s="728"/>
    </row>
    <row r="271" spans="1:1">
      <c r="A271" s="728"/>
    </row>
    <row r="272" spans="1:1">
      <c r="A272" s="728"/>
    </row>
    <row r="273" spans="1:1">
      <c r="A273" s="728"/>
    </row>
    <row r="274" spans="1:1">
      <c r="A274" s="728"/>
    </row>
    <row r="275" spans="1:1">
      <c r="A275" s="728"/>
    </row>
    <row r="276" spans="1:1">
      <c r="A276" s="728"/>
    </row>
    <row r="277" spans="1:1">
      <c r="A277" s="728"/>
    </row>
    <row r="278" spans="1:1">
      <c r="A278" s="728"/>
    </row>
    <row r="279" spans="1:1">
      <c r="A279" s="728"/>
    </row>
    <row r="280" spans="1:1">
      <c r="A280" s="728"/>
    </row>
    <row r="281" spans="1:1">
      <c r="A281" s="728"/>
    </row>
    <row r="282" spans="1:1">
      <c r="A282" s="728"/>
    </row>
    <row r="283" spans="1:1">
      <c r="A283" s="728"/>
    </row>
    <row r="284" spans="1:1">
      <c r="A284" s="728"/>
    </row>
    <row r="285" spans="1:1">
      <c r="A285" s="728"/>
    </row>
    <row r="286" spans="1:1">
      <c r="A286" s="728"/>
    </row>
    <row r="287" spans="1:1">
      <c r="A287" s="728"/>
    </row>
    <row r="288" spans="1:1">
      <c r="A288" s="728"/>
    </row>
    <row r="289" spans="1:1">
      <c r="A289" s="728"/>
    </row>
    <row r="290" spans="1:1">
      <c r="A290" s="728"/>
    </row>
    <row r="291" spans="1:1">
      <c r="A291" s="728"/>
    </row>
    <row r="292" spans="1:1">
      <c r="A292" s="728"/>
    </row>
    <row r="293" spans="1:1">
      <c r="A293" s="728"/>
    </row>
    <row r="294" spans="1:1">
      <c r="A294" s="728"/>
    </row>
    <row r="295" spans="1:1">
      <c r="A295" s="728"/>
    </row>
    <row r="296" spans="1:1">
      <c r="A296" s="728"/>
    </row>
    <row r="297" spans="1:1">
      <c r="A297" s="728"/>
    </row>
    <row r="298" spans="1:1">
      <c r="A298" s="728"/>
    </row>
    <row r="299" spans="1:1">
      <c r="A299" s="728"/>
    </row>
    <row r="300" spans="1:1">
      <c r="A300" s="728"/>
    </row>
    <row r="301" spans="1:1">
      <c r="A301" s="728"/>
    </row>
    <row r="302" spans="1:1">
      <c r="A302" s="728"/>
    </row>
    <row r="303" spans="1:1">
      <c r="A303" s="728"/>
    </row>
    <row r="304" spans="1:1">
      <c r="A304" s="728"/>
    </row>
    <row r="305" spans="1:1">
      <c r="A305" s="728"/>
    </row>
    <row r="306" spans="1:1">
      <c r="A306" s="728"/>
    </row>
    <row r="307" spans="1:1">
      <c r="A307" s="728"/>
    </row>
    <row r="308" spans="1:1">
      <c r="A308" s="728"/>
    </row>
    <row r="309" spans="1:1">
      <c r="A309" s="728"/>
    </row>
    <row r="310" spans="1:1">
      <c r="A310" s="728"/>
    </row>
    <row r="311" spans="1:1">
      <c r="A311" s="728"/>
    </row>
    <row r="312" spans="1:1">
      <c r="A312" s="728"/>
    </row>
    <row r="313" spans="1:1">
      <c r="A313" s="728"/>
    </row>
    <row r="314" spans="1:1">
      <c r="A314" s="728"/>
    </row>
    <row r="315" spans="1:1">
      <c r="A315" s="728"/>
    </row>
    <row r="316" spans="1:1">
      <c r="A316" s="728"/>
    </row>
    <row r="317" spans="1:1">
      <c r="A317" s="728"/>
    </row>
    <row r="318" spans="1:1">
      <c r="A318" s="728"/>
    </row>
    <row r="319" spans="1:1">
      <c r="A319" s="728"/>
    </row>
    <row r="320" spans="1:1">
      <c r="A320" s="728"/>
    </row>
    <row r="321" spans="1:1">
      <c r="A321" s="728"/>
    </row>
    <row r="322" spans="1:1">
      <c r="A322" s="728"/>
    </row>
    <row r="323" spans="1:1">
      <c r="A323" s="728"/>
    </row>
    <row r="324" spans="1:1">
      <c r="A324" s="728"/>
    </row>
    <row r="325" spans="1:1">
      <c r="A325" s="728"/>
    </row>
    <row r="326" spans="1:1">
      <c r="A326" s="728"/>
    </row>
    <row r="327" spans="1:1">
      <c r="A327" s="728"/>
    </row>
    <row r="328" spans="1:1">
      <c r="A328" s="728"/>
    </row>
    <row r="329" spans="1:1">
      <c r="A329" s="728"/>
    </row>
    <row r="330" spans="1:1">
      <c r="A330" s="728"/>
    </row>
    <row r="331" spans="1:1">
      <c r="A331" s="728"/>
    </row>
    <row r="332" spans="1:1">
      <c r="A332" s="728"/>
    </row>
    <row r="333" spans="1:1">
      <c r="A333" s="728"/>
    </row>
    <row r="334" spans="1:1">
      <c r="A334" s="728"/>
    </row>
    <row r="335" spans="1:1">
      <c r="A335" s="728"/>
    </row>
    <row r="336" spans="1:1">
      <c r="A336" s="728"/>
    </row>
    <row r="337" spans="1:1">
      <c r="A337" s="728"/>
    </row>
    <row r="338" spans="1:1">
      <c r="A338" s="728"/>
    </row>
    <row r="339" spans="1:1">
      <c r="A339" s="728"/>
    </row>
    <row r="340" spans="1:1">
      <c r="A340" s="728"/>
    </row>
    <row r="341" spans="1:1">
      <c r="A341" s="728"/>
    </row>
    <row r="342" spans="1:1">
      <c r="A342" s="728"/>
    </row>
    <row r="343" spans="1:1">
      <c r="A343" s="728"/>
    </row>
    <row r="344" spans="1:1">
      <c r="A344" s="728"/>
    </row>
    <row r="345" spans="1:1">
      <c r="A345" s="728"/>
    </row>
    <row r="346" spans="1:1">
      <c r="A346" s="728"/>
    </row>
    <row r="347" spans="1:1">
      <c r="A347" s="728"/>
    </row>
    <row r="348" spans="1:1">
      <c r="A348" s="728"/>
    </row>
    <row r="349" spans="1:1">
      <c r="A349" s="728"/>
    </row>
    <row r="350" spans="1:1">
      <c r="A350" s="728"/>
    </row>
    <row r="351" spans="1:1">
      <c r="A351" s="728"/>
    </row>
    <row r="352" spans="1:1">
      <c r="A352" s="728"/>
    </row>
    <row r="353" spans="1:1">
      <c r="A353" s="728"/>
    </row>
    <row r="354" spans="1:1">
      <c r="A354" s="728"/>
    </row>
    <row r="355" spans="1:1">
      <c r="A355" s="728"/>
    </row>
    <row r="356" spans="1:1">
      <c r="A356" s="728"/>
    </row>
    <row r="357" spans="1:1">
      <c r="A357" s="728"/>
    </row>
    <row r="358" spans="1:1">
      <c r="A358" s="728"/>
    </row>
    <row r="359" spans="1:1">
      <c r="A359" s="728"/>
    </row>
    <row r="360" spans="1:1">
      <c r="A360" s="728"/>
    </row>
    <row r="361" spans="1:1">
      <c r="A361" s="728"/>
    </row>
    <row r="362" spans="1:1">
      <c r="A362" s="728"/>
    </row>
    <row r="363" spans="1:1">
      <c r="A363" s="728"/>
    </row>
    <row r="364" spans="1:1">
      <c r="A364" s="728"/>
    </row>
    <row r="365" spans="1:1">
      <c r="A365" s="728"/>
    </row>
    <row r="366" spans="1:1">
      <c r="A366" s="728"/>
    </row>
    <row r="367" spans="1:1">
      <c r="A367" s="728"/>
    </row>
    <row r="368" spans="1:1">
      <c r="A368" s="728"/>
    </row>
    <row r="369" spans="1:1">
      <c r="A369" s="728"/>
    </row>
    <row r="370" spans="1:1">
      <c r="A370" s="728"/>
    </row>
    <row r="371" spans="1:1">
      <c r="A371" s="728"/>
    </row>
    <row r="372" spans="1:1">
      <c r="A372" s="728"/>
    </row>
    <row r="373" spans="1:1">
      <c r="A373" s="728"/>
    </row>
    <row r="374" spans="1:1">
      <c r="A374" s="728"/>
    </row>
    <row r="375" spans="1:1">
      <c r="A375" s="728"/>
    </row>
    <row r="376" spans="1:1">
      <c r="A376" s="728"/>
    </row>
    <row r="377" spans="1:1">
      <c r="A377" s="728"/>
    </row>
    <row r="378" spans="1:1">
      <c r="A378" s="728"/>
    </row>
    <row r="379" spans="1:1">
      <c r="A379" s="728"/>
    </row>
    <row r="380" spans="1:1">
      <c r="A380" s="728"/>
    </row>
    <row r="381" spans="1:1">
      <c r="A381" s="728"/>
    </row>
    <row r="382" spans="1:1">
      <c r="A382" s="728"/>
    </row>
    <row r="383" spans="1:1">
      <c r="A383" s="728"/>
    </row>
    <row r="384" spans="1:1">
      <c r="A384" s="728"/>
    </row>
    <row r="385" spans="1:1">
      <c r="A385" s="728"/>
    </row>
    <row r="386" spans="1:1">
      <c r="A386" s="728"/>
    </row>
    <row r="387" spans="1:1">
      <c r="A387" s="728"/>
    </row>
    <row r="388" spans="1:1">
      <c r="A388" s="728"/>
    </row>
    <row r="389" spans="1:1">
      <c r="A389" s="728"/>
    </row>
    <row r="390" spans="1:1">
      <c r="A390" s="728"/>
    </row>
    <row r="391" spans="1:1">
      <c r="A391" s="728"/>
    </row>
    <row r="392" spans="1:1">
      <c r="A392" s="728"/>
    </row>
    <row r="393" spans="1:1">
      <c r="A393" s="728"/>
    </row>
    <row r="394" spans="1:1">
      <c r="A394" s="728"/>
    </row>
    <row r="395" spans="1:1">
      <c r="A395" s="728"/>
    </row>
    <row r="396" spans="1:1">
      <c r="A396" s="728"/>
    </row>
    <row r="397" spans="1:1">
      <c r="A397" s="728"/>
    </row>
    <row r="398" spans="1:1">
      <c r="A398" s="728"/>
    </row>
    <row r="399" spans="1:1">
      <c r="A399" s="728"/>
    </row>
    <row r="400" spans="1:1">
      <c r="A400" s="728"/>
    </row>
    <row r="401" spans="1:1">
      <c r="A401" s="728"/>
    </row>
    <row r="402" spans="1:1">
      <c r="A402" s="728"/>
    </row>
    <row r="403" spans="1:1">
      <c r="A403" s="728"/>
    </row>
    <row r="404" spans="1:1">
      <c r="A404" s="728"/>
    </row>
    <row r="405" spans="1:1">
      <c r="A405" s="728"/>
    </row>
    <row r="406" spans="1:1">
      <c r="A406" s="728"/>
    </row>
    <row r="407" spans="1:1">
      <c r="A407" s="728"/>
    </row>
    <row r="408" spans="1:1">
      <c r="A408" s="728"/>
    </row>
    <row r="409" spans="1:1">
      <c r="A409" s="728"/>
    </row>
    <row r="410" spans="1:1">
      <c r="A410" s="728"/>
    </row>
    <row r="411" spans="1:1">
      <c r="A411" s="728"/>
    </row>
    <row r="412" spans="1:1">
      <c r="A412" s="728"/>
    </row>
    <row r="413" spans="1:1">
      <c r="A413" s="728"/>
    </row>
    <row r="414" spans="1:1">
      <c r="A414" s="728"/>
    </row>
    <row r="415" spans="1:1">
      <c r="A415" s="728"/>
    </row>
    <row r="416" spans="1:1">
      <c r="A416" s="728"/>
    </row>
    <row r="417" spans="1:1">
      <c r="A417" s="728"/>
    </row>
    <row r="418" spans="1:1">
      <c r="A418" s="728"/>
    </row>
    <row r="419" spans="1:1">
      <c r="A419" s="728"/>
    </row>
    <row r="420" spans="1:1">
      <c r="A420" s="728"/>
    </row>
    <row r="421" spans="1:1">
      <c r="A421" s="728"/>
    </row>
    <row r="422" spans="1:1">
      <c r="A422" s="728"/>
    </row>
    <row r="423" spans="1:1">
      <c r="A423" s="728"/>
    </row>
    <row r="424" spans="1:1">
      <c r="A424" s="728"/>
    </row>
    <row r="425" spans="1:1">
      <c r="A425" s="728"/>
    </row>
    <row r="426" spans="1:1">
      <c r="A426" s="728"/>
    </row>
    <row r="427" spans="1:1">
      <c r="A427" s="728"/>
    </row>
    <row r="428" spans="1:1">
      <c r="A428" s="728"/>
    </row>
    <row r="429" spans="1:1">
      <c r="A429" s="728"/>
    </row>
    <row r="430" spans="1:1">
      <c r="A430" s="728"/>
    </row>
    <row r="431" spans="1:1">
      <c r="A431" s="728"/>
    </row>
    <row r="432" spans="1:1">
      <c r="A432" s="728"/>
    </row>
    <row r="433" spans="1:1">
      <c r="A433" s="728"/>
    </row>
    <row r="434" spans="1:1">
      <c r="A434" s="728"/>
    </row>
    <row r="435" spans="1:1">
      <c r="A435" s="728"/>
    </row>
    <row r="436" spans="1:1">
      <c r="A436" s="728"/>
    </row>
    <row r="437" spans="1:1">
      <c r="A437" s="728"/>
    </row>
    <row r="438" spans="1:1">
      <c r="A438" s="728"/>
    </row>
    <row r="439" spans="1:1">
      <c r="A439" s="728"/>
    </row>
    <row r="440" spans="1:1">
      <c r="A440" s="728"/>
    </row>
    <row r="441" spans="1:1">
      <c r="A441" s="728"/>
    </row>
    <row r="442" spans="1:1">
      <c r="A442" s="728"/>
    </row>
    <row r="443" spans="1:1">
      <c r="A443" s="728"/>
    </row>
    <row r="444" spans="1:1">
      <c r="A444" s="728"/>
    </row>
    <row r="445" spans="1:1">
      <c r="A445" s="728"/>
    </row>
    <row r="446" spans="1:1">
      <c r="A446" s="728"/>
    </row>
    <row r="447" spans="1:1">
      <c r="A447" s="728"/>
    </row>
    <row r="448" spans="1:1">
      <c r="A448" s="728"/>
    </row>
    <row r="449" spans="1:1">
      <c r="A449" s="728"/>
    </row>
    <row r="450" spans="1:1">
      <c r="A450" s="728"/>
    </row>
    <row r="451" spans="1:1">
      <c r="A451" s="728"/>
    </row>
    <row r="452" spans="1:1">
      <c r="A452" s="728"/>
    </row>
    <row r="453" spans="1:1">
      <c r="A453" s="728"/>
    </row>
    <row r="454" spans="1:1">
      <c r="A454" s="728"/>
    </row>
    <row r="455" spans="1:1">
      <c r="A455" s="728"/>
    </row>
    <row r="456" spans="1:1">
      <c r="A456" s="728"/>
    </row>
    <row r="457" spans="1:1">
      <c r="A457" s="728"/>
    </row>
    <row r="458" spans="1:1">
      <c r="A458" s="728"/>
    </row>
    <row r="459" spans="1:1">
      <c r="A459" s="728"/>
    </row>
    <row r="460" spans="1:1">
      <c r="A460" s="728"/>
    </row>
    <row r="461" spans="1:1">
      <c r="A461" s="728"/>
    </row>
    <row r="462" spans="1:1">
      <c r="A462" s="728"/>
    </row>
    <row r="463" spans="1:1">
      <c r="A463" s="728"/>
    </row>
    <row r="464" spans="1:1">
      <c r="A464" s="728"/>
    </row>
    <row r="465" spans="1:1">
      <c r="A465" s="728"/>
    </row>
    <row r="466" spans="1:1">
      <c r="A466" s="728"/>
    </row>
    <row r="467" spans="1:1">
      <c r="A467" s="728"/>
    </row>
    <row r="468" spans="1:1">
      <c r="A468" s="728"/>
    </row>
    <row r="469" spans="1:1">
      <c r="A469" s="728"/>
    </row>
    <row r="470" spans="1:1">
      <c r="A470" s="728"/>
    </row>
    <row r="471" spans="1:1">
      <c r="A471" s="728"/>
    </row>
    <row r="472" spans="1:1">
      <c r="A472" s="728"/>
    </row>
    <row r="473" spans="1:1">
      <c r="A473" s="728"/>
    </row>
    <row r="474" spans="1:1">
      <c r="A474" s="728"/>
    </row>
    <row r="475" spans="1:1">
      <c r="A475" s="728"/>
    </row>
    <row r="476" spans="1:1">
      <c r="A476" s="728"/>
    </row>
    <row r="477" spans="1:1">
      <c r="A477" s="728"/>
    </row>
    <row r="478" spans="1:1">
      <c r="A478" s="728"/>
    </row>
    <row r="479" spans="1:1">
      <c r="A479" s="728"/>
    </row>
    <row r="480" spans="1:1">
      <c r="A480" s="728"/>
    </row>
    <row r="481" spans="1:1">
      <c r="A481" s="728"/>
    </row>
    <row r="482" spans="1:1">
      <c r="A482" s="728"/>
    </row>
    <row r="483" spans="1:1">
      <c r="A483" s="728"/>
    </row>
    <row r="484" spans="1:1">
      <c r="A484" s="728"/>
    </row>
    <row r="485" spans="1:1">
      <c r="A485" s="728"/>
    </row>
    <row r="486" spans="1:1">
      <c r="A486" s="728"/>
    </row>
    <row r="487" spans="1:1">
      <c r="A487" s="728"/>
    </row>
    <row r="488" spans="1:1">
      <c r="A488" s="728"/>
    </row>
    <row r="489" spans="1:1">
      <c r="A489" s="728"/>
    </row>
    <row r="490" spans="1:1">
      <c r="A490" s="728"/>
    </row>
    <row r="491" spans="1:1">
      <c r="A491" s="728"/>
    </row>
    <row r="492" spans="1:1">
      <c r="A492" s="728"/>
    </row>
    <row r="493" spans="1:1">
      <c r="A493" s="728"/>
    </row>
    <row r="494" spans="1:1">
      <c r="A494" s="728"/>
    </row>
    <row r="495" spans="1:1">
      <c r="A495" s="728"/>
    </row>
    <row r="496" spans="1:1">
      <c r="A496" s="728"/>
    </row>
    <row r="497" spans="1:1">
      <c r="A497" s="728"/>
    </row>
    <row r="498" spans="1:1">
      <c r="A498" s="728"/>
    </row>
    <row r="499" spans="1:1">
      <c r="A499" s="728"/>
    </row>
    <row r="500" spans="1:1">
      <c r="A500" s="728"/>
    </row>
    <row r="501" spans="1:1">
      <c r="A501" s="728"/>
    </row>
    <row r="502" spans="1:1">
      <c r="A502" s="728"/>
    </row>
    <row r="503" spans="1:1">
      <c r="A503" s="728"/>
    </row>
    <row r="504" spans="1:1">
      <c r="A504" s="728"/>
    </row>
    <row r="505" spans="1:1">
      <c r="A505" s="728"/>
    </row>
    <row r="506" spans="1:1">
      <c r="A506" s="728"/>
    </row>
    <row r="507" spans="1:1">
      <c r="A507" s="728"/>
    </row>
    <row r="508" spans="1:1">
      <c r="A508" s="728"/>
    </row>
    <row r="509" spans="1:1">
      <c r="A509" s="728"/>
    </row>
    <row r="510" spans="1:1">
      <c r="A510" s="728"/>
    </row>
    <row r="511" spans="1:1">
      <c r="A511" s="728"/>
    </row>
    <row r="512" spans="1:1">
      <c r="A512" s="728"/>
    </row>
    <row r="513" spans="1:1">
      <c r="A513" s="728"/>
    </row>
    <row r="514" spans="1:1">
      <c r="A514" s="728"/>
    </row>
    <row r="515" spans="1:1">
      <c r="A515" s="728"/>
    </row>
    <row r="516" spans="1:1">
      <c r="A516" s="728"/>
    </row>
    <row r="517" spans="1:1">
      <c r="A517" s="728"/>
    </row>
    <row r="518" spans="1:1">
      <c r="A518" s="728"/>
    </row>
    <row r="519" spans="1:1">
      <c r="A519" s="728"/>
    </row>
    <row r="520" spans="1:1">
      <c r="A520" s="728"/>
    </row>
    <row r="521" spans="1:1">
      <c r="A521" s="728"/>
    </row>
    <row r="522" spans="1:1">
      <c r="A522" s="728"/>
    </row>
    <row r="523" spans="1:1">
      <c r="A523" s="728"/>
    </row>
    <row r="524" spans="1:1">
      <c r="A524" s="728"/>
    </row>
    <row r="525" spans="1:1">
      <c r="A525" s="728"/>
    </row>
    <row r="526" spans="1:1">
      <c r="A526" s="728"/>
    </row>
    <row r="527" spans="1:1">
      <c r="A527" s="728"/>
    </row>
    <row r="528" spans="1:1">
      <c r="A528" s="728"/>
    </row>
    <row r="529" spans="1:1">
      <c r="A529" s="728"/>
    </row>
    <row r="530" spans="1:1">
      <c r="A530" s="728"/>
    </row>
    <row r="531" spans="1:1">
      <c r="A531" s="728"/>
    </row>
    <row r="532" spans="1:1">
      <c r="A532" s="728"/>
    </row>
    <row r="533" spans="1:1">
      <c r="A533" s="728"/>
    </row>
    <row r="534" spans="1:1">
      <c r="A534" s="728"/>
    </row>
    <row r="535" spans="1:1">
      <c r="A535" s="728"/>
    </row>
    <row r="536" spans="1:1">
      <c r="A536" s="728"/>
    </row>
    <row r="537" spans="1:1">
      <c r="A537" s="728"/>
    </row>
    <row r="538" spans="1:1">
      <c r="A538" s="728"/>
    </row>
    <row r="539" spans="1:1">
      <c r="A539" s="728"/>
    </row>
    <row r="540" spans="1:1">
      <c r="A540" s="728"/>
    </row>
    <row r="541" spans="1:1">
      <c r="A541" s="728"/>
    </row>
    <row r="542" spans="1:1">
      <c r="A542" s="728"/>
    </row>
    <row r="543" spans="1:1">
      <c r="A543" s="728"/>
    </row>
    <row r="544" spans="1:1">
      <c r="A544" s="728"/>
    </row>
    <row r="545" spans="1:1">
      <c r="A545" s="728"/>
    </row>
    <row r="546" spans="1:1">
      <c r="A546" s="728"/>
    </row>
    <row r="547" spans="1:1">
      <c r="A547" s="728"/>
    </row>
    <row r="548" spans="1:1">
      <c r="A548" s="728"/>
    </row>
    <row r="549" spans="1:1">
      <c r="A549" s="728"/>
    </row>
    <row r="550" spans="1:1">
      <c r="A550" s="728"/>
    </row>
    <row r="551" spans="1:1">
      <c r="A551" s="728"/>
    </row>
    <row r="552" spans="1:1">
      <c r="A552" s="728"/>
    </row>
    <row r="553" spans="1:1">
      <c r="A553" s="728"/>
    </row>
    <row r="554" spans="1:1">
      <c r="A554" s="728"/>
    </row>
    <row r="555" spans="1:1">
      <c r="A555" s="728"/>
    </row>
    <row r="556" spans="1:1">
      <c r="A556" s="728"/>
    </row>
    <row r="557" spans="1:1">
      <c r="A557" s="728"/>
    </row>
    <row r="558" spans="1:1">
      <c r="A558" s="728"/>
    </row>
    <row r="559" spans="1:1">
      <c r="A559" s="728"/>
    </row>
    <row r="560" spans="1:1">
      <c r="A560" s="728"/>
    </row>
    <row r="561" spans="1:1">
      <c r="A561" s="728"/>
    </row>
    <row r="562" spans="1:1">
      <c r="A562" s="728"/>
    </row>
    <row r="563" spans="1:1">
      <c r="A563" s="728"/>
    </row>
    <row r="564" spans="1:1">
      <c r="A564" s="728"/>
    </row>
    <row r="565" spans="1:1">
      <c r="A565" s="728"/>
    </row>
    <row r="566" spans="1:1">
      <c r="A566" s="728"/>
    </row>
    <row r="567" spans="1:1">
      <c r="A567" s="728"/>
    </row>
    <row r="568" spans="1:1">
      <c r="A568" s="728"/>
    </row>
    <row r="569" spans="1:1">
      <c r="A569" s="728"/>
    </row>
    <row r="570" spans="1:1">
      <c r="A570" s="728"/>
    </row>
    <row r="571" spans="1:1">
      <c r="A571" s="728"/>
    </row>
    <row r="572" spans="1:1">
      <c r="A572" s="728"/>
    </row>
    <row r="573" spans="1:1">
      <c r="A573" s="728"/>
    </row>
    <row r="574" spans="1:1">
      <c r="A574" s="728"/>
    </row>
    <row r="575" spans="1:1">
      <c r="A575" s="728"/>
    </row>
    <row r="576" spans="1:1">
      <c r="A576" s="728"/>
    </row>
    <row r="577" spans="1:1">
      <c r="A577" s="728"/>
    </row>
    <row r="578" spans="1:1">
      <c r="A578" s="728"/>
    </row>
    <row r="579" spans="1:1">
      <c r="A579" s="728"/>
    </row>
    <row r="580" spans="1:1">
      <c r="A580" s="728"/>
    </row>
    <row r="581" spans="1:1">
      <c r="A581" s="728"/>
    </row>
    <row r="582" spans="1:1">
      <c r="A582" s="728"/>
    </row>
    <row r="583" spans="1:1">
      <c r="A583" s="728"/>
    </row>
    <row r="584" spans="1:1">
      <c r="A584" s="728"/>
    </row>
    <row r="585" spans="1:1">
      <c r="A585" s="728"/>
    </row>
    <row r="586" spans="1:1">
      <c r="A586" s="728"/>
    </row>
    <row r="587" spans="1:1">
      <c r="A587" s="728"/>
    </row>
    <row r="588" spans="1:1">
      <c r="A588" s="728"/>
    </row>
    <row r="589" spans="1:1">
      <c r="A589" s="728"/>
    </row>
    <row r="590" spans="1:1">
      <c r="A590" s="728"/>
    </row>
    <row r="591" spans="1:1">
      <c r="A591" s="728"/>
    </row>
    <row r="592" spans="1:1">
      <c r="A592" s="728"/>
    </row>
    <row r="593" spans="1:1">
      <c r="A593" s="728"/>
    </row>
    <row r="594" spans="1:1">
      <c r="A594" s="728"/>
    </row>
    <row r="595" spans="1:1">
      <c r="A595" s="728"/>
    </row>
    <row r="596" spans="1:1">
      <c r="A596" s="728"/>
    </row>
    <row r="597" spans="1:1">
      <c r="A597" s="728"/>
    </row>
    <row r="598" spans="1:1">
      <c r="A598" s="728"/>
    </row>
    <row r="599" spans="1:1">
      <c r="A599" s="728"/>
    </row>
    <row r="600" spans="1:1">
      <c r="A600" s="728"/>
    </row>
    <row r="601" spans="1:1">
      <c r="A601" s="728"/>
    </row>
    <row r="602" spans="1:1">
      <c r="A602" s="728"/>
    </row>
    <row r="603" spans="1:1">
      <c r="A603" s="728"/>
    </row>
    <row r="604" spans="1:1">
      <c r="A604" s="728"/>
    </row>
    <row r="605" spans="1:1">
      <c r="A605" s="728"/>
    </row>
    <row r="606" spans="1:1">
      <c r="A606" s="728"/>
    </row>
    <row r="607" spans="1:1">
      <c r="A607" s="728"/>
    </row>
    <row r="608" spans="1:1">
      <c r="A608" s="728"/>
    </row>
    <row r="609" spans="1:1">
      <c r="A609" s="728"/>
    </row>
    <row r="610" spans="1:1">
      <c r="A610" s="728"/>
    </row>
    <row r="611" spans="1:1">
      <c r="A611" s="728"/>
    </row>
    <row r="612" spans="1:1">
      <c r="A612" s="728"/>
    </row>
    <row r="613" spans="1:1">
      <c r="A613" s="728"/>
    </row>
    <row r="614" spans="1:1">
      <c r="A614" s="728"/>
    </row>
    <row r="615" spans="1:1">
      <c r="A615" s="728"/>
    </row>
    <row r="616" spans="1:1">
      <c r="A616" s="728"/>
    </row>
    <row r="617" spans="1:1">
      <c r="A617" s="728"/>
    </row>
    <row r="618" spans="1:1">
      <c r="A618" s="728"/>
    </row>
    <row r="619" spans="1:1">
      <c r="A619" s="728"/>
    </row>
    <row r="620" spans="1:1">
      <c r="A620" s="728"/>
    </row>
    <row r="621" spans="1:1">
      <c r="A621" s="728"/>
    </row>
    <row r="622" spans="1:1">
      <c r="A622" s="728"/>
    </row>
    <row r="623" spans="1:1">
      <c r="A623" s="728"/>
    </row>
    <row r="624" spans="1:1">
      <c r="A624" s="728"/>
    </row>
    <row r="625" spans="1:1">
      <c r="A625" s="728"/>
    </row>
    <row r="626" spans="1:1">
      <c r="A626" s="728"/>
    </row>
    <row r="627" spans="1:1">
      <c r="A627" s="728"/>
    </row>
    <row r="628" spans="1:1">
      <c r="A628" s="728"/>
    </row>
    <row r="629" spans="1:1">
      <c r="A629" s="728"/>
    </row>
    <row r="630" spans="1:1">
      <c r="A630" s="728"/>
    </row>
    <row r="631" spans="1:1">
      <c r="A631" s="728"/>
    </row>
    <row r="632" spans="1:1">
      <c r="A632" s="728"/>
    </row>
    <row r="633" spans="1:1">
      <c r="A633" s="728"/>
    </row>
    <row r="634" spans="1:1">
      <c r="A634" s="728"/>
    </row>
    <row r="635" spans="1:1">
      <c r="A635" s="728"/>
    </row>
    <row r="636" spans="1:1">
      <c r="A636" s="728"/>
    </row>
    <row r="637" spans="1:1">
      <c r="A637" s="728"/>
    </row>
    <row r="638" spans="1:1">
      <c r="A638" s="728"/>
    </row>
    <row r="639" spans="1:1">
      <c r="A639" s="728"/>
    </row>
    <row r="640" spans="1:1">
      <c r="A640" s="728"/>
    </row>
    <row r="641" spans="1:1">
      <c r="A641" s="728"/>
    </row>
    <row r="642" spans="1:1">
      <c r="A642" s="728"/>
    </row>
    <row r="643" spans="1:1">
      <c r="A643" s="728"/>
    </row>
    <row r="644" spans="1:1">
      <c r="A644" s="728"/>
    </row>
    <row r="645" spans="1:1">
      <c r="A645" s="728"/>
    </row>
    <row r="646" spans="1:1">
      <c r="A646" s="728"/>
    </row>
    <row r="647" spans="1:1">
      <c r="A647" s="728"/>
    </row>
    <row r="648" spans="1:1">
      <c r="A648" s="728"/>
    </row>
    <row r="649" spans="1:1">
      <c r="A649" s="728"/>
    </row>
    <row r="650" spans="1:1">
      <c r="A650" s="728"/>
    </row>
    <row r="651" spans="1:1">
      <c r="A651" s="728"/>
    </row>
    <row r="652" spans="1:1">
      <c r="A652" s="728"/>
    </row>
    <row r="653" spans="1:1">
      <c r="A653" s="728"/>
    </row>
    <row r="654" spans="1:1">
      <c r="A654" s="728"/>
    </row>
    <row r="655" spans="1:1">
      <c r="A655" s="728"/>
    </row>
    <row r="656" spans="1:1">
      <c r="A656" s="728"/>
    </row>
    <row r="657" spans="1:1">
      <c r="A657" s="728"/>
    </row>
    <row r="658" spans="1:1">
      <c r="A658" s="728"/>
    </row>
    <row r="659" spans="1:1">
      <c r="A659" s="728"/>
    </row>
    <row r="660" spans="1:1">
      <c r="A660" s="728"/>
    </row>
    <row r="661" spans="1:1">
      <c r="A661" s="728"/>
    </row>
    <row r="662" spans="1:1">
      <c r="A662" s="728"/>
    </row>
    <row r="663" spans="1:1">
      <c r="A663" s="728"/>
    </row>
    <row r="664" spans="1:1">
      <c r="A664" s="728"/>
    </row>
    <row r="665" spans="1:1">
      <c r="A665" s="728"/>
    </row>
    <row r="666" spans="1:1">
      <c r="A666" s="728"/>
    </row>
    <row r="667" spans="1:1">
      <c r="A667" s="728"/>
    </row>
    <row r="668" spans="1:1">
      <c r="A668" s="728"/>
    </row>
    <row r="669" spans="1:1">
      <c r="A669" s="728"/>
    </row>
    <row r="670" spans="1:1">
      <c r="A670" s="728"/>
    </row>
    <row r="671" spans="1:1">
      <c r="A671" s="728"/>
    </row>
    <row r="672" spans="1:1">
      <c r="A672" s="728"/>
    </row>
    <row r="673" spans="1:1">
      <c r="A673" s="728"/>
    </row>
    <row r="674" spans="1:1">
      <c r="A674" s="728"/>
    </row>
    <row r="675" spans="1:1">
      <c r="A675" s="728"/>
    </row>
    <row r="676" spans="1:1">
      <c r="A676" s="728"/>
    </row>
    <row r="677" spans="1:1">
      <c r="A677" s="728"/>
    </row>
    <row r="678" spans="1:1">
      <c r="A678" s="728"/>
    </row>
    <row r="679" spans="1:1">
      <c r="A679" s="728"/>
    </row>
    <row r="680" spans="1:1">
      <c r="A680" s="728"/>
    </row>
    <row r="681" spans="1:1">
      <c r="A681" s="728"/>
    </row>
    <row r="682" spans="1:1">
      <c r="A682" s="728"/>
    </row>
    <row r="683" spans="1:1">
      <c r="A683" s="728"/>
    </row>
    <row r="684" spans="1:1">
      <c r="A684" s="728"/>
    </row>
    <row r="685" spans="1:1">
      <c r="A685" s="728"/>
    </row>
    <row r="686" spans="1:1">
      <c r="A686" s="728"/>
    </row>
    <row r="687" spans="1:1">
      <c r="A687" s="728"/>
    </row>
    <row r="688" spans="1:1">
      <c r="A688" s="728"/>
    </row>
    <row r="689" spans="1:1">
      <c r="A689" s="728"/>
    </row>
    <row r="690" spans="1:1">
      <c r="A690" s="728"/>
    </row>
    <row r="691" spans="1:1">
      <c r="A691" s="728"/>
    </row>
    <row r="692" spans="1:1">
      <c r="A692" s="728"/>
    </row>
    <row r="693" spans="1:1">
      <c r="A693" s="728"/>
    </row>
    <row r="694" spans="1:1">
      <c r="A694" s="728"/>
    </row>
    <row r="695" spans="1:1">
      <c r="A695" s="728"/>
    </row>
    <row r="696" spans="1:1">
      <c r="A696" s="728"/>
    </row>
    <row r="697" spans="1:1">
      <c r="A697" s="728"/>
    </row>
    <row r="698" spans="1:1">
      <c r="A698" s="728"/>
    </row>
    <row r="699" spans="1:1">
      <c r="A699" s="728"/>
    </row>
    <row r="700" spans="1:1">
      <c r="A700" s="728"/>
    </row>
    <row r="701" spans="1:1">
      <c r="A701" s="728"/>
    </row>
    <row r="702" spans="1:1">
      <c r="A702" s="728"/>
    </row>
    <row r="703" spans="1:1">
      <c r="A703" s="728"/>
    </row>
    <row r="704" spans="1:1">
      <c r="A704" s="728"/>
    </row>
    <row r="705" spans="1:1">
      <c r="A705" s="728"/>
    </row>
    <row r="706" spans="1:1">
      <c r="A706" s="728"/>
    </row>
    <row r="707" spans="1:1">
      <c r="A707" s="728"/>
    </row>
    <row r="708" spans="1:1">
      <c r="A708" s="728"/>
    </row>
    <row r="709" spans="1:1">
      <c r="A709" s="728"/>
    </row>
    <row r="710" spans="1:1">
      <c r="A710" s="728"/>
    </row>
    <row r="711" spans="1:1">
      <c r="A711" s="728"/>
    </row>
    <row r="712" spans="1:1">
      <c r="A712" s="728"/>
    </row>
    <row r="713" spans="1:1">
      <c r="A713" s="728"/>
    </row>
    <row r="714" spans="1:1">
      <c r="A714" s="728"/>
    </row>
    <row r="715" spans="1:1">
      <c r="A715" s="728"/>
    </row>
    <row r="716" spans="1:1">
      <c r="A716" s="728"/>
    </row>
    <row r="717" spans="1:1">
      <c r="A717" s="728"/>
    </row>
    <row r="718" spans="1:1">
      <c r="A718" s="728"/>
    </row>
    <row r="719" spans="1:1">
      <c r="A719" s="728"/>
    </row>
    <row r="720" spans="1:1">
      <c r="A720" s="728"/>
    </row>
    <row r="721" spans="1:1">
      <c r="A721" s="728"/>
    </row>
    <row r="722" spans="1:1">
      <c r="A722" s="728"/>
    </row>
    <row r="723" spans="1:1">
      <c r="A723" s="728"/>
    </row>
    <row r="724" spans="1:1">
      <c r="A724" s="728"/>
    </row>
    <row r="725" spans="1:1">
      <c r="A725" s="728"/>
    </row>
    <row r="726" spans="1:1">
      <c r="A726" s="728"/>
    </row>
    <row r="727" spans="1:1">
      <c r="A727" s="728"/>
    </row>
    <row r="728" spans="1:1">
      <c r="A728" s="728"/>
    </row>
    <row r="729" spans="1:1">
      <c r="A729" s="728"/>
    </row>
    <row r="730" spans="1:1">
      <c r="A730" s="728"/>
    </row>
    <row r="731" spans="1:1">
      <c r="A731" s="728"/>
    </row>
    <row r="732" spans="1:1">
      <c r="A732" s="728"/>
    </row>
    <row r="733" spans="1:1">
      <c r="A733" s="728"/>
    </row>
    <row r="734" spans="1:1">
      <c r="A734" s="728"/>
    </row>
    <row r="735" spans="1:1">
      <c r="A735" s="728"/>
    </row>
    <row r="736" spans="1:1">
      <c r="A736" s="728"/>
    </row>
    <row r="737" spans="1:1">
      <c r="A737" s="728"/>
    </row>
    <row r="738" spans="1:1">
      <c r="A738" s="728"/>
    </row>
    <row r="739" spans="1:1">
      <c r="A739" s="728"/>
    </row>
    <row r="740" spans="1:1">
      <c r="A740" s="728"/>
    </row>
    <row r="741" spans="1:1">
      <c r="A741" s="728"/>
    </row>
    <row r="742" spans="1:1">
      <c r="A742" s="728"/>
    </row>
    <row r="743" spans="1:1">
      <c r="A743" s="728"/>
    </row>
    <row r="744" spans="1:1">
      <c r="A744" s="728"/>
    </row>
    <row r="745" spans="1:1">
      <c r="A745" s="728"/>
    </row>
    <row r="746" spans="1:1">
      <c r="A746" s="728"/>
    </row>
    <row r="747" spans="1:1">
      <c r="A747" s="728"/>
    </row>
    <row r="748" spans="1:1">
      <c r="A748" s="728"/>
    </row>
    <row r="749" spans="1:1">
      <c r="A749" s="728"/>
    </row>
    <row r="750" spans="1:1">
      <c r="A750" s="728"/>
    </row>
    <row r="751" spans="1:1">
      <c r="A751" s="728"/>
    </row>
    <row r="752" spans="1:1">
      <c r="A752" s="728"/>
    </row>
    <row r="753" spans="1:1">
      <c r="A753" s="728"/>
    </row>
    <row r="754" spans="1:1">
      <c r="A754" s="728"/>
    </row>
    <row r="755" spans="1:1">
      <c r="A755" s="728"/>
    </row>
    <row r="756" spans="1:1">
      <c r="A756" s="728"/>
    </row>
    <row r="757" spans="1:1">
      <c r="A757" s="728"/>
    </row>
    <row r="758" spans="1:1">
      <c r="A758" s="728"/>
    </row>
    <row r="759" spans="1:1">
      <c r="A759" s="728"/>
    </row>
    <row r="760" spans="1:1">
      <c r="A760" s="728"/>
    </row>
    <row r="761" spans="1:1">
      <c r="A761" s="728"/>
    </row>
    <row r="762" spans="1:1">
      <c r="A762" s="728"/>
    </row>
    <row r="763" spans="1:1">
      <c r="A763" s="728"/>
    </row>
    <row r="764" spans="1:1">
      <c r="A764" s="728"/>
    </row>
    <row r="765" spans="1:1">
      <c r="A765" s="728"/>
    </row>
    <row r="766" spans="1:1">
      <c r="A766" s="728"/>
    </row>
    <row r="767" spans="1:1">
      <c r="A767" s="728"/>
    </row>
    <row r="768" spans="1:1">
      <c r="A768" s="728"/>
    </row>
    <row r="769" spans="1:1">
      <c r="A769" s="728"/>
    </row>
    <row r="770" spans="1:1">
      <c r="A770" s="728"/>
    </row>
    <row r="771" spans="1:1">
      <c r="A771" s="728"/>
    </row>
    <row r="772" spans="1:1">
      <c r="A772" s="728"/>
    </row>
    <row r="773" spans="1:1">
      <c r="A773" s="728"/>
    </row>
    <row r="774" spans="1:1">
      <c r="A774" s="728"/>
    </row>
    <row r="775" spans="1:1">
      <c r="A775" s="728"/>
    </row>
    <row r="776" spans="1:1">
      <c r="A776" s="728"/>
    </row>
    <row r="777" spans="1:1">
      <c r="A777" s="728"/>
    </row>
    <row r="778" spans="1:1">
      <c r="A778" s="728"/>
    </row>
    <row r="779" spans="1:1">
      <c r="A779" s="728"/>
    </row>
    <row r="780" spans="1:1">
      <c r="A780" s="728"/>
    </row>
    <row r="781" spans="1:1">
      <c r="A781" s="728"/>
    </row>
    <row r="782" spans="1:1">
      <c r="A782" s="728"/>
    </row>
    <row r="783" spans="1:1">
      <c r="A783" s="728"/>
    </row>
    <row r="784" spans="1:1">
      <c r="A784" s="728"/>
    </row>
    <row r="785" spans="1:1">
      <c r="A785" s="728"/>
    </row>
    <row r="786" spans="1:1">
      <c r="A786" s="728"/>
    </row>
    <row r="787" spans="1:1">
      <c r="A787" s="728"/>
    </row>
    <row r="788" spans="1:1">
      <c r="A788" s="728"/>
    </row>
    <row r="789" spans="1:1">
      <c r="A789" s="728"/>
    </row>
    <row r="790" spans="1:1">
      <c r="A790" s="728"/>
    </row>
    <row r="791" spans="1:1">
      <c r="A791" s="728"/>
    </row>
    <row r="792" spans="1:1">
      <c r="A792" s="728"/>
    </row>
    <row r="793" spans="1:1">
      <c r="A793" s="728"/>
    </row>
    <row r="794" spans="1:1">
      <c r="A794" s="728"/>
    </row>
    <row r="795" spans="1:1">
      <c r="A795" s="728"/>
    </row>
    <row r="796" spans="1:1">
      <c r="A796" s="728"/>
    </row>
    <row r="797" spans="1:1">
      <c r="A797" s="728"/>
    </row>
    <row r="798" spans="1:1">
      <c r="A798" s="728"/>
    </row>
    <row r="799" spans="1:1">
      <c r="A799" s="728"/>
    </row>
    <row r="800" spans="1:1">
      <c r="A800" s="728"/>
    </row>
    <row r="801" spans="1:1">
      <c r="A801" s="728"/>
    </row>
    <row r="802" spans="1:1">
      <c r="A802" s="728"/>
    </row>
    <row r="803" spans="1:1">
      <c r="A803" s="728"/>
    </row>
    <row r="804" spans="1:1">
      <c r="A804" s="728"/>
    </row>
    <row r="805" spans="1:1">
      <c r="A805" s="728"/>
    </row>
    <row r="806" spans="1:1">
      <c r="A806" s="728"/>
    </row>
    <row r="807" spans="1:1">
      <c r="A807" s="728"/>
    </row>
    <row r="808" spans="1:1">
      <c r="A808" s="728"/>
    </row>
    <row r="809" spans="1:1">
      <c r="A809" s="728"/>
    </row>
    <row r="810" spans="1:1">
      <c r="A810" s="728"/>
    </row>
    <row r="811" spans="1:1">
      <c r="A811" s="728"/>
    </row>
    <row r="812" spans="1:1">
      <c r="A812" s="728"/>
    </row>
    <row r="813" spans="1:1">
      <c r="A813" s="728"/>
    </row>
    <row r="814" spans="1:1">
      <c r="A814" s="728"/>
    </row>
    <row r="815" spans="1:1">
      <c r="A815" s="728"/>
    </row>
    <row r="816" spans="1:1">
      <c r="A816" s="728"/>
    </row>
    <row r="817" spans="1:1">
      <c r="A817" s="728"/>
    </row>
    <row r="818" spans="1:1">
      <c r="A818" s="728"/>
    </row>
    <row r="819" spans="1:1">
      <c r="A819" s="728"/>
    </row>
    <row r="820" spans="1:1">
      <c r="A820" s="728"/>
    </row>
    <row r="821" spans="1:1">
      <c r="A821" s="728"/>
    </row>
    <row r="822" spans="1:1">
      <c r="A822" s="728"/>
    </row>
    <row r="823" spans="1:1">
      <c r="A823" s="728"/>
    </row>
    <row r="824" spans="1:1">
      <c r="A824" s="728"/>
    </row>
    <row r="825" spans="1:1">
      <c r="A825" s="728"/>
    </row>
    <row r="826" spans="1:1">
      <c r="A826" s="728"/>
    </row>
    <row r="827" spans="1:1">
      <c r="A827" s="728"/>
    </row>
    <row r="828" spans="1:1">
      <c r="A828" s="728"/>
    </row>
    <row r="829" spans="1:1">
      <c r="A829" s="728"/>
    </row>
    <row r="830" spans="1:1">
      <c r="A830" s="728"/>
    </row>
    <row r="831" spans="1:1">
      <c r="A831" s="728"/>
    </row>
    <row r="832" spans="1:1">
      <c r="A832" s="728"/>
    </row>
    <row r="833" spans="1:1">
      <c r="A833" s="728"/>
    </row>
    <row r="834" spans="1:1">
      <c r="A834" s="728"/>
    </row>
    <row r="835" spans="1:1">
      <c r="A835" s="728"/>
    </row>
    <row r="836" spans="1:1">
      <c r="A836" s="728"/>
    </row>
    <row r="837" spans="1:1">
      <c r="A837" s="728"/>
    </row>
    <row r="838" spans="1:1">
      <c r="A838" s="728"/>
    </row>
    <row r="839" spans="1:1">
      <c r="A839" s="728"/>
    </row>
    <row r="840" spans="1:1">
      <c r="A840" s="728"/>
    </row>
    <row r="841" spans="1:1">
      <c r="A841" s="728"/>
    </row>
    <row r="842" spans="1:1">
      <c r="A842" s="728"/>
    </row>
    <row r="843" spans="1:1">
      <c r="A843" s="728"/>
    </row>
    <row r="844" spans="1:1">
      <c r="A844" s="728"/>
    </row>
    <row r="845" spans="1:1">
      <c r="A845" s="728"/>
    </row>
    <row r="846" spans="1:1">
      <c r="A846" s="728"/>
    </row>
    <row r="847" spans="1:1">
      <c r="A847" s="728"/>
    </row>
    <row r="848" spans="1:1">
      <c r="A848" s="728"/>
    </row>
    <row r="849" spans="1:1">
      <c r="A849" s="728"/>
    </row>
    <row r="850" spans="1:1">
      <c r="A850" s="728"/>
    </row>
    <row r="851" spans="1:1">
      <c r="A851" s="728"/>
    </row>
    <row r="852" spans="1:1">
      <c r="A852" s="728"/>
    </row>
    <row r="853" spans="1:1">
      <c r="A853" s="728"/>
    </row>
    <row r="854" spans="1:1">
      <c r="A854" s="728"/>
    </row>
    <row r="855" spans="1:1">
      <c r="A855" s="728"/>
    </row>
    <row r="856" spans="1:1">
      <c r="A856" s="728"/>
    </row>
    <row r="857" spans="1:1">
      <c r="A857" s="728"/>
    </row>
    <row r="858" spans="1:1">
      <c r="A858" s="728"/>
    </row>
    <row r="859" spans="1:1">
      <c r="A859" s="728"/>
    </row>
    <row r="860" spans="1:1">
      <c r="A860" s="728"/>
    </row>
    <row r="861" spans="1:1">
      <c r="A861" s="728"/>
    </row>
    <row r="862" spans="1:1">
      <c r="A862" s="728"/>
    </row>
    <row r="863" spans="1:1">
      <c r="A863" s="728"/>
    </row>
    <row r="864" spans="1:1">
      <c r="A864" s="728"/>
    </row>
    <row r="865" spans="1:1">
      <c r="A865" s="728"/>
    </row>
    <row r="866" spans="1:1">
      <c r="A866" s="728"/>
    </row>
    <row r="867" spans="1:1">
      <c r="A867" s="728"/>
    </row>
    <row r="868" spans="1:1">
      <c r="A868" s="728"/>
    </row>
    <row r="869" spans="1:1">
      <c r="A869" s="728"/>
    </row>
    <row r="870" spans="1:1">
      <c r="A870" s="728"/>
    </row>
    <row r="871" spans="1:1">
      <c r="A871" s="728"/>
    </row>
    <row r="872" spans="1:1">
      <c r="A872" s="728"/>
    </row>
    <row r="873" spans="1:1">
      <c r="A873" s="728"/>
    </row>
    <row r="874" spans="1:1">
      <c r="A874" s="728"/>
    </row>
    <row r="875" spans="1:1">
      <c r="A875" s="728"/>
    </row>
    <row r="876" spans="1:1">
      <c r="A876" s="728"/>
    </row>
    <row r="877" spans="1:1">
      <c r="A877" s="728"/>
    </row>
    <row r="878" spans="1:1">
      <c r="A878" s="728"/>
    </row>
    <row r="879" spans="1:1">
      <c r="A879" s="728"/>
    </row>
    <row r="880" spans="1:1">
      <c r="A880" s="728"/>
    </row>
    <row r="881" spans="1:1">
      <c r="A881" s="728"/>
    </row>
    <row r="882" spans="1:1">
      <c r="A882" s="728"/>
    </row>
    <row r="883" spans="1:1">
      <c r="A883" s="728"/>
    </row>
    <row r="884" spans="1:1">
      <c r="A884" s="728"/>
    </row>
    <row r="885" spans="1:1">
      <c r="A885" s="728"/>
    </row>
    <row r="886" spans="1:1">
      <c r="A886" s="728"/>
    </row>
    <row r="887" spans="1:1">
      <c r="A887" s="728"/>
    </row>
    <row r="888" spans="1:1">
      <c r="A888" s="728"/>
    </row>
    <row r="889" spans="1:1">
      <c r="A889" s="728"/>
    </row>
    <row r="890" spans="1:1">
      <c r="A890" s="728"/>
    </row>
    <row r="891" spans="1:1">
      <c r="A891" s="728"/>
    </row>
    <row r="892" spans="1:1">
      <c r="A892" s="728"/>
    </row>
    <row r="893" spans="1:1">
      <c r="A893" s="728"/>
    </row>
    <row r="894" spans="1:1">
      <c r="A894" s="728"/>
    </row>
    <row r="895" spans="1:1">
      <c r="A895" s="728"/>
    </row>
    <row r="896" spans="1:1">
      <c r="A896" s="728"/>
    </row>
    <row r="897" spans="1:1">
      <c r="A897" s="728"/>
    </row>
    <row r="898" spans="1:1">
      <c r="A898" s="728"/>
    </row>
    <row r="899" spans="1:1">
      <c r="A899" s="728"/>
    </row>
    <row r="900" spans="1:1">
      <c r="A900" s="728"/>
    </row>
    <row r="901" spans="1:1">
      <c r="A901" s="728"/>
    </row>
    <row r="902" spans="1:1">
      <c r="A902" s="728"/>
    </row>
    <row r="903" spans="1:1">
      <c r="A903" s="728"/>
    </row>
    <row r="904" spans="1:1">
      <c r="A904" s="728"/>
    </row>
    <row r="905" spans="1:1">
      <c r="A905" s="728"/>
    </row>
    <row r="906" spans="1:1">
      <c r="A906" s="728"/>
    </row>
    <row r="907" spans="1:1">
      <c r="A907" s="728"/>
    </row>
    <row r="908" spans="1:1">
      <c r="A908" s="728"/>
    </row>
    <row r="909" spans="1:1">
      <c r="A909" s="728"/>
    </row>
    <row r="910" spans="1:1">
      <c r="A910" s="728"/>
    </row>
    <row r="911" spans="1:1">
      <c r="A911" s="728"/>
    </row>
    <row r="912" spans="1:1">
      <c r="A912" s="728"/>
    </row>
    <row r="913" spans="1:1">
      <c r="A913" s="728"/>
    </row>
    <row r="914" spans="1:1">
      <c r="A914" s="728"/>
    </row>
    <row r="915" spans="1:1">
      <c r="A915" s="728"/>
    </row>
    <row r="916" spans="1:1">
      <c r="A916" s="728"/>
    </row>
    <row r="917" spans="1:1">
      <c r="A917" s="728"/>
    </row>
    <row r="918" spans="1:1">
      <c r="A918" s="728"/>
    </row>
    <row r="919" spans="1:1">
      <c r="A919" s="728"/>
    </row>
    <row r="920" spans="1:1">
      <c r="A920" s="728"/>
    </row>
    <row r="921" spans="1:1">
      <c r="A921" s="728"/>
    </row>
    <row r="922" spans="1:1">
      <c r="A922" s="728"/>
    </row>
    <row r="923" spans="1:1">
      <c r="A923" s="728"/>
    </row>
    <row r="924" spans="1:1">
      <c r="A924" s="728"/>
    </row>
    <row r="925" spans="1:1">
      <c r="A925" s="728"/>
    </row>
    <row r="926" spans="1:1">
      <c r="A926" s="728"/>
    </row>
    <row r="927" spans="1:1">
      <c r="A927" s="728"/>
    </row>
    <row r="928" spans="1:1">
      <c r="A928" s="728"/>
    </row>
    <row r="929" spans="1:1">
      <c r="A929" s="728"/>
    </row>
    <row r="930" spans="1:1">
      <c r="A930" s="728"/>
    </row>
    <row r="931" spans="1:1">
      <c r="A931" s="728"/>
    </row>
    <row r="932" spans="1:1">
      <c r="A932" s="728"/>
    </row>
    <row r="933" spans="1:1">
      <c r="A933" s="728"/>
    </row>
    <row r="934" spans="1:1">
      <c r="A934" s="728"/>
    </row>
    <row r="935" spans="1:1">
      <c r="A935" s="728"/>
    </row>
    <row r="936" spans="1:1">
      <c r="A936" s="728"/>
    </row>
    <row r="937" spans="1:1">
      <c r="A937" s="728"/>
    </row>
    <row r="938" spans="1:1">
      <c r="A938" s="728"/>
    </row>
    <row r="939" spans="1:1">
      <c r="A939" s="728"/>
    </row>
    <row r="940" spans="1:1">
      <c r="A940" s="728"/>
    </row>
    <row r="941" spans="1:1">
      <c r="A941" s="728"/>
    </row>
    <row r="942" spans="1:1">
      <c r="A942" s="728"/>
    </row>
    <row r="943" spans="1:1">
      <c r="A943" s="728"/>
    </row>
    <row r="944" spans="1:1">
      <c r="A944" s="728"/>
    </row>
    <row r="945" spans="1:1">
      <c r="A945" s="728"/>
    </row>
    <row r="946" spans="1:1">
      <c r="A946" s="728"/>
    </row>
    <row r="947" spans="1:1">
      <c r="A947" s="728"/>
    </row>
    <row r="948" spans="1:1">
      <c r="A948" s="728"/>
    </row>
    <row r="949" spans="1:1">
      <c r="A949" s="728"/>
    </row>
    <row r="950" spans="1:1">
      <c r="A950" s="728"/>
    </row>
    <row r="951" spans="1:1">
      <c r="A951" s="728"/>
    </row>
    <row r="952" spans="1:1">
      <c r="A952" s="728"/>
    </row>
    <row r="953" spans="1:1">
      <c r="A953" s="728"/>
    </row>
    <row r="954" spans="1:1">
      <c r="A954" s="728"/>
    </row>
    <row r="955" spans="1:1">
      <c r="A955" s="728"/>
    </row>
    <row r="956" spans="1:1">
      <c r="A956" s="728"/>
    </row>
    <row r="957" spans="1:1">
      <c r="A957" s="728"/>
    </row>
    <row r="958" spans="1:1">
      <c r="A958" s="728"/>
    </row>
    <row r="959" spans="1:1">
      <c r="A959" s="728"/>
    </row>
    <row r="960" spans="1:1">
      <c r="A960" s="728"/>
    </row>
    <row r="961" spans="1:1">
      <c r="A961" s="728"/>
    </row>
    <row r="962" spans="1:1">
      <c r="A962" s="728"/>
    </row>
    <row r="963" spans="1:1">
      <c r="A963" s="728"/>
    </row>
    <row r="964" spans="1:1">
      <c r="A964" s="728"/>
    </row>
    <row r="965" spans="1:1">
      <c r="A965" s="728"/>
    </row>
    <row r="966" spans="1:1">
      <c r="A966" s="728"/>
    </row>
    <row r="967" spans="1:1">
      <c r="A967" s="728"/>
    </row>
    <row r="968" spans="1:1">
      <c r="A968" s="728"/>
    </row>
    <row r="969" spans="1:1">
      <c r="A969" s="728"/>
    </row>
    <row r="970" spans="1:1">
      <c r="A970" s="728"/>
    </row>
    <row r="971" spans="1:1">
      <c r="A971" s="728"/>
    </row>
    <row r="972" spans="1:1">
      <c r="A972" s="728"/>
    </row>
    <row r="973" spans="1:1">
      <c r="A973" s="728"/>
    </row>
    <row r="974" spans="1:1">
      <c r="A974" s="728"/>
    </row>
    <row r="975" spans="1:1">
      <c r="A975" s="728"/>
    </row>
    <row r="976" spans="1:1">
      <c r="A976" s="728"/>
    </row>
    <row r="977" spans="1:1">
      <c r="A977" s="728"/>
    </row>
    <row r="978" spans="1:1">
      <c r="A978" s="728"/>
    </row>
    <row r="979" spans="1:1">
      <c r="A979" s="728"/>
    </row>
    <row r="980" spans="1:1">
      <c r="A980" s="728"/>
    </row>
    <row r="981" spans="1:1">
      <c r="A981" s="728"/>
    </row>
    <row r="982" spans="1:1">
      <c r="A982" s="728"/>
    </row>
    <row r="983" spans="1:1">
      <c r="A983" s="728"/>
    </row>
    <row r="984" spans="1:1">
      <c r="A984" s="728"/>
    </row>
    <row r="985" spans="1:1">
      <c r="A985" s="728"/>
    </row>
    <row r="986" spans="1:1">
      <c r="A986" s="728"/>
    </row>
    <row r="987" spans="1:1">
      <c r="A987" s="728"/>
    </row>
    <row r="988" spans="1:1">
      <c r="A988" s="728"/>
    </row>
    <row r="989" spans="1:1">
      <c r="A989" s="728"/>
    </row>
    <row r="990" spans="1:1">
      <c r="A990" s="728"/>
    </row>
    <row r="991" spans="1:1">
      <c r="A991" s="728"/>
    </row>
    <row r="992" spans="1:1">
      <c r="A992" s="728"/>
    </row>
    <row r="993" spans="1:1">
      <c r="A993" s="728"/>
    </row>
    <row r="994" spans="1:1">
      <c r="A994" s="728"/>
    </row>
    <row r="995" spans="1:1">
      <c r="A995" s="728"/>
    </row>
    <row r="996" spans="1:1">
      <c r="A996" s="728"/>
    </row>
    <row r="997" spans="1:1">
      <c r="A997" s="728"/>
    </row>
    <row r="998" spans="1:1">
      <c r="A998" s="728"/>
    </row>
    <row r="999" spans="1:1">
      <c r="A999" s="728"/>
    </row>
    <row r="1000" spans="1:1">
      <c r="A1000" s="728"/>
    </row>
    <row r="1001" spans="1:1">
      <c r="A1001" s="728"/>
    </row>
    <row r="1002" spans="1:1">
      <c r="A1002" s="728"/>
    </row>
    <row r="1003" spans="1:1">
      <c r="A1003" s="728"/>
    </row>
    <row r="1004" spans="1:1">
      <c r="A1004" s="728"/>
    </row>
    <row r="1005" spans="1:1">
      <c r="A1005" s="728"/>
    </row>
    <row r="1006" spans="1:1">
      <c r="A1006" s="728"/>
    </row>
  </sheetData>
  <mergeCells count="12">
    <mergeCell ref="AE6:AG6"/>
    <mergeCell ref="AH6:AJ6"/>
    <mergeCell ref="Y6:AA6"/>
    <mergeCell ref="AB6:AD6"/>
    <mergeCell ref="J6:M6"/>
    <mergeCell ref="B5:E5"/>
    <mergeCell ref="R6:U6"/>
    <mergeCell ref="N6:Q6"/>
    <mergeCell ref="V5:X5"/>
    <mergeCell ref="B6:E6"/>
    <mergeCell ref="F6:I6"/>
    <mergeCell ref="V6:X6"/>
  </mergeCells>
  <pageMargins left="0.7" right="0.7" top="0.75" bottom="0.75" header="0.3" footer="0.3"/>
  <pageSetup paperSize="3" scale="66" fitToWidth="2" orientation="landscape" r:id="rId1"/>
  <colBreaks count="1" manualBreakCount="1">
    <brk id="21" max="19"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00BC3-D90B-446C-8E22-C7886CE8BF73}">
  <sheetPr codeName="Sheet16">
    <pageSetUpPr fitToPage="1"/>
  </sheetPr>
  <dimension ref="A1:H21"/>
  <sheetViews>
    <sheetView workbookViewId="0"/>
  </sheetViews>
  <sheetFormatPr defaultColWidth="8.625" defaultRowHeight="14.25"/>
  <cols>
    <col min="1" max="1" width="45.125" style="728" customWidth="1"/>
    <col min="2" max="4" width="15.125" style="728" customWidth="1"/>
    <col min="5" max="8" width="13.5" style="728" customWidth="1"/>
    <col min="9" max="16384" width="8.625" style="728"/>
  </cols>
  <sheetData>
    <row r="1" spans="1:8">
      <c r="A1" s="175" t="s">
        <v>98</v>
      </c>
      <c r="B1" s="959" t="str">
        <f>PA_NAME</f>
        <v>SoCalGas</v>
      </c>
      <c r="D1" s="107"/>
    </row>
    <row r="2" spans="1:8">
      <c r="A2" s="175" t="s">
        <v>99</v>
      </c>
      <c r="B2" s="888" t="s">
        <v>303</v>
      </c>
    </row>
    <row r="3" spans="1:8">
      <c r="A3" s="8" t="s">
        <v>1141</v>
      </c>
    </row>
    <row r="6" spans="1:8" ht="28.5">
      <c r="A6" s="729" t="s">
        <v>1142</v>
      </c>
      <c r="B6" s="730" t="s">
        <v>1143</v>
      </c>
      <c r="C6" s="730" t="s">
        <v>1144</v>
      </c>
      <c r="D6" s="730" t="s">
        <v>1145</v>
      </c>
      <c r="E6" s="730" t="s">
        <v>1146</v>
      </c>
      <c r="F6" s="730" t="s">
        <v>1147</v>
      </c>
      <c r="G6" s="730" t="s">
        <v>1148</v>
      </c>
      <c r="H6" s="730" t="s">
        <v>1149</v>
      </c>
    </row>
    <row r="7" spans="1:8">
      <c r="A7" s="731" t="s">
        <v>1065</v>
      </c>
      <c r="B7" s="960">
        <v>10.1</v>
      </c>
      <c r="C7" s="960">
        <v>13.1</v>
      </c>
      <c r="D7" s="960">
        <v>13.1</v>
      </c>
      <c r="E7" s="960">
        <v>14.13</v>
      </c>
      <c r="F7" s="960">
        <v>14.12</v>
      </c>
      <c r="G7" s="960">
        <v>14.11</v>
      </c>
      <c r="H7" s="960">
        <v>14.12</v>
      </c>
    </row>
    <row r="8" spans="1:8">
      <c r="A8" s="731" t="s">
        <v>1150</v>
      </c>
      <c r="B8" s="960">
        <v>80.400000000000006</v>
      </c>
      <c r="C8" s="960">
        <v>71.900000000000006</v>
      </c>
      <c r="D8" s="960">
        <v>71.900000000000006</v>
      </c>
      <c r="E8" s="960">
        <v>65.84</v>
      </c>
      <c r="F8" s="960">
        <v>65.8</v>
      </c>
      <c r="G8" s="960">
        <v>65.739999999999995</v>
      </c>
      <c r="H8" s="960">
        <v>65.77</v>
      </c>
    </row>
    <row r="9" spans="1:8">
      <c r="A9" s="731" t="s">
        <v>1080</v>
      </c>
      <c r="B9" s="960">
        <v>20.5</v>
      </c>
      <c r="C9" s="960">
        <v>18.399999999999999</v>
      </c>
      <c r="D9" s="960">
        <v>18.399999999999999</v>
      </c>
      <c r="E9" s="960">
        <v>17.79</v>
      </c>
      <c r="F9" s="960">
        <v>17.78</v>
      </c>
      <c r="G9" s="960">
        <v>17.77</v>
      </c>
      <c r="H9" s="960">
        <v>17.78</v>
      </c>
    </row>
    <row r="10" spans="1:8">
      <c r="A10" s="731" t="s">
        <v>1151</v>
      </c>
      <c r="B10" s="960">
        <v>16.2</v>
      </c>
      <c r="C10" s="960">
        <v>11.5</v>
      </c>
      <c r="D10" s="960">
        <v>11.5</v>
      </c>
      <c r="E10" s="960">
        <v>2.61</v>
      </c>
      <c r="F10" s="960">
        <v>2.5</v>
      </c>
      <c r="G10" s="960">
        <v>2.4</v>
      </c>
      <c r="H10" s="960">
        <v>2.4</v>
      </c>
    </row>
    <row r="11" spans="1:8">
      <c r="A11" s="731" t="s">
        <v>1152</v>
      </c>
      <c r="B11" s="960">
        <v>3.1</v>
      </c>
      <c r="C11" s="960">
        <v>2</v>
      </c>
      <c r="D11" s="960">
        <v>2</v>
      </c>
      <c r="E11" s="960">
        <v>3.29</v>
      </c>
      <c r="F11" s="960">
        <v>3.23</v>
      </c>
      <c r="G11" s="960">
        <v>3.17</v>
      </c>
      <c r="H11" s="960">
        <v>3.18</v>
      </c>
    </row>
    <row r="12" spans="1:8">
      <c r="A12" s="731" t="s">
        <v>1091</v>
      </c>
      <c r="B12" s="960">
        <v>0.7</v>
      </c>
      <c r="C12" s="960">
        <v>2.5</v>
      </c>
      <c r="D12" s="960">
        <v>2.5</v>
      </c>
      <c r="E12" s="960">
        <v>4.3</v>
      </c>
      <c r="F12" s="960">
        <v>4.22</v>
      </c>
      <c r="G12" s="960">
        <v>4.13</v>
      </c>
      <c r="H12" s="960">
        <v>4.13</v>
      </c>
    </row>
    <row r="13" spans="1:8">
      <c r="A13" s="731" t="s">
        <v>679</v>
      </c>
      <c r="B13" s="960">
        <v>1.5</v>
      </c>
      <c r="C13" s="960">
        <v>2.2999999999999998</v>
      </c>
      <c r="D13" s="960">
        <v>2.2999999999999998</v>
      </c>
      <c r="E13" s="960">
        <v>3.3</v>
      </c>
      <c r="F13" s="960">
        <v>3.3</v>
      </c>
      <c r="G13" s="960">
        <v>3.3</v>
      </c>
      <c r="H13" s="960">
        <v>3.3</v>
      </c>
    </row>
    <row r="14" spans="1:8">
      <c r="A14" s="731" t="s">
        <v>1153</v>
      </c>
      <c r="B14" s="960">
        <v>11.2</v>
      </c>
      <c r="C14" s="960">
        <v>8</v>
      </c>
      <c r="D14" s="960">
        <v>8</v>
      </c>
      <c r="E14" s="960">
        <v>8.15</v>
      </c>
      <c r="F14" s="960">
        <v>7.56</v>
      </c>
      <c r="G14" s="960">
        <v>6.94</v>
      </c>
      <c r="H14" s="960">
        <v>5.8</v>
      </c>
    </row>
    <row r="15" spans="1:8">
      <c r="A15" s="731" t="s">
        <v>1106</v>
      </c>
      <c r="B15" s="960">
        <v>26.2</v>
      </c>
      <c r="C15" s="960">
        <v>18.600000000000001</v>
      </c>
      <c r="D15" s="960">
        <v>18.600000000000001</v>
      </c>
      <c r="E15" s="960">
        <v>22.73</v>
      </c>
      <c r="F15" s="960">
        <v>22.72</v>
      </c>
      <c r="G15" s="960">
        <v>22.46</v>
      </c>
      <c r="H15" s="960">
        <v>22.23</v>
      </c>
    </row>
    <row r="16" spans="1:8">
      <c r="A16" s="731" t="s">
        <v>1109</v>
      </c>
      <c r="B16" s="960">
        <v>1.7</v>
      </c>
      <c r="C16" s="960">
        <v>6.2</v>
      </c>
      <c r="D16" s="960">
        <v>6.2</v>
      </c>
      <c r="E16" s="960">
        <v>4.76</v>
      </c>
      <c r="F16" s="960">
        <v>4.76</v>
      </c>
      <c r="G16" s="960">
        <v>4.75</v>
      </c>
      <c r="H16" s="960">
        <v>4.76</v>
      </c>
    </row>
    <row r="17" spans="1:8">
      <c r="A17" s="731" t="s">
        <v>1114</v>
      </c>
      <c r="B17" s="960">
        <v>1.9</v>
      </c>
      <c r="C17" s="960">
        <v>3</v>
      </c>
      <c r="D17" s="960">
        <v>3</v>
      </c>
      <c r="E17" s="960">
        <v>3.74</v>
      </c>
      <c r="F17" s="960">
        <v>3.65</v>
      </c>
      <c r="G17" s="960">
        <v>3.57</v>
      </c>
      <c r="H17" s="960">
        <v>3.57</v>
      </c>
    </row>
    <row r="18" spans="1:8">
      <c r="A18" s="732" t="s">
        <v>222</v>
      </c>
      <c r="B18" s="961">
        <f t="shared" ref="B18:D18" si="0">SUM(B7:B17)</f>
        <v>173.49999999999997</v>
      </c>
      <c r="C18" s="961">
        <f t="shared" si="0"/>
        <v>157.49999999999997</v>
      </c>
      <c r="D18" s="961">
        <f t="shared" si="0"/>
        <v>157.49999999999997</v>
      </c>
      <c r="E18" s="961">
        <f t="shared" ref="E18:H18" si="1">SUM(E7:E17)</f>
        <v>150.63999999999999</v>
      </c>
      <c r="F18" s="961">
        <f t="shared" si="1"/>
        <v>149.64000000000001</v>
      </c>
      <c r="G18" s="961">
        <f t="shared" si="1"/>
        <v>148.33999999999997</v>
      </c>
      <c r="H18" s="961">
        <f t="shared" si="1"/>
        <v>147.04</v>
      </c>
    </row>
    <row r="19" spans="1:8">
      <c r="B19" s="962"/>
      <c r="D19" s="962"/>
    </row>
    <row r="20" spans="1:8">
      <c r="A20" s="728" t="s">
        <v>297</v>
      </c>
      <c r="B20" s="962"/>
      <c r="D20" s="962"/>
    </row>
    <row r="21" spans="1:8">
      <c r="A21" s="728" t="s">
        <v>1154</v>
      </c>
      <c r="B21" s="962"/>
      <c r="D21" s="962"/>
    </row>
  </sheetData>
  <phoneticPr fontId="176" type="noConversion"/>
  <pageMargins left="0.7" right="0.7" top="0.75" bottom="0.75" header="0.3" footer="0.3"/>
  <pageSetup paperSize="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558FE-E96F-4A28-AF45-8E2BAACF221D}">
  <sheetPr codeName="Sheet17">
    <pageSetUpPr fitToPage="1"/>
  </sheetPr>
  <dimension ref="A1:J44"/>
  <sheetViews>
    <sheetView zoomScaleNormal="100" workbookViewId="0"/>
  </sheetViews>
  <sheetFormatPr defaultColWidth="8.625" defaultRowHeight="14.25"/>
  <cols>
    <col min="1" max="1" width="11.25" style="266" customWidth="1"/>
    <col min="2" max="2" width="10.75" style="266" customWidth="1"/>
    <col min="3" max="3" width="51.75" style="266" customWidth="1"/>
    <col min="4" max="10" width="15.375" style="266" customWidth="1"/>
    <col min="11" max="16384" width="8.625" style="266"/>
  </cols>
  <sheetData>
    <row r="1" spans="1:10">
      <c r="A1" s="175" t="s">
        <v>98</v>
      </c>
      <c r="B1" s="176" t="str">
        <f>PA_NAME</f>
        <v>SoCalGas</v>
      </c>
      <c r="C1" s="108"/>
    </row>
    <row r="2" spans="1:10">
      <c r="A2" s="175" t="s">
        <v>99</v>
      </c>
      <c r="B2" s="888" t="s">
        <v>303</v>
      </c>
    </row>
    <row r="3" spans="1:10">
      <c r="A3" s="10" t="s">
        <v>1155</v>
      </c>
    </row>
    <row r="6" spans="1:10">
      <c r="A6" s="719"/>
      <c r="B6" s="719"/>
      <c r="C6" s="719"/>
      <c r="D6" s="719"/>
      <c r="E6" s="719"/>
      <c r="F6" s="719"/>
      <c r="G6" s="719"/>
      <c r="H6" s="719"/>
      <c r="I6" s="719"/>
      <c r="J6" s="719"/>
    </row>
    <row r="7" spans="1:10" ht="28.5">
      <c r="A7" s="720" t="s">
        <v>929</v>
      </c>
      <c r="B7" s="719" t="s">
        <v>1156</v>
      </c>
      <c r="C7" s="719" t="s">
        <v>1142</v>
      </c>
      <c r="D7" s="721" t="s">
        <v>1119</v>
      </c>
      <c r="E7" s="721" t="s">
        <v>1157</v>
      </c>
      <c r="F7" s="721" t="s">
        <v>1158</v>
      </c>
      <c r="G7" s="721" t="s">
        <v>1120</v>
      </c>
      <c r="H7" s="721" t="s">
        <v>1121</v>
      </c>
      <c r="I7" s="721" t="s">
        <v>1122</v>
      </c>
      <c r="J7" s="721" t="s">
        <v>1123</v>
      </c>
    </row>
    <row r="8" spans="1:10">
      <c r="A8" s="719" t="s">
        <v>17</v>
      </c>
      <c r="B8" s="719" t="s">
        <v>1159</v>
      </c>
      <c r="C8" s="722" t="s">
        <v>1065</v>
      </c>
      <c r="D8" s="142">
        <v>535300</v>
      </c>
      <c r="E8" s="142">
        <v>348216</v>
      </c>
      <c r="F8" s="142">
        <v>358662</v>
      </c>
      <c r="G8" s="142">
        <v>801434.84461119131</v>
      </c>
      <c r="H8" s="142">
        <v>821022.05805588618</v>
      </c>
      <c r="I8" s="142">
        <v>845829.34841574333</v>
      </c>
      <c r="J8" s="142">
        <v>870729.92225947569</v>
      </c>
    </row>
    <row r="9" spans="1:10">
      <c r="A9" s="719"/>
      <c r="B9" s="719"/>
      <c r="C9" s="722" t="s">
        <v>1150</v>
      </c>
      <c r="D9" s="142">
        <v>2045856</v>
      </c>
      <c r="E9" s="142">
        <v>1225650</v>
      </c>
      <c r="F9" s="142">
        <v>1262420</v>
      </c>
      <c r="G9" s="142">
        <v>2536094.1195096718</v>
      </c>
      <c r="H9" s="142">
        <v>2602167.1936434009</v>
      </c>
      <c r="I9" s="142">
        <v>2673735.5057384917</v>
      </c>
      <c r="J9" s="142">
        <v>2748599.3097040383</v>
      </c>
    </row>
    <row r="10" spans="1:10">
      <c r="A10" s="719"/>
      <c r="B10" s="719"/>
      <c r="C10" s="722" t="s">
        <v>1160</v>
      </c>
      <c r="D10" s="142">
        <v>318979</v>
      </c>
      <c r="E10" s="142">
        <v>486123</v>
      </c>
      <c r="F10" s="142">
        <v>500707</v>
      </c>
      <c r="G10" s="142">
        <v>462174.94327863079</v>
      </c>
      <c r="H10" s="142">
        <v>475275.25325295643</v>
      </c>
      <c r="I10" s="142">
        <v>489227.39892375411</v>
      </c>
      <c r="J10" s="142">
        <v>503728.68228594901</v>
      </c>
    </row>
    <row r="11" spans="1:10">
      <c r="A11" s="719"/>
      <c r="B11" s="719"/>
      <c r="C11" s="722" t="s">
        <v>1151</v>
      </c>
      <c r="D11" s="142">
        <v>1119542</v>
      </c>
      <c r="E11" s="142">
        <v>1086019</v>
      </c>
      <c r="F11" s="142">
        <v>1118600</v>
      </c>
      <c r="G11" s="142">
        <v>193839.83703315654</v>
      </c>
      <c r="H11" s="142">
        <v>189729.12998869692</v>
      </c>
      <c r="I11" s="142">
        <v>185507.35841883428</v>
      </c>
      <c r="J11" s="142">
        <v>190772.48464154149</v>
      </c>
    </row>
    <row r="12" spans="1:10">
      <c r="A12" s="719"/>
      <c r="B12" s="719"/>
      <c r="C12" s="722" t="s">
        <v>1152</v>
      </c>
      <c r="D12" s="142">
        <v>164406</v>
      </c>
      <c r="E12" s="142">
        <v>155146</v>
      </c>
      <c r="F12" s="142">
        <v>159800</v>
      </c>
      <c r="G12" s="142">
        <v>164142.86177129697</v>
      </c>
      <c r="H12" s="142">
        <v>163584.70706660347</v>
      </c>
      <c r="I12" s="142">
        <v>163096.61265423213</v>
      </c>
      <c r="J12" s="142">
        <v>167724.82270364053</v>
      </c>
    </row>
    <row r="13" spans="1:10">
      <c r="A13" s="719"/>
      <c r="B13" s="719"/>
      <c r="C13" s="722" t="s">
        <v>1091</v>
      </c>
      <c r="D13" s="142">
        <v>45264</v>
      </c>
      <c r="E13" s="142">
        <v>60334</v>
      </c>
      <c r="F13" s="142">
        <v>62144</v>
      </c>
      <c r="G13" s="142">
        <v>275789.50157986564</v>
      </c>
      <c r="H13" s="142">
        <v>275594.47979186865</v>
      </c>
      <c r="I13" s="142">
        <v>275556.76322650141</v>
      </c>
      <c r="J13" s="142">
        <v>283377.99991361354</v>
      </c>
    </row>
    <row r="14" spans="1:10">
      <c r="A14" s="719"/>
      <c r="B14" s="719"/>
      <c r="C14" s="722" t="s">
        <v>1153</v>
      </c>
      <c r="D14" s="142">
        <v>260456</v>
      </c>
      <c r="E14" s="142">
        <v>189622</v>
      </c>
      <c r="F14" s="142">
        <v>195311</v>
      </c>
      <c r="G14" s="142">
        <v>514155</v>
      </c>
      <c r="H14" s="142">
        <v>489583.82327037741</v>
      </c>
      <c r="I14" s="142">
        <v>462858.5</v>
      </c>
      <c r="J14" s="142">
        <v>397030.5</v>
      </c>
    </row>
    <row r="15" spans="1:10">
      <c r="A15" s="719"/>
      <c r="B15" s="719"/>
      <c r="C15" s="722" t="s">
        <v>1106</v>
      </c>
      <c r="D15" s="142">
        <v>0</v>
      </c>
      <c r="E15" s="142">
        <v>505775</v>
      </c>
      <c r="F15" s="142">
        <v>520948</v>
      </c>
      <c r="G15" s="142">
        <v>601656</v>
      </c>
      <c r="H15" s="142">
        <v>617650</v>
      </c>
      <c r="I15" s="142">
        <v>634904</v>
      </c>
      <c r="J15" s="142">
        <v>652926</v>
      </c>
    </row>
    <row r="16" spans="1:10">
      <c r="A16" s="719"/>
      <c r="B16" s="719"/>
      <c r="C16" s="722" t="s">
        <v>1109</v>
      </c>
      <c r="D16" s="142">
        <v>0</v>
      </c>
      <c r="E16" s="142">
        <v>128254</v>
      </c>
      <c r="F16" s="142">
        <v>132101</v>
      </c>
      <c r="G16" s="142">
        <v>243224.70793828263</v>
      </c>
      <c r="H16" s="142">
        <v>249689.95405684289</v>
      </c>
      <c r="I16" s="142">
        <v>256665.00320536084</v>
      </c>
      <c r="J16" s="142">
        <v>263950.38391638576</v>
      </c>
    </row>
    <row r="17" spans="1:10">
      <c r="A17" s="719"/>
      <c r="B17" s="719"/>
      <c r="C17" s="722" t="s">
        <v>1114</v>
      </c>
      <c r="D17" s="142">
        <v>106848</v>
      </c>
      <c r="E17" s="142">
        <v>310291</v>
      </c>
      <c r="F17" s="142">
        <v>319600</v>
      </c>
      <c r="G17" s="142">
        <v>314550.35262306721</v>
      </c>
      <c r="H17" s="142">
        <v>315674.25717109884</v>
      </c>
      <c r="I17" s="142">
        <v>317054.69080771762</v>
      </c>
      <c r="J17" s="142">
        <v>326053.96307797806</v>
      </c>
    </row>
    <row r="18" spans="1:10">
      <c r="A18" s="719"/>
      <c r="B18" s="723" t="s">
        <v>1161</v>
      </c>
      <c r="C18" s="723"/>
      <c r="D18" s="956">
        <f>SUM(D8:D17)</f>
        <v>4596651</v>
      </c>
      <c r="E18" s="956">
        <f t="shared" ref="E18:F18" si="0">SUM(E8:E17)</f>
        <v>4495430</v>
      </c>
      <c r="F18" s="956">
        <f t="shared" si="0"/>
        <v>4630293</v>
      </c>
      <c r="G18" s="956">
        <f t="shared" ref="G18:J18" si="1">SUM(G8:G17)</f>
        <v>6107062.1683451626</v>
      </c>
      <c r="H18" s="956">
        <f t="shared" si="1"/>
        <v>6199970.8562977323</v>
      </c>
      <c r="I18" s="956">
        <f t="shared" si="1"/>
        <v>6304435.1813906357</v>
      </c>
      <c r="J18" s="956">
        <f t="shared" si="1"/>
        <v>6404894.0685026227</v>
      </c>
    </row>
    <row r="19" spans="1:10">
      <c r="A19" s="719"/>
      <c r="B19" s="719" t="s">
        <v>1162</v>
      </c>
      <c r="C19" s="719" t="s">
        <v>1163</v>
      </c>
      <c r="D19" s="142">
        <v>7310661</v>
      </c>
      <c r="E19" s="142">
        <v>10699726</v>
      </c>
      <c r="F19" s="142">
        <v>13490189</v>
      </c>
      <c r="G19" s="142">
        <v>17955018.984843358</v>
      </c>
      <c r="H19" s="142">
        <v>17847586.243640322</v>
      </c>
      <c r="I19" s="142">
        <v>17829207.526008319</v>
      </c>
      <c r="J19" s="142">
        <v>17918867.315664239</v>
      </c>
    </row>
    <row r="20" spans="1:10">
      <c r="A20" s="719"/>
      <c r="B20" s="719"/>
      <c r="C20" s="719" t="s">
        <v>1164</v>
      </c>
      <c r="D20" s="142">
        <v>0</v>
      </c>
      <c r="E20" s="142">
        <v>0</v>
      </c>
      <c r="F20" s="142">
        <v>0</v>
      </c>
      <c r="G20" s="142">
        <v>0</v>
      </c>
      <c r="H20" s="142">
        <v>0</v>
      </c>
      <c r="I20" s="142">
        <v>0</v>
      </c>
      <c r="J20" s="142">
        <v>0</v>
      </c>
    </row>
    <row r="21" spans="1:10">
      <c r="A21" s="719"/>
      <c r="B21" s="719"/>
      <c r="C21" s="719" t="s">
        <v>1165</v>
      </c>
      <c r="D21" s="142">
        <v>0</v>
      </c>
      <c r="E21" s="142">
        <v>0</v>
      </c>
      <c r="F21" s="142">
        <v>0</v>
      </c>
      <c r="G21" s="142">
        <v>0</v>
      </c>
      <c r="H21" s="142">
        <v>0</v>
      </c>
      <c r="I21" s="142">
        <v>0</v>
      </c>
      <c r="J21" s="142">
        <v>0</v>
      </c>
    </row>
    <row r="22" spans="1:10">
      <c r="A22" s="719"/>
      <c r="B22" s="719"/>
      <c r="C22" s="719" t="s">
        <v>1166</v>
      </c>
      <c r="D22" s="142">
        <v>6563624</v>
      </c>
      <c r="E22" s="142">
        <v>2095698</v>
      </c>
      <c r="F22" s="142">
        <v>765324</v>
      </c>
      <c r="G22" s="142">
        <v>0</v>
      </c>
      <c r="H22" s="142">
        <v>0</v>
      </c>
      <c r="I22" s="142">
        <v>0</v>
      </c>
      <c r="J22" s="142">
        <v>0</v>
      </c>
    </row>
    <row r="23" spans="1:10">
      <c r="A23" s="719"/>
      <c r="B23" s="719"/>
      <c r="C23" s="719" t="s">
        <v>1167</v>
      </c>
      <c r="D23" s="142">
        <v>5056</v>
      </c>
      <c r="E23" s="142">
        <v>2000</v>
      </c>
      <c r="F23" s="142">
        <v>2000</v>
      </c>
      <c r="G23" s="142">
        <v>445855.0636457348</v>
      </c>
      <c r="H23" s="142">
        <v>472627.28919519589</v>
      </c>
      <c r="I23" s="142">
        <v>479769.86847966944</v>
      </c>
      <c r="J23" s="142">
        <v>561878.30976394843</v>
      </c>
    </row>
    <row r="24" spans="1:10">
      <c r="A24" s="719"/>
      <c r="B24" s="719"/>
      <c r="C24" s="719" t="s">
        <v>1168</v>
      </c>
      <c r="D24" s="142">
        <v>3919643</v>
      </c>
      <c r="E24" s="142">
        <v>1284371</v>
      </c>
      <c r="F24" s="142">
        <v>327957</v>
      </c>
      <c r="G24" s="142">
        <v>1666367.6408317441</v>
      </c>
      <c r="H24" s="142">
        <v>1679253.6402962697</v>
      </c>
      <c r="I24" s="142">
        <v>1766508.6759806471</v>
      </c>
      <c r="J24" s="142">
        <v>1792298.4991060079</v>
      </c>
    </row>
    <row r="25" spans="1:10">
      <c r="A25" s="719"/>
      <c r="B25" s="719"/>
      <c r="C25" s="719" t="s">
        <v>1169</v>
      </c>
      <c r="D25" s="142">
        <v>4635</v>
      </c>
      <c r="E25" s="142">
        <v>5247</v>
      </c>
      <c r="F25" s="142">
        <v>2558</v>
      </c>
      <c r="G25" s="142">
        <v>105141.05672136918</v>
      </c>
      <c r="H25" s="142">
        <v>106182.74674704361</v>
      </c>
      <c r="I25" s="142">
        <v>107697.60107624585</v>
      </c>
      <c r="J25" s="142">
        <v>109437.31771405098</v>
      </c>
    </row>
    <row r="26" spans="1:10">
      <c r="A26" s="719"/>
      <c r="B26" s="719"/>
      <c r="C26" s="719" t="s">
        <v>1170</v>
      </c>
      <c r="D26" s="142">
        <v>525445</v>
      </c>
      <c r="E26" s="142">
        <v>153892</v>
      </c>
      <c r="F26" s="142">
        <v>75018</v>
      </c>
      <c r="G26" s="142">
        <v>129940.15280387011</v>
      </c>
      <c r="H26" s="142">
        <v>131002.74862550605</v>
      </c>
      <c r="I26" s="142">
        <v>132688.50503312299</v>
      </c>
      <c r="J26" s="142">
        <v>134667.4196885936</v>
      </c>
    </row>
    <row r="27" spans="1:10">
      <c r="A27" s="719"/>
      <c r="B27" s="719"/>
      <c r="C27" s="719" t="s">
        <v>1171</v>
      </c>
      <c r="D27" s="142">
        <v>0</v>
      </c>
      <c r="E27" s="142">
        <v>0</v>
      </c>
      <c r="F27" s="142">
        <v>0</v>
      </c>
      <c r="G27" s="142">
        <v>110948.17117297872</v>
      </c>
      <c r="H27" s="142">
        <v>111855.51015075413</v>
      </c>
      <c r="I27" s="142">
        <v>113294.99903757365</v>
      </c>
      <c r="J27" s="142">
        <v>114984.24362943861</v>
      </c>
    </row>
    <row r="28" spans="1:10">
      <c r="A28" s="719"/>
      <c r="B28" s="719"/>
      <c r="C28" s="719" t="s">
        <v>1172</v>
      </c>
      <c r="D28" s="142">
        <v>0</v>
      </c>
      <c r="E28" s="142">
        <v>0</v>
      </c>
      <c r="F28" s="142">
        <v>0</v>
      </c>
      <c r="G28" s="142">
        <v>68702.91299329084</v>
      </c>
      <c r="H28" s="142">
        <v>69264.815374689046</v>
      </c>
      <c r="I28" s="142">
        <v>70156.131189121836</v>
      </c>
      <c r="J28" s="142">
        <v>71202.271807904326</v>
      </c>
    </row>
    <row r="29" spans="1:10">
      <c r="A29" s="719"/>
      <c r="B29" s="719"/>
      <c r="C29" s="719" t="s">
        <v>1173</v>
      </c>
      <c r="D29" s="142">
        <v>1024064</v>
      </c>
      <c r="E29" s="142">
        <v>1020000</v>
      </c>
      <c r="F29" s="142">
        <v>1050600</v>
      </c>
      <c r="G29" s="142">
        <v>888273</v>
      </c>
      <c r="H29" s="142">
        <v>895537.17672962265</v>
      </c>
      <c r="I29" s="142">
        <v>907060.50000000012</v>
      </c>
      <c r="J29" s="142">
        <v>920587.50000000012</v>
      </c>
    </row>
    <row r="30" spans="1:10">
      <c r="A30" s="719"/>
      <c r="B30" s="719"/>
      <c r="C30" s="719" t="s">
        <v>1174</v>
      </c>
      <c r="D30" s="142">
        <v>0</v>
      </c>
      <c r="E30" s="142">
        <v>0</v>
      </c>
      <c r="F30" s="142">
        <v>0</v>
      </c>
      <c r="G30" s="142">
        <v>202122</v>
      </c>
      <c r="H30" s="142">
        <v>203775</v>
      </c>
      <c r="I30" s="142">
        <v>206397</v>
      </c>
      <c r="J30" s="142">
        <v>209475</v>
      </c>
    </row>
    <row r="31" spans="1:10">
      <c r="A31" s="719"/>
      <c r="B31" s="719"/>
      <c r="C31" s="719" t="s">
        <v>1175</v>
      </c>
      <c r="D31" s="142">
        <v>0</v>
      </c>
      <c r="E31" s="142">
        <v>0</v>
      </c>
      <c r="F31" s="142">
        <v>0</v>
      </c>
      <c r="G31" s="142">
        <v>415329.29206171737</v>
      </c>
      <c r="H31" s="142">
        <v>418725.04594315717</v>
      </c>
      <c r="I31" s="142">
        <v>424112.99679463921</v>
      </c>
      <c r="J31" s="142">
        <v>430437.61608361424</v>
      </c>
    </row>
    <row r="32" spans="1:10">
      <c r="A32" s="719"/>
      <c r="B32" s="719"/>
      <c r="C32" s="719" t="s">
        <v>1176</v>
      </c>
      <c r="D32" s="142">
        <v>0</v>
      </c>
      <c r="E32" s="142">
        <v>0</v>
      </c>
      <c r="F32" s="142">
        <v>0</v>
      </c>
      <c r="G32" s="142">
        <v>117554.2081010933</v>
      </c>
      <c r="H32" s="142">
        <v>118515.56932170319</v>
      </c>
      <c r="I32" s="142">
        <v>120040.57924383509</v>
      </c>
      <c r="J32" s="142">
        <v>121830.96916834307</v>
      </c>
    </row>
    <row r="33" spans="1:10">
      <c r="A33" s="719"/>
      <c r="B33" s="719"/>
      <c r="C33" s="719" t="s">
        <v>1177</v>
      </c>
      <c r="D33" s="142">
        <v>0</v>
      </c>
      <c r="E33" s="142">
        <v>0</v>
      </c>
      <c r="F33" s="142">
        <v>0</v>
      </c>
      <c r="G33" s="142">
        <v>0</v>
      </c>
      <c r="H33" s="142">
        <v>0</v>
      </c>
      <c r="I33" s="142">
        <v>0</v>
      </c>
      <c r="J33" s="142">
        <v>0</v>
      </c>
    </row>
    <row r="34" spans="1:10">
      <c r="A34" s="719"/>
      <c r="B34" s="719"/>
      <c r="C34" s="725" t="s">
        <v>1178</v>
      </c>
      <c r="D34" s="142">
        <v>25038175</v>
      </c>
      <c r="E34" s="142">
        <v>17225459</v>
      </c>
      <c r="F34" s="142">
        <v>12950150</v>
      </c>
      <c r="G34" s="142">
        <v>12186935</v>
      </c>
      <c r="H34" s="142">
        <v>12298935</v>
      </c>
      <c r="I34" s="142">
        <v>12608885</v>
      </c>
      <c r="J34" s="142">
        <v>13060270</v>
      </c>
    </row>
    <row r="35" spans="1:10">
      <c r="A35" s="719"/>
      <c r="B35" s="719"/>
      <c r="C35" s="719" t="s">
        <v>1179</v>
      </c>
      <c r="D35" s="142">
        <v>3080566</v>
      </c>
      <c r="E35" s="142">
        <v>11517311</v>
      </c>
      <c r="F35" s="142">
        <v>16757249</v>
      </c>
      <c r="G35" s="142">
        <v>20635003.099960487</v>
      </c>
      <c r="H35" s="142">
        <v>20339140.782010023</v>
      </c>
      <c r="I35" s="142">
        <v>20402757.825453695</v>
      </c>
      <c r="J35" s="142">
        <v>20525415.985526156</v>
      </c>
    </row>
    <row r="36" spans="1:10">
      <c r="A36" s="719"/>
      <c r="B36" s="723" t="s">
        <v>1180</v>
      </c>
      <c r="C36" s="723"/>
      <c r="D36" s="957">
        <f>SUM(D19:D35)</f>
        <v>47471869</v>
      </c>
      <c r="E36" s="957">
        <f t="shared" ref="E36:J36" si="2">SUM(E19:E35)</f>
        <v>44003704</v>
      </c>
      <c r="F36" s="957">
        <f t="shared" si="2"/>
        <v>45421045</v>
      </c>
      <c r="G36" s="957">
        <f t="shared" si="2"/>
        <v>54927190.58313565</v>
      </c>
      <c r="H36" s="957">
        <f t="shared" si="2"/>
        <v>54692401.568034276</v>
      </c>
      <c r="I36" s="957">
        <f t="shared" si="2"/>
        <v>55168577.20829688</v>
      </c>
      <c r="J36" s="957">
        <f t="shared" si="2"/>
        <v>55971352.448152304</v>
      </c>
    </row>
    <row r="37" spans="1:10">
      <c r="A37" s="723" t="s">
        <v>1181</v>
      </c>
      <c r="B37" s="723"/>
      <c r="C37" s="723"/>
      <c r="D37" s="957">
        <f>+D36+D18</f>
        <v>52068520</v>
      </c>
      <c r="E37" s="957">
        <f t="shared" ref="E37:F37" si="3">+E36+E18</f>
        <v>48499134</v>
      </c>
      <c r="F37" s="957">
        <f t="shared" si="3"/>
        <v>50051338</v>
      </c>
      <c r="G37" s="957">
        <f t="shared" ref="G37:J37" si="4">+G36+G18</f>
        <v>61034252.75148081</v>
      </c>
      <c r="H37" s="957">
        <f t="shared" si="4"/>
        <v>60892372.424332008</v>
      </c>
      <c r="I37" s="957">
        <f t="shared" si="4"/>
        <v>61473012.389687516</v>
      </c>
      <c r="J37" s="957">
        <f t="shared" si="4"/>
        <v>62376246.516654924</v>
      </c>
    </row>
    <row r="38" spans="1:10">
      <c r="A38" s="719"/>
      <c r="B38" s="719" t="s">
        <v>1182</v>
      </c>
      <c r="C38" s="719" t="s">
        <v>1183</v>
      </c>
      <c r="D38" s="958"/>
      <c r="E38" s="958"/>
      <c r="F38" s="958"/>
      <c r="G38" s="958">
        <v>3035432</v>
      </c>
      <c r="H38" s="958">
        <v>3097414</v>
      </c>
      <c r="I38" s="958">
        <v>3168634</v>
      </c>
      <c r="J38" s="958">
        <v>3244695</v>
      </c>
    </row>
    <row r="39" spans="1:10" hidden="1">
      <c r="D39" s="42"/>
      <c r="E39" s="42"/>
      <c r="F39" s="42"/>
      <c r="G39" s="42"/>
      <c r="H39" s="42"/>
      <c r="I39" s="42"/>
      <c r="J39" s="42"/>
    </row>
    <row r="40" spans="1:10">
      <c r="D40" s="727"/>
    </row>
    <row r="41" spans="1:10">
      <c r="A41" s="266" t="s">
        <v>297</v>
      </c>
      <c r="B41" s="1369" t="s">
        <v>1184</v>
      </c>
      <c r="C41" s="1369"/>
      <c r="D41" s="113"/>
    </row>
    <row r="42" spans="1:10">
      <c r="B42" s="148" t="s">
        <v>1185</v>
      </c>
    </row>
    <row r="43" spans="1:10">
      <c r="D43" s="113"/>
      <c r="G43" s="726"/>
      <c r="H43" s="726"/>
      <c r="I43" s="726"/>
      <c r="J43" s="726"/>
    </row>
    <row r="44" spans="1:10">
      <c r="D44" s="113"/>
    </row>
  </sheetData>
  <mergeCells count="1">
    <mergeCell ref="B41:C41"/>
  </mergeCells>
  <phoneticPr fontId="176" type="noConversion"/>
  <pageMargins left="0.7" right="0.7" top="0.75" bottom="0.75" header="0.3" footer="0.3"/>
  <pageSetup paperSize="3"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1A77-E2ED-4E0A-8D2B-24FD9278AA6A}">
  <sheetPr codeName="Sheet2">
    <pageSetUpPr fitToPage="1"/>
  </sheetPr>
  <dimension ref="A1:AH48"/>
  <sheetViews>
    <sheetView workbookViewId="0">
      <selection activeCell="D10" sqref="D10"/>
    </sheetView>
  </sheetViews>
  <sheetFormatPr defaultColWidth="8.875" defaultRowHeight="15.75"/>
  <cols>
    <col min="2" max="2" width="64.125" customWidth="1"/>
    <col min="3" max="3" width="16.625" customWidth="1"/>
    <col min="4" max="4" width="17.75" customWidth="1"/>
    <col min="5" max="13" width="16.625" customWidth="1"/>
    <col min="14" max="18" width="12.875" customWidth="1"/>
  </cols>
  <sheetData>
    <row r="1" spans="1:10">
      <c r="A1" s="5" t="s">
        <v>98</v>
      </c>
      <c r="B1" s="116" t="str">
        <f>PA_NAME</f>
        <v>SoCalGas</v>
      </c>
    </row>
    <row r="2" spans="1:10">
      <c r="A2" s="5" t="s">
        <v>99</v>
      </c>
      <c r="B2" s="116" t="str">
        <f>RPT_YEAR</f>
        <v>2024-2031</v>
      </c>
    </row>
    <row r="3" spans="1:10">
      <c r="C3" s="109"/>
      <c r="D3" s="109"/>
      <c r="E3" s="109"/>
      <c r="F3" s="109"/>
    </row>
    <row r="4" spans="1:10">
      <c r="B4" s="33" t="s">
        <v>100</v>
      </c>
      <c r="C4" s="117" t="str">
        <f>LEFT($B$2,4)</f>
        <v>2024</v>
      </c>
      <c r="D4" s="117">
        <f>+C4+1</f>
        <v>2025</v>
      </c>
      <c r="E4" s="117">
        <f>+D4+1</f>
        <v>2026</v>
      </c>
      <c r="F4" s="117">
        <f t="shared" ref="F4:J4" si="0">+E4+1</f>
        <v>2027</v>
      </c>
      <c r="G4" s="117">
        <f t="shared" si="0"/>
        <v>2028</v>
      </c>
      <c r="H4" s="117">
        <f t="shared" si="0"/>
        <v>2029</v>
      </c>
      <c r="I4" s="117">
        <f t="shared" si="0"/>
        <v>2030</v>
      </c>
      <c r="J4" s="117">
        <f t="shared" si="0"/>
        <v>2031</v>
      </c>
    </row>
    <row r="5" spans="1:10">
      <c r="B5" t="str">
        <f>"Tab 3 - "&amp;'3.2 Funding Source'!C9</f>
        <v>Tab 3 - PA Spending Budget Request (PA Program and EM&amp;V) (same as row above, used for reference)</v>
      </c>
      <c r="C5" s="118">
        <f>+'3.2 Funding Source'!D9</f>
        <v>151687539.46587145</v>
      </c>
      <c r="D5" s="118">
        <f>+'3.2 Funding Source'!E9</f>
        <v>152297750.69833151</v>
      </c>
      <c r="E5" s="118">
        <f>+'3.2 Funding Source'!F9</f>
        <v>153091119.86851117</v>
      </c>
      <c r="F5" s="118">
        <f>+'3.2 Funding Source'!G9</f>
        <v>154627592.80744177</v>
      </c>
      <c r="G5" s="119">
        <f>+'3.2 Funding Source'!H9</f>
        <v>159575675.77727985</v>
      </c>
      <c r="H5" s="119">
        <f>+'3.2 Funding Source'!I9</f>
        <v>164682097.40215287</v>
      </c>
      <c r="I5" s="119">
        <f>+'3.2 Funding Source'!J9</f>
        <v>169951924.51902169</v>
      </c>
      <c r="J5" s="119">
        <f>+'3.2 Funding Source'!K9</f>
        <v>175390386.10363042</v>
      </c>
    </row>
    <row r="6" spans="1:10">
      <c r="B6" t="str">
        <f>"Tab 4 - "&amp;'4.1 Program Budget - 2024-2027'!D193</f>
        <v>Tab 4 - PA Spending Budget Request (PA Program and EM&amp;V)</v>
      </c>
      <c r="C6" s="118">
        <f>+'4.1 Program Budget - 2024-2027'!S193</f>
        <v>151687539.46587145</v>
      </c>
      <c r="D6" s="118">
        <f>+'4.1 Program Budget - 2024-2027'!AK193</f>
        <v>152297750.69833151</v>
      </c>
      <c r="E6" s="118">
        <f>+'4.1 Program Budget - 2024-2027'!BC193</f>
        <v>153091119.86851117</v>
      </c>
      <c r="F6" s="118">
        <f>+'4.1 Program Budget - 2024-2027'!BU193</f>
        <v>154627592.80744177</v>
      </c>
      <c r="G6" s="119">
        <f>'4.2 Program Budget 2028-2031'!I53</f>
        <v>159575675.77727985</v>
      </c>
      <c r="H6" s="119">
        <f>'4.2 Program Budget 2028-2031'!T53</f>
        <v>164682097.40215287</v>
      </c>
      <c r="I6" s="119">
        <f>'4.2 Program Budget 2028-2031'!AE53</f>
        <v>169951924.51902169</v>
      </c>
      <c r="J6" s="119">
        <f>'4.2 Program Budget 2028-2031'!AP53</f>
        <v>175390386.10363042</v>
      </c>
    </row>
    <row r="7" spans="1:10">
      <c r="B7" t="s">
        <v>101</v>
      </c>
      <c r="C7" s="118">
        <f>+'7.3 PA PY budget_savings'!C69</f>
        <v>151687539.46587145</v>
      </c>
      <c r="D7" s="118">
        <f>+'7.3 PA PY budget_savings'!I69</f>
        <v>152297750.69833142</v>
      </c>
      <c r="E7" s="118">
        <f>+'7.3 PA PY budget_savings'!O69</f>
        <v>153091119.86851111</v>
      </c>
      <c r="F7" s="118">
        <f>+'7.3 PA PY budget_savings'!U69</f>
        <v>154627592.80744171</v>
      </c>
      <c r="G7" s="119">
        <f>+'7.3 PA PY budget_savings'!AA69</f>
        <v>159575675.77727985</v>
      </c>
      <c r="H7" s="119">
        <f>+'7.3 PA PY budget_savings'!AG69</f>
        <v>164682097.40215284</v>
      </c>
      <c r="I7" s="119">
        <f>+'7.3 PA PY budget_savings'!AM69</f>
        <v>169951924.51902169</v>
      </c>
      <c r="J7" s="119">
        <f>+'7.3 PA PY budget_savings'!AS69</f>
        <v>175390386.10363042</v>
      </c>
    </row>
    <row r="8" spans="1:10">
      <c r="B8" t="str" cm="1">
        <f t="array" ref="B8">"Tab 8 - "&amp;LEFT('8 Cap &amp; Target'!C36:C36,LEN('8 Cap &amp; Target'!C36:C36)-1)</f>
        <v xml:space="preserve">Tab 8 - PA Spending Budget Request (PA Program and EM&amp;V) </v>
      </c>
      <c r="C8" s="118">
        <f>+'8 Cap &amp; Target'!G36</f>
        <v>151687539.46587145</v>
      </c>
      <c r="D8" s="118">
        <f>+'8 Cap &amp; Target'!M36</f>
        <v>152297750.69833142</v>
      </c>
      <c r="E8" s="118">
        <f>+'8 Cap &amp; Target'!S36</f>
        <v>153091119.86851117</v>
      </c>
      <c r="F8" s="118">
        <f>+'8 Cap &amp; Target'!Y36</f>
        <v>154627592.80744171</v>
      </c>
      <c r="G8" s="120"/>
      <c r="H8" s="120"/>
      <c r="I8" s="120"/>
      <c r="J8" s="120"/>
    </row>
    <row r="9" spans="1:10">
      <c r="B9" t="str">
        <f>"Tab 9 - "&amp;'9 Portfolio Summary'!A18</f>
        <v>Tab 9 - PA Spending Budget Request (PA Program and EM&amp;V + CEC AB 841)</v>
      </c>
      <c r="C9" s="118">
        <f>+'9 Portfolio Summary'!I18</f>
        <v>151687539.46587145</v>
      </c>
      <c r="D9" s="118">
        <f>+'9 Portfolio Summary'!M18</f>
        <v>152297750.69833142</v>
      </c>
      <c r="E9" s="118">
        <f>+'9 Portfolio Summary'!Q18</f>
        <v>153091119.86851117</v>
      </c>
      <c r="F9" s="118">
        <f>+'9 Portfolio Summary'!U18</f>
        <v>154627592.80744171</v>
      </c>
      <c r="G9" s="120"/>
      <c r="H9" s="120"/>
      <c r="I9" s="120"/>
      <c r="J9" s="120"/>
    </row>
    <row r="10" spans="1:10">
      <c r="B10" s="47" t="s">
        <v>102</v>
      </c>
      <c r="C10" s="49">
        <f>IF(AND(C5=C6,C7=C8,C9=C8,C7=C6,C5=C9,C6=C8)=TRUE,0,"ERROR")</f>
        <v>0</v>
      </c>
      <c r="D10" s="49" t="str">
        <f>IF(AND(D5=D6,D7=D8,D9=D8,D7=D6,D5=D9,D6=D8)=TRUE,0,"ERROR")</f>
        <v>ERROR</v>
      </c>
      <c r="E10" s="49">
        <f t="shared" ref="E10:F10" si="1">IF(AND(E5=E6,E7=E8,E9=E8,E7=E6,E5=E9,E6=E8)=TRUE,0,"ERROR")</f>
        <v>0</v>
      </c>
      <c r="F10" s="49">
        <f t="shared" si="1"/>
        <v>0</v>
      </c>
      <c r="G10" s="49">
        <f>IF(AND(G5=G6,G7=G5)=TRUE,0,"ERROR")</f>
        <v>0</v>
      </c>
      <c r="H10" s="49">
        <f t="shared" ref="H10:J10" si="2">IF(AND(H5=H6,H7=H5)=TRUE,0,"ERROR")</f>
        <v>0</v>
      </c>
      <c r="I10" s="49">
        <f t="shared" si="2"/>
        <v>0</v>
      </c>
      <c r="J10" s="49">
        <f t="shared" si="2"/>
        <v>0</v>
      </c>
    </row>
    <row r="11" spans="1:10">
      <c r="B11" s="47"/>
      <c r="C11" s="49"/>
      <c r="D11" s="49"/>
    </row>
    <row r="12" spans="1:10">
      <c r="B12" s="33" t="s">
        <v>103</v>
      </c>
      <c r="C12" s="117" t="str">
        <f>LEFT($B$2,4)</f>
        <v>2024</v>
      </c>
      <c r="D12" s="117">
        <f>+C12+1</f>
        <v>2025</v>
      </c>
      <c r="E12" s="117">
        <f>+D12+1</f>
        <v>2026</v>
      </c>
      <c r="F12" s="117">
        <f t="shared" ref="F12:J12" si="3">+E12+1</f>
        <v>2027</v>
      </c>
      <c r="G12" s="117">
        <f t="shared" si="3"/>
        <v>2028</v>
      </c>
      <c r="H12" s="117">
        <f t="shared" si="3"/>
        <v>2029</v>
      </c>
      <c r="I12" s="117">
        <f t="shared" si="3"/>
        <v>2030</v>
      </c>
      <c r="J12" s="117">
        <f t="shared" si="3"/>
        <v>2031</v>
      </c>
    </row>
    <row r="13" spans="1:10">
      <c r="B13" t="s">
        <v>104</v>
      </c>
      <c r="C13" s="118">
        <f>+'4.1 Program Budget - 2024-2027'!V193</f>
        <v>151687539.46587145</v>
      </c>
      <c r="D13" s="118">
        <f>+'4.1 Program Budget - 2024-2027'!AN193</f>
        <v>152297750.69833151</v>
      </c>
      <c r="E13" s="118">
        <f>+'4.1 Program Budget - 2024-2027'!BF193</f>
        <v>153091119.86851117</v>
      </c>
      <c r="F13" s="118">
        <f>+'4.1 Program Budget - 2024-2027'!BX193</f>
        <v>154627592.80744177</v>
      </c>
      <c r="G13" s="118">
        <f>'4.2 Program Budget 2028-2031'!I45</f>
        <v>159575675.77727985</v>
      </c>
      <c r="H13" s="118">
        <f>'4.2 Program Budget 2028-2031'!T45</f>
        <v>164682097.40215287</v>
      </c>
      <c r="I13" s="118">
        <f>'4.2 Program Budget 2028-2031'!AE45</f>
        <v>169951924.51902169</v>
      </c>
      <c r="J13" s="118">
        <f>'4.2 Program Budget 2028-2031'!AP45</f>
        <v>175390386.10363042</v>
      </c>
    </row>
    <row r="14" spans="1:10">
      <c r="B14" t="s">
        <v>105</v>
      </c>
      <c r="C14" s="118">
        <f>+'7.3 PA PY budget_savings'!C71</f>
        <v>151687539.46587145</v>
      </c>
      <c r="D14" s="118">
        <f>+'7.3 PA PY budget_savings'!I71</f>
        <v>152297750.69833142</v>
      </c>
      <c r="E14" s="118">
        <f>+'7.3 PA PY budget_savings'!O71</f>
        <v>153091119.86851111</v>
      </c>
      <c r="F14" s="118">
        <f>+'7.3 PA PY budget_savings'!U71</f>
        <v>154627592.80744171</v>
      </c>
      <c r="G14" s="118">
        <f>+'7.3 PA PY budget_savings'!AA71</f>
        <v>159575675.77727985</v>
      </c>
      <c r="H14" s="118">
        <f>+'7.3 PA PY budget_savings'!AG71</f>
        <v>164682097.40215284</v>
      </c>
      <c r="I14" s="118">
        <f>+'7.3 PA PY budget_savings'!AM71</f>
        <v>169951924.51902169</v>
      </c>
      <c r="J14" s="118">
        <f>+'7.3 PA PY budget_savings'!AS71</f>
        <v>175390386.10363042</v>
      </c>
    </row>
    <row r="15" spans="1:10">
      <c r="B15" s="47" t="s">
        <v>102</v>
      </c>
      <c r="C15" s="110">
        <f t="shared" ref="C15:J15" si="4">+C13-C14</f>
        <v>0</v>
      </c>
      <c r="D15" s="110">
        <f t="shared" si="4"/>
        <v>0</v>
      </c>
      <c r="E15" s="110">
        <f t="shared" si="4"/>
        <v>0</v>
      </c>
      <c r="F15" s="110">
        <f t="shared" si="4"/>
        <v>0</v>
      </c>
      <c r="G15" s="110">
        <f t="shared" si="4"/>
        <v>0</v>
      </c>
      <c r="H15" s="110">
        <f t="shared" si="4"/>
        <v>0</v>
      </c>
      <c r="I15" s="110">
        <f t="shared" si="4"/>
        <v>0</v>
      </c>
      <c r="J15" s="110">
        <f t="shared" si="4"/>
        <v>0</v>
      </c>
    </row>
    <row r="16" spans="1:10">
      <c r="C16" s="43"/>
      <c r="D16" s="43"/>
    </row>
    <row r="17" spans="2:34">
      <c r="C17" s="1350" t="str">
        <f>LEFT(B2,4)</f>
        <v>2024</v>
      </c>
      <c r="D17" s="1350"/>
      <c r="E17" s="1350"/>
      <c r="F17" s="1350"/>
      <c r="G17" s="1349">
        <f>+C17+1</f>
        <v>2025</v>
      </c>
      <c r="H17" s="1349"/>
      <c r="I17" s="1349"/>
      <c r="J17" s="1349"/>
      <c r="K17" s="1349">
        <f>+G17+1</f>
        <v>2026</v>
      </c>
      <c r="L17" s="1349"/>
      <c r="M17" s="1349"/>
      <c r="N17" s="1349"/>
      <c r="O17" s="1349">
        <f>+K17+1</f>
        <v>2027</v>
      </c>
      <c r="P17" s="1349"/>
      <c r="Q17" s="1349"/>
      <c r="R17" s="1349"/>
      <c r="S17" s="1349">
        <f>+O17+1</f>
        <v>2028</v>
      </c>
      <c r="T17" s="1349"/>
      <c r="U17" s="1349"/>
      <c r="V17" s="1349"/>
      <c r="W17" s="1349">
        <f>+S17+1</f>
        <v>2029</v>
      </c>
      <c r="X17" s="1349"/>
      <c r="Y17" s="1349"/>
      <c r="Z17" s="1349"/>
      <c r="AA17" s="1349">
        <f>+W17+1</f>
        <v>2030</v>
      </c>
      <c r="AB17" s="1349"/>
      <c r="AC17" s="1349"/>
      <c r="AD17" s="1349"/>
      <c r="AE17" s="1349">
        <f>+AA17+1</f>
        <v>2031</v>
      </c>
      <c r="AF17" s="1349"/>
      <c r="AG17" s="1349"/>
      <c r="AH17" s="1349"/>
    </row>
    <row r="18" spans="2:34">
      <c r="B18" s="33" t="s">
        <v>106</v>
      </c>
      <c r="C18" s="121" t="s">
        <v>107</v>
      </c>
      <c r="D18" s="121" t="s">
        <v>108</v>
      </c>
      <c r="E18" s="117" t="s">
        <v>109</v>
      </c>
      <c r="F18" s="117" t="s">
        <v>110</v>
      </c>
      <c r="G18" s="121" t="s">
        <v>107</v>
      </c>
      <c r="H18" s="121" t="s">
        <v>108</v>
      </c>
      <c r="I18" s="117" t="s">
        <v>109</v>
      </c>
      <c r="J18" s="117" t="s">
        <v>110</v>
      </c>
      <c r="K18" s="121" t="s">
        <v>107</v>
      </c>
      <c r="L18" s="121" t="s">
        <v>108</v>
      </c>
      <c r="M18" s="117" t="s">
        <v>109</v>
      </c>
      <c r="N18" s="117" t="s">
        <v>110</v>
      </c>
      <c r="O18" s="121" t="s">
        <v>107</v>
      </c>
      <c r="P18" s="121" t="s">
        <v>108</v>
      </c>
      <c r="Q18" s="117" t="s">
        <v>109</v>
      </c>
      <c r="R18" s="117" t="s">
        <v>110</v>
      </c>
      <c r="S18" s="121" t="s">
        <v>107</v>
      </c>
      <c r="T18" s="121" t="s">
        <v>108</v>
      </c>
      <c r="U18" s="117" t="s">
        <v>109</v>
      </c>
      <c r="V18" s="117" t="s">
        <v>110</v>
      </c>
      <c r="W18" s="121" t="s">
        <v>107</v>
      </c>
      <c r="X18" s="121" t="s">
        <v>108</v>
      </c>
      <c r="Y18" s="117" t="s">
        <v>109</v>
      </c>
      <c r="Z18" s="117" t="s">
        <v>110</v>
      </c>
      <c r="AA18" s="121" t="s">
        <v>107</v>
      </c>
      <c r="AB18" s="121" t="s">
        <v>108</v>
      </c>
      <c r="AC18" s="117" t="s">
        <v>109</v>
      </c>
      <c r="AD18" s="117" t="s">
        <v>110</v>
      </c>
      <c r="AE18" s="121" t="s">
        <v>107</v>
      </c>
      <c r="AF18" s="121" t="s">
        <v>108</v>
      </c>
      <c r="AG18" s="117" t="s">
        <v>109</v>
      </c>
      <c r="AH18" s="117" t="s">
        <v>110</v>
      </c>
    </row>
    <row r="19" spans="2:34">
      <c r="B19" t="s">
        <v>111</v>
      </c>
      <c r="C19" s="122">
        <f>+'4.1 Program Budget - 2024-2027'!O193</f>
        <v>13619088.83811166</v>
      </c>
      <c r="D19" s="118">
        <f>+'4.1 Program Budget - 2024-2027'!P193+'4.1 Program Budget - 2024-2027'!S206</f>
        <v>7107211.6999391029</v>
      </c>
      <c r="E19" s="118">
        <f>+'4.1 Program Budget - 2024-2027'!Q193</f>
        <v>58664347.273819633</v>
      </c>
      <c r="F19" s="118">
        <f>+'4.1 Program Budget - 2024-2027'!R193</f>
        <v>66229390.075366206</v>
      </c>
      <c r="G19" s="122">
        <f>+'4.1 Program Budget - 2024-2027'!AG193</f>
        <v>13779662.831940398</v>
      </c>
      <c r="H19" s="118">
        <f>+'4.1 Program Budget - 2024-2027'!AH193+'4.1 Program Budget - 2024-2027'!AK206</f>
        <v>7021536.8261102121</v>
      </c>
      <c r="I19" s="118">
        <f>+'4.1 Program Budget - 2024-2027'!AI193</f>
        <v>59148989.350817703</v>
      </c>
      <c r="J19" s="118">
        <f>+'4.1 Program Budget - 2024-2027'!AJ193</f>
        <v>66255651.661529884</v>
      </c>
      <c r="K19" s="122">
        <f>+'4.1 Program Budget - 2024-2027'!AY193</f>
        <v>13903603.437118672</v>
      </c>
      <c r="L19" s="118">
        <f>+'4.1 Program Budget - 2024-2027'!AZ193+'4.1 Program Budget - 2024-2027'!BC206</f>
        <v>6936701.4538436113</v>
      </c>
      <c r="M19" s="118">
        <f>+'4.1 Program Budget - 2024-2027'!BA193</f>
        <v>59645352.186256096</v>
      </c>
      <c r="N19" s="118">
        <f>+'4.1 Program Budget - 2024-2027'!BB193</f>
        <v>66481817.996552348</v>
      </c>
      <c r="O19" s="122">
        <f>+'4.1 Program Budget - 2024-2027'!BQ193</f>
        <v>14209008.726777466</v>
      </c>
      <c r="P19" s="118">
        <f>+'4.1 Program Budget - 2024-2027'!BR193+'4.1 Program Budget - 2024-2027'!BU206</f>
        <v>6806879.4512947546</v>
      </c>
      <c r="Q19" s="118">
        <f>+'4.1 Program Budget - 2024-2027'!BS193</f>
        <v>60040899.974416792</v>
      </c>
      <c r="R19" s="118">
        <f>+'4.1 Program Budget - 2024-2027'!BT193</f>
        <v>67385700.942655042</v>
      </c>
      <c r="S19" s="120"/>
      <c r="T19" s="120"/>
      <c r="U19" s="120"/>
      <c r="V19" s="120"/>
      <c r="W19" s="120"/>
      <c r="X19" s="120"/>
      <c r="Y19" s="120"/>
      <c r="Z19" s="120"/>
      <c r="AA19" s="120"/>
      <c r="AB19" s="120"/>
      <c r="AC19" s="120"/>
      <c r="AD19" s="120"/>
      <c r="AE19" s="120"/>
      <c r="AF19" s="120"/>
      <c r="AG19" s="120"/>
      <c r="AH19" s="120"/>
    </row>
    <row r="20" spans="2:34">
      <c r="B20" t="s">
        <v>112</v>
      </c>
      <c r="C20" s="122">
        <f>+SUM('8 Cap &amp; Target'!G12:G14)</f>
        <v>13619088.83811166</v>
      </c>
      <c r="D20" s="118">
        <f>SUM('8 Cap &amp; Target'!G18:G19)</f>
        <v>7107211.6999391029</v>
      </c>
      <c r="E20" s="118">
        <f>+SUM('8 Cap &amp; Target'!G25:G27)</f>
        <v>58664347.27381961</v>
      </c>
      <c r="F20" s="118">
        <f>+'8 Cap &amp; Target'!G23</f>
        <v>66229390.075366206</v>
      </c>
      <c r="G20" s="122">
        <f>+SUM('8 Cap &amp; Target'!M12:M14)</f>
        <v>13779662.831940398</v>
      </c>
      <c r="H20" s="118">
        <f>+SUM('8 Cap &amp; Target'!M18:M19)</f>
        <v>7021536.8261102121</v>
      </c>
      <c r="I20" s="118">
        <f>+SUM('8 Cap &amp; Target'!M25:M27)</f>
        <v>59148989.350817665</v>
      </c>
      <c r="J20" s="118">
        <f>+'8 Cap &amp; Target'!M23</f>
        <v>66255651.661529884</v>
      </c>
      <c r="K20" s="122">
        <f>+SUM('8 Cap &amp; Target'!S12:S14)</f>
        <v>13903603.437118674</v>
      </c>
      <c r="L20" s="118">
        <f>+SUM('8 Cap &amp; Target'!S18:S19)</f>
        <v>6936701.4538436113</v>
      </c>
      <c r="M20" s="118">
        <f>+SUM('8 Cap &amp; Target'!S25:S27)</f>
        <v>59645352.186256088</v>
      </c>
      <c r="N20" s="118">
        <f>+'8 Cap &amp; Target'!S23</f>
        <v>66481817.996552348</v>
      </c>
      <c r="O20" s="122">
        <f>+SUM('8 Cap &amp; Target'!Y12:Y14)</f>
        <v>14209008.726777466</v>
      </c>
      <c r="P20" s="118">
        <f>+SUM('8 Cap &amp; Target'!Y18:Y19)</f>
        <v>6806879.4512947546</v>
      </c>
      <c r="Q20" s="118">
        <f>+SUM('8 Cap &amp; Target'!Y25:Y27)</f>
        <v>60040899.974416792</v>
      </c>
      <c r="R20" s="118">
        <f>+'8 Cap &amp; Target'!Y23</f>
        <v>67385700.942655042</v>
      </c>
      <c r="S20" s="120"/>
      <c r="T20" s="120"/>
      <c r="U20" s="120"/>
      <c r="V20" s="120"/>
      <c r="W20" s="120"/>
      <c r="X20" s="120"/>
      <c r="Y20" s="120"/>
      <c r="Z20" s="120"/>
      <c r="AA20" s="120"/>
      <c r="AB20" s="120"/>
      <c r="AC20" s="120"/>
      <c r="AD20" s="120"/>
      <c r="AE20" s="120"/>
      <c r="AF20" s="120"/>
      <c r="AG20" s="120"/>
      <c r="AH20" s="120"/>
    </row>
    <row r="21" spans="2:34">
      <c r="B21" s="47" t="s">
        <v>102</v>
      </c>
      <c r="C21" s="115">
        <f>+C19-C20</f>
        <v>0</v>
      </c>
      <c r="D21" s="110">
        <f t="shared" ref="D21:J21" si="5">+D19-D20</f>
        <v>0</v>
      </c>
      <c r="E21" s="110">
        <f t="shared" si="5"/>
        <v>0</v>
      </c>
      <c r="F21" s="110">
        <f t="shared" si="5"/>
        <v>0</v>
      </c>
      <c r="G21" s="115">
        <f t="shared" si="5"/>
        <v>0</v>
      </c>
      <c r="H21" s="110">
        <f t="shared" si="5"/>
        <v>0</v>
      </c>
      <c r="I21" s="110">
        <f t="shared" si="5"/>
        <v>0</v>
      </c>
      <c r="J21" s="110">
        <f t="shared" si="5"/>
        <v>0</v>
      </c>
      <c r="K21" s="115">
        <f>+K19-K20</f>
        <v>0</v>
      </c>
      <c r="L21" s="110">
        <f t="shared" ref="L21:N21" si="6">+L19-L20</f>
        <v>0</v>
      </c>
      <c r="M21" s="110">
        <f t="shared" si="6"/>
        <v>0</v>
      </c>
      <c r="N21" s="110">
        <f t="shared" si="6"/>
        <v>0</v>
      </c>
      <c r="O21" s="115">
        <f>+O19-O20</f>
        <v>0</v>
      </c>
      <c r="P21" s="110">
        <f t="shared" ref="P21:R21" si="7">+P19-P20</f>
        <v>0</v>
      </c>
      <c r="Q21" s="110">
        <f t="shared" si="7"/>
        <v>0</v>
      </c>
      <c r="R21" s="110">
        <f t="shared" si="7"/>
        <v>0</v>
      </c>
      <c r="S21" s="48">
        <f>+S19-S20</f>
        <v>0</v>
      </c>
      <c r="T21" s="48">
        <f t="shared" ref="T21:V21" si="8">+T19-T20</f>
        <v>0</v>
      </c>
      <c r="U21" s="48">
        <f t="shared" si="8"/>
        <v>0</v>
      </c>
      <c r="V21" s="48">
        <f t="shared" si="8"/>
        <v>0</v>
      </c>
      <c r="W21" s="48">
        <f>+W19-W20</f>
        <v>0</v>
      </c>
      <c r="X21" s="48">
        <f t="shared" ref="X21:Z21" si="9">+X19-X20</f>
        <v>0</v>
      </c>
      <c r="Y21" s="48">
        <f t="shared" si="9"/>
        <v>0</v>
      </c>
      <c r="Z21" s="48">
        <f t="shared" si="9"/>
        <v>0</v>
      </c>
      <c r="AA21" s="48">
        <f>+AA19-AA20</f>
        <v>0</v>
      </c>
      <c r="AB21" s="48">
        <f t="shared" ref="AB21:AD21" si="10">+AB19-AB20</f>
        <v>0</v>
      </c>
      <c r="AC21" s="48">
        <f t="shared" si="10"/>
        <v>0</v>
      </c>
      <c r="AD21" s="48">
        <f t="shared" si="10"/>
        <v>0</v>
      </c>
      <c r="AE21" s="48">
        <f>+AE19-AE20</f>
        <v>0</v>
      </c>
      <c r="AF21" s="48">
        <f t="shared" ref="AF21:AH21" si="11">+AF19-AF20</f>
        <v>0</v>
      </c>
      <c r="AG21" s="48">
        <f t="shared" si="11"/>
        <v>0</v>
      </c>
      <c r="AH21" s="48">
        <f t="shared" si="11"/>
        <v>0</v>
      </c>
    </row>
    <row r="22" spans="2:34">
      <c r="B22" t="s">
        <v>113</v>
      </c>
      <c r="C22" s="123"/>
      <c r="D22" s="123"/>
      <c r="E22" s="123"/>
      <c r="F22" s="118">
        <f>+'9 Portfolio Summary'!H18</f>
        <v>66229390.075366206</v>
      </c>
      <c r="G22" s="123"/>
      <c r="H22" s="123"/>
      <c r="I22" s="123"/>
      <c r="J22" s="118">
        <f>+'9 Portfolio Summary'!L18</f>
        <v>66255651.661529884</v>
      </c>
      <c r="K22" s="123"/>
      <c r="L22" s="123"/>
      <c r="M22" s="123"/>
      <c r="N22" s="118">
        <f>+'9 Portfolio Summary'!P18</f>
        <v>66481817.996552348</v>
      </c>
      <c r="O22" s="123"/>
      <c r="P22" s="123"/>
      <c r="Q22" s="123"/>
      <c r="R22" s="118">
        <f>+'9 Portfolio Summary'!T18</f>
        <v>67385700.942655042</v>
      </c>
      <c r="S22" s="120"/>
      <c r="T22" s="120"/>
      <c r="U22" s="124"/>
      <c r="V22" s="125"/>
      <c r="W22" s="120"/>
      <c r="X22" s="120"/>
      <c r="Y22" s="124"/>
      <c r="Z22" s="125"/>
      <c r="AA22" s="120"/>
      <c r="AB22" s="120"/>
      <c r="AC22" s="124"/>
      <c r="AD22" s="125"/>
      <c r="AE22" s="120"/>
      <c r="AF22" s="120"/>
      <c r="AG22" s="124"/>
      <c r="AH22" s="125"/>
    </row>
    <row r="23" spans="2:34">
      <c r="B23" s="47" t="s">
        <v>102</v>
      </c>
      <c r="C23" s="43"/>
      <c r="D23" s="43"/>
      <c r="F23" s="48">
        <f>+F19-F22</f>
        <v>0</v>
      </c>
      <c r="J23" s="48">
        <f>+J19-J22</f>
        <v>0</v>
      </c>
      <c r="K23" s="43"/>
      <c r="L23" s="43"/>
      <c r="N23" s="48">
        <f>+N19-N22</f>
        <v>0</v>
      </c>
      <c r="O23" s="43"/>
      <c r="P23" s="43"/>
      <c r="R23" s="48">
        <f>+R19-R22</f>
        <v>0</v>
      </c>
      <c r="S23" s="43"/>
      <c r="T23" s="43"/>
      <c r="V23" s="48">
        <f>+V19-V22</f>
        <v>0</v>
      </c>
      <c r="W23" s="43"/>
      <c r="X23" s="43"/>
      <c r="Z23" s="48">
        <f>+Z19-Z22</f>
        <v>0</v>
      </c>
      <c r="AA23" s="43"/>
      <c r="AB23" s="43"/>
      <c r="AD23" s="48">
        <f>+AD19-AD22</f>
        <v>0</v>
      </c>
      <c r="AE23" s="43"/>
      <c r="AF23" s="43"/>
      <c r="AH23" s="48">
        <f>+AH19-AH22</f>
        <v>0</v>
      </c>
    </row>
    <row r="24" spans="2:34">
      <c r="C24" s="43"/>
      <c r="D24" s="43"/>
      <c r="F24" s="48"/>
      <c r="J24" s="48"/>
    </row>
    <row r="25" spans="2:34">
      <c r="C25" s="1349" t="str">
        <f>LEFT(B2,4)</f>
        <v>2024</v>
      </c>
      <c r="D25" s="1349"/>
      <c r="E25" s="1349"/>
      <c r="F25" s="1349"/>
      <c r="G25" s="1349"/>
      <c r="H25" s="1349"/>
      <c r="I25" s="1349"/>
      <c r="J25" s="1349"/>
      <c r="K25" s="1349"/>
      <c r="L25" s="1349"/>
      <c r="M25" s="1349"/>
    </row>
    <row r="26" spans="2:34">
      <c r="B26" s="33" t="s">
        <v>114</v>
      </c>
      <c r="C26" s="126" t="s">
        <v>17</v>
      </c>
      <c r="D26" s="126" t="s">
        <v>22</v>
      </c>
      <c r="E26" s="126" t="s">
        <v>25</v>
      </c>
      <c r="F26" s="126" t="s">
        <v>27</v>
      </c>
      <c r="G26" s="126" t="s">
        <v>30</v>
      </c>
      <c r="H26" s="127" t="s">
        <v>29</v>
      </c>
      <c r="I26" s="127" t="s">
        <v>28</v>
      </c>
      <c r="J26" s="127" t="s">
        <v>32</v>
      </c>
      <c r="K26" s="127" t="s">
        <v>34</v>
      </c>
      <c r="L26" s="127" t="s">
        <v>115</v>
      </c>
      <c r="M26" s="126" t="s">
        <v>36</v>
      </c>
    </row>
    <row r="27" spans="2:34">
      <c r="B27" t="s">
        <v>116</v>
      </c>
      <c r="C27" s="118">
        <f>'7.3 PA PY budget_savings'!C49</f>
        <v>61034252.75148081</v>
      </c>
      <c r="D27" s="118">
        <f>'7.3 PA PY budget_savings'!C50</f>
        <v>35681634.665620446</v>
      </c>
      <c r="E27" s="118">
        <f>'7.3 PA PY budget_savings'!C51</f>
        <v>19434308.43060768</v>
      </c>
      <c r="F27" s="118">
        <f>'7.3 PA PY budget_savings'!C52</f>
        <v>5451575.662324803</v>
      </c>
      <c r="G27" s="118">
        <f>'7.3 PA PY budget_savings'!C54</f>
        <v>11837519.458088361</v>
      </c>
      <c r="H27" s="118">
        <f>'7.3 PA PY budget_savings'!C53</f>
        <v>1645389.7508036585</v>
      </c>
      <c r="I27" s="118">
        <f>'7.3 PA PY budget_savings'!C68</f>
        <v>1461901.3288</v>
      </c>
      <c r="J27" s="118">
        <f>'7.3 PA PY budget_savings'!C55</f>
        <v>8548008.3210205808</v>
      </c>
      <c r="K27" s="118">
        <f>'7.3 PA PY budget_savings'!C56</f>
        <v>525447.51849025069</v>
      </c>
      <c r="L27" s="118">
        <f>SUM(H27:K27)</f>
        <v>12180746.919114491</v>
      </c>
      <c r="M27" s="118">
        <f>'7.3 PA PY budget_savings'!C57</f>
        <v>0</v>
      </c>
    </row>
    <row r="28" spans="2:34">
      <c r="B28" t="s">
        <v>117</v>
      </c>
      <c r="C28" s="118">
        <f>'9 Portfolio Summary'!I8</f>
        <v>61034252.75148081</v>
      </c>
      <c r="D28" s="118">
        <f>+'9 Portfolio Summary'!I9</f>
        <v>35681634.665620446</v>
      </c>
      <c r="E28" s="118">
        <f>+'9 Portfolio Summary'!I10</f>
        <v>19434308.43060768</v>
      </c>
      <c r="F28" s="118">
        <f>+'9 Portfolio Summary'!I11</f>
        <v>5451575.662324803</v>
      </c>
      <c r="G28" s="118">
        <f>+'9 Portfolio Summary'!I12</f>
        <v>11837519.458088361</v>
      </c>
      <c r="H28" s="123"/>
      <c r="I28" s="123"/>
      <c r="J28" s="123"/>
      <c r="K28" s="123"/>
      <c r="L28" s="118">
        <f>'9 Portfolio Summary'!I13</f>
        <v>12180746.919114493</v>
      </c>
      <c r="M28" s="118">
        <f>'9 Portfolio Summary'!I17</f>
        <v>0</v>
      </c>
    </row>
    <row r="29" spans="2:34">
      <c r="B29" s="47" t="s">
        <v>102</v>
      </c>
      <c r="C29" s="110">
        <f>+C27-C28</f>
        <v>0</v>
      </c>
      <c r="D29" s="110">
        <f t="shared" ref="D29:G29" si="12">+D27-D28</f>
        <v>0</v>
      </c>
      <c r="E29" s="110">
        <f t="shared" si="12"/>
        <v>0</v>
      </c>
      <c r="F29" s="110">
        <f t="shared" si="12"/>
        <v>0</v>
      </c>
      <c r="G29" s="110">
        <f t="shared" si="12"/>
        <v>0</v>
      </c>
      <c r="H29" s="110"/>
      <c r="I29" s="110"/>
      <c r="J29" s="110"/>
      <c r="K29" s="111"/>
      <c r="L29" s="110">
        <f>+L27-L28</f>
        <v>0</v>
      </c>
      <c r="M29" s="110">
        <f>+M27-M28</f>
        <v>0</v>
      </c>
    </row>
    <row r="31" spans="2:34">
      <c r="C31" s="1349">
        <f>+C25+1</f>
        <v>2025</v>
      </c>
      <c r="D31" s="1349"/>
      <c r="E31" s="1349"/>
      <c r="F31" s="1349"/>
      <c r="G31" s="1349"/>
      <c r="H31" s="1349"/>
      <c r="I31" s="1349"/>
      <c r="J31" s="1349"/>
      <c r="K31" s="1349"/>
      <c r="L31" s="1349"/>
      <c r="M31" s="1349"/>
    </row>
    <row r="32" spans="2:34">
      <c r="C32" s="126" t="s">
        <v>17</v>
      </c>
      <c r="D32" s="126" t="s">
        <v>22</v>
      </c>
      <c r="E32" s="126" t="s">
        <v>25</v>
      </c>
      <c r="F32" s="126" t="s">
        <v>27</v>
      </c>
      <c r="G32" s="126" t="s">
        <v>30</v>
      </c>
      <c r="H32" s="127" t="s">
        <v>29</v>
      </c>
      <c r="I32" s="127" t="s">
        <v>28</v>
      </c>
      <c r="J32" s="127" t="s">
        <v>32</v>
      </c>
      <c r="K32" s="127" t="s">
        <v>34</v>
      </c>
      <c r="L32" s="127" t="s">
        <v>115</v>
      </c>
      <c r="M32" s="126" t="s">
        <v>36</v>
      </c>
    </row>
    <row r="33" spans="2:13">
      <c r="B33" t="str">
        <f>+B27</f>
        <v>Tab 7 - PA Portfolio Budget by Function</v>
      </c>
      <c r="C33" s="118">
        <f>+'7.3 PA PY budget_savings'!I49</f>
        <v>60892372.424332015</v>
      </c>
      <c r="D33" s="118">
        <f>+'7.3 PA PY budget_savings'!I50</f>
        <v>35914638.496203959</v>
      </c>
      <c r="E33" s="118">
        <f>+'7.3 PA PY budget_savings'!I51</f>
        <v>19257847.933097176</v>
      </c>
      <c r="F33" s="118">
        <f>+'7.3 PA PY budget_savings'!I52</f>
        <v>5472232.3281165045</v>
      </c>
      <c r="G33" s="118">
        <f>+'7.3 PA PY budget_savings'!I54</f>
        <v>12414832.004593186</v>
      </c>
      <c r="H33" s="118">
        <f>+'7.3 PA PY budget_savings'!I53</f>
        <v>1652861.4233807516</v>
      </c>
      <c r="I33" s="118">
        <f>+'7.3 PA PY budget_savings'!I68</f>
        <v>1461901.3288</v>
      </c>
      <c r="J33" s="118">
        <f>+'7.3 PA PY budget_savings'!I55</f>
        <v>8607036.8892864399</v>
      </c>
      <c r="K33" s="118">
        <f>+'7.3 PA PY budget_savings'!I56</f>
        <v>532117.84258812142</v>
      </c>
      <c r="L33" s="118">
        <f>SUM(H33:K33)</f>
        <v>12253917.484055312</v>
      </c>
      <c r="M33" s="128">
        <f>+'7.3 PA PY budget_savings'!I57</f>
        <v>0</v>
      </c>
    </row>
    <row r="34" spans="2:13">
      <c r="B34" t="str">
        <f>+B28</f>
        <v>Tab 9 - PA Portfolio Budget by Function</v>
      </c>
      <c r="C34" s="118">
        <f>+'9 Portfolio Summary'!M8</f>
        <v>60892372.424332015</v>
      </c>
      <c r="D34" s="118">
        <f>+'9 Portfolio Summary'!M9</f>
        <v>35914638.496203959</v>
      </c>
      <c r="E34" s="118">
        <f>+'9 Portfolio Summary'!M10</f>
        <v>19257847.933097176</v>
      </c>
      <c r="F34" s="118">
        <f>+'9 Portfolio Summary'!M11</f>
        <v>5472232.3281165045</v>
      </c>
      <c r="G34" s="118">
        <f>+'9 Portfolio Summary'!M12</f>
        <v>12414832.004593186</v>
      </c>
      <c r="H34" s="123"/>
      <c r="I34" s="123"/>
      <c r="J34" s="123"/>
      <c r="K34" s="123"/>
      <c r="L34" s="118">
        <f>+'9 Portfolio Summary'!M13</f>
        <v>12253917.484055312</v>
      </c>
      <c r="M34" s="128">
        <f>'9 Portfolio Summary'!M17</f>
        <v>0</v>
      </c>
    </row>
    <row r="35" spans="2:13">
      <c r="B35" s="47" t="s">
        <v>102</v>
      </c>
      <c r="C35" s="110">
        <f>+C33-C34</f>
        <v>0</v>
      </c>
      <c r="D35" s="110">
        <f t="shared" ref="D35:G35" si="13">+D33-D34</f>
        <v>0</v>
      </c>
      <c r="E35" s="110">
        <f t="shared" si="13"/>
        <v>0</v>
      </c>
      <c r="F35" s="110">
        <f t="shared" si="13"/>
        <v>0</v>
      </c>
      <c r="G35" s="110">
        <f t="shared" si="13"/>
        <v>0</v>
      </c>
      <c r="H35" s="110"/>
      <c r="I35" s="110"/>
      <c r="J35" s="110"/>
      <c r="K35" s="111"/>
      <c r="L35" s="110">
        <f>+L33-L34</f>
        <v>0</v>
      </c>
      <c r="M35" s="48">
        <f>+M33-M34</f>
        <v>0</v>
      </c>
    </row>
    <row r="36" spans="2:13">
      <c r="C36" s="111"/>
      <c r="D36" s="111"/>
      <c r="E36" s="111"/>
      <c r="F36" s="111"/>
      <c r="G36" s="111"/>
      <c r="H36" s="111"/>
      <c r="I36" s="111"/>
      <c r="J36" s="111"/>
      <c r="K36" s="111"/>
      <c r="L36" s="111"/>
    </row>
    <row r="37" spans="2:13">
      <c r="C37" s="1349">
        <f>+C31+1</f>
        <v>2026</v>
      </c>
      <c r="D37" s="1349"/>
      <c r="E37" s="1349"/>
      <c r="F37" s="1349"/>
      <c r="G37" s="1349"/>
      <c r="H37" s="1349"/>
      <c r="I37" s="1349"/>
      <c r="J37" s="1349"/>
      <c r="K37" s="1349"/>
      <c r="L37" s="1349"/>
      <c r="M37" s="1349"/>
    </row>
    <row r="38" spans="2:13">
      <c r="C38" s="126" t="s">
        <v>17</v>
      </c>
      <c r="D38" s="126" t="s">
        <v>22</v>
      </c>
      <c r="E38" s="126" t="s">
        <v>25</v>
      </c>
      <c r="F38" s="126" t="s">
        <v>27</v>
      </c>
      <c r="G38" s="126" t="s">
        <v>30</v>
      </c>
      <c r="H38" s="127" t="s">
        <v>29</v>
      </c>
      <c r="I38" s="127" t="s">
        <v>28</v>
      </c>
      <c r="J38" s="127" t="s">
        <v>32</v>
      </c>
      <c r="K38" s="127" t="s">
        <v>34</v>
      </c>
      <c r="L38" s="127" t="s">
        <v>115</v>
      </c>
      <c r="M38" s="126" t="s">
        <v>36</v>
      </c>
    </row>
    <row r="39" spans="2:13">
      <c r="B39" t="str">
        <f>+B33</f>
        <v>Tab 7 - PA Portfolio Budget by Function</v>
      </c>
      <c r="C39" s="118">
        <f>'7.3 PA PY budget_savings'!O49</f>
        <v>61473012.389687508</v>
      </c>
      <c r="D39" s="118">
        <f>'7.3 PA PY budget_savings'!O50</f>
        <v>36107658.440373875</v>
      </c>
      <c r="E39" s="118">
        <f>'7.3 PA PY budget_savings'!O51</f>
        <v>18958555.974243689</v>
      </c>
      <c r="F39" s="118">
        <f>'7.3 PA PY budget_savings'!O52</f>
        <v>5579365.7340623653</v>
      </c>
      <c r="G39" s="118">
        <f>'7.3 PA PY budget_savings'!O54</f>
        <v>12514013.998096727</v>
      </c>
      <c r="H39" s="118">
        <f>'7.3 PA PY budget_savings'!O53</f>
        <v>1661486.8566789813</v>
      </c>
      <c r="I39" s="118">
        <f>'7.3 PA PY budget_savings'!O68</f>
        <v>1461901.3288</v>
      </c>
      <c r="J39" s="118">
        <f>'7.3 PA PY budget_savings'!O55</f>
        <v>8670652.4601491131</v>
      </c>
      <c r="K39" s="118">
        <f>'7.3 PA PY budget_savings'!O56</f>
        <v>540827.89167846448</v>
      </c>
      <c r="L39" s="118">
        <f>SUM(H39:K39)</f>
        <v>12334868.537306558</v>
      </c>
      <c r="M39" s="118">
        <f>'7.3 PA PY budget_savings'!O57</f>
        <v>0</v>
      </c>
    </row>
    <row r="40" spans="2:13">
      <c r="B40" t="str">
        <f>+B34</f>
        <v>Tab 9 - PA Portfolio Budget by Function</v>
      </c>
      <c r="C40" s="118">
        <f>+'9 Portfolio Summary'!Q8</f>
        <v>61473012.389687508</v>
      </c>
      <c r="D40" s="118">
        <f>+'9 Portfolio Summary'!Q9</f>
        <v>36107658.440373875</v>
      </c>
      <c r="E40" s="118">
        <f>+'9 Portfolio Summary'!Q10</f>
        <v>18958555.974243693</v>
      </c>
      <c r="F40" s="118">
        <f>+'9 Portfolio Summary'!Q11</f>
        <v>5579365.7340623643</v>
      </c>
      <c r="G40" s="118">
        <f>+'9 Portfolio Summary'!Q12</f>
        <v>12514013.998096727</v>
      </c>
      <c r="H40" s="123"/>
      <c r="I40" s="123"/>
      <c r="J40" s="123"/>
      <c r="K40" s="123"/>
      <c r="L40" s="118">
        <f>+'9 Portfolio Summary'!Q13</f>
        <v>12334868.537306558</v>
      </c>
      <c r="M40" s="118">
        <f>'9 Portfolio Summary'!Q17</f>
        <v>0</v>
      </c>
    </row>
    <row r="41" spans="2:13">
      <c r="B41" s="47" t="s">
        <v>102</v>
      </c>
      <c r="C41" s="110">
        <f>+C39-C40</f>
        <v>0</v>
      </c>
      <c r="D41" s="110">
        <f t="shared" ref="D41:G41" si="14">+D39-D40</f>
        <v>0</v>
      </c>
      <c r="E41" s="110">
        <f t="shared" si="14"/>
        <v>0</v>
      </c>
      <c r="F41" s="110">
        <f t="shared" si="14"/>
        <v>0</v>
      </c>
      <c r="G41" s="110">
        <f t="shared" si="14"/>
        <v>0</v>
      </c>
      <c r="H41" s="110"/>
      <c r="I41" s="110"/>
      <c r="J41" s="110"/>
      <c r="K41" s="111"/>
      <c r="L41" s="110">
        <f>+L39-L40</f>
        <v>0</v>
      </c>
      <c r="M41" s="110">
        <f>+M39-M40</f>
        <v>0</v>
      </c>
    </row>
    <row r="42" spans="2:13">
      <c r="B42" s="47"/>
      <c r="C42" s="110"/>
      <c r="D42" s="110"/>
      <c r="E42" s="110"/>
      <c r="F42" s="110"/>
      <c r="G42" s="110"/>
      <c r="H42" s="110"/>
      <c r="I42" s="110"/>
      <c r="J42" s="110"/>
      <c r="K42" s="111"/>
      <c r="L42" s="110"/>
      <c r="M42" s="110"/>
    </row>
    <row r="43" spans="2:13">
      <c r="C43" s="1349">
        <f>+C37+1</f>
        <v>2027</v>
      </c>
      <c r="D43" s="1349"/>
      <c r="E43" s="1349"/>
      <c r="F43" s="1349"/>
      <c r="G43" s="1349"/>
      <c r="H43" s="1349"/>
      <c r="I43" s="1349"/>
      <c r="J43" s="1349"/>
      <c r="K43" s="1349"/>
      <c r="L43" s="1349"/>
      <c r="M43" s="1349"/>
    </row>
    <row r="44" spans="2:13">
      <c r="C44" s="126" t="s">
        <v>17</v>
      </c>
      <c r="D44" s="126" t="s">
        <v>22</v>
      </c>
      <c r="E44" s="126" t="s">
        <v>25</v>
      </c>
      <c r="F44" s="126" t="s">
        <v>27</v>
      </c>
      <c r="G44" s="126" t="s">
        <v>30</v>
      </c>
      <c r="H44" s="127" t="s">
        <v>29</v>
      </c>
      <c r="I44" s="127" t="s">
        <v>28</v>
      </c>
      <c r="J44" s="127" t="s">
        <v>32</v>
      </c>
      <c r="K44" s="127" t="s">
        <v>34</v>
      </c>
      <c r="L44" s="127" t="s">
        <v>115</v>
      </c>
      <c r="M44" s="126" t="s">
        <v>36</v>
      </c>
    </row>
    <row r="45" spans="2:13">
      <c r="B45" t="str">
        <f>+B39</f>
        <v>Tab 7 - PA Portfolio Budget by Function</v>
      </c>
      <c r="C45" s="118">
        <f>'7.3 PA PY budget_savings'!U49</f>
        <v>62376246.516654924</v>
      </c>
      <c r="D45" s="118">
        <f>'7.3 PA PY budget_savings'!U50</f>
        <v>36407749.010287039</v>
      </c>
      <c r="E45" s="118">
        <f>'7.3 PA PY budget_savings'!U51</f>
        <v>18954389.649610624</v>
      </c>
      <c r="F45" s="118">
        <f>'7.3 PA PY budget_savings'!U52</f>
        <v>5619129.7379603097</v>
      </c>
      <c r="G45" s="118">
        <f>'7.3 PA PY budget_savings'!U54</f>
        <v>12659265.696089795</v>
      </c>
      <c r="H45" s="118">
        <f>'7.3 PA PY budget_savings'!U53</f>
        <v>1671307.6332180835</v>
      </c>
      <c r="I45" s="118">
        <f>'7.3 PA PY budget_savings'!U68</f>
        <v>1461901.3288</v>
      </c>
      <c r="J45" s="118">
        <f>'7.3 PA PY budget_savings'!U55</f>
        <v>8741190.6084083207</v>
      </c>
      <c r="K45" s="118">
        <f>'7.3 PA PY budget_savings'!U56</f>
        <v>551308.91411495325</v>
      </c>
      <c r="L45" s="118">
        <f>SUM(H45:K45)</f>
        <v>12425708.484541358</v>
      </c>
      <c r="M45" s="118">
        <f>'7.3 PA PY budget_savings'!U57</f>
        <v>0</v>
      </c>
    </row>
    <row r="46" spans="2:13">
      <c r="B46" t="str">
        <f>+B40</f>
        <v>Tab 9 - PA Portfolio Budget by Function</v>
      </c>
      <c r="C46" s="118">
        <f>+'9 Portfolio Summary'!U8</f>
        <v>62376246.516654924</v>
      </c>
      <c r="D46" s="118">
        <f>+'9 Portfolio Summary'!U9</f>
        <v>36407749.010287039</v>
      </c>
      <c r="E46" s="118">
        <f>+'9 Portfolio Summary'!U10</f>
        <v>18954389.649610624</v>
      </c>
      <c r="F46" s="118">
        <f>+'9 Portfolio Summary'!U11</f>
        <v>5619129.7379603097</v>
      </c>
      <c r="G46" s="118">
        <f>+'9 Portfolio Summary'!U12</f>
        <v>12659265.696089793</v>
      </c>
      <c r="H46" s="123"/>
      <c r="I46" s="123"/>
      <c r="J46" s="123"/>
      <c r="K46" s="123"/>
      <c r="L46" s="118">
        <f>+'9 Portfolio Summary'!U13</f>
        <v>12425708.484541357</v>
      </c>
      <c r="M46" s="118">
        <f>'9 Portfolio Summary'!U17</f>
        <v>0</v>
      </c>
    </row>
    <row r="47" spans="2:13">
      <c r="B47" s="47" t="s">
        <v>102</v>
      </c>
      <c r="C47" s="110">
        <f>+C45-C46</f>
        <v>0</v>
      </c>
      <c r="D47" s="110">
        <f t="shared" ref="D47:G47" si="15">+D45-D46</f>
        <v>0</v>
      </c>
      <c r="E47" s="110">
        <f t="shared" si="15"/>
        <v>0</v>
      </c>
      <c r="F47" s="110">
        <f t="shared" si="15"/>
        <v>0</v>
      </c>
      <c r="G47" s="110">
        <f t="shared" si="15"/>
        <v>0</v>
      </c>
      <c r="H47" s="110"/>
      <c r="I47" s="110"/>
      <c r="J47" s="110"/>
      <c r="K47" s="111"/>
      <c r="L47" s="110">
        <f>+L45-L46</f>
        <v>0</v>
      </c>
      <c r="M47" s="110">
        <f>+M45-M46</f>
        <v>0</v>
      </c>
    </row>
    <row r="48" spans="2:13">
      <c r="B48" s="47"/>
      <c r="C48" s="48"/>
      <c r="D48" s="48"/>
      <c r="E48" s="48"/>
      <c r="F48" s="48"/>
      <c r="G48" s="48"/>
      <c r="H48" s="48"/>
      <c r="I48" s="48"/>
      <c r="J48" s="48"/>
      <c r="L48" s="48"/>
      <c r="M48" s="48"/>
    </row>
  </sheetData>
  <mergeCells count="12">
    <mergeCell ref="C37:M37"/>
    <mergeCell ref="C43:M43"/>
    <mergeCell ref="C25:M25"/>
    <mergeCell ref="C31:M31"/>
    <mergeCell ref="W17:Z17"/>
    <mergeCell ref="AA17:AD17"/>
    <mergeCell ref="AE17:AH17"/>
    <mergeCell ref="C17:F17"/>
    <mergeCell ref="G17:J17"/>
    <mergeCell ref="K17:N17"/>
    <mergeCell ref="O17:R17"/>
    <mergeCell ref="S17:V17"/>
  </mergeCells>
  <pageMargins left="0.7" right="0.7" top="0.75" bottom="0.75" header="0.3" footer="0.3"/>
  <pageSetup scale="69" orientation="landscape"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5192E-C6D1-48CB-9EE8-4D4E7CAABBEE}">
  <sheetPr codeName="Sheet18">
    <pageSetUpPr fitToPage="1"/>
  </sheetPr>
  <dimension ref="A1:AY43"/>
  <sheetViews>
    <sheetView zoomScaleNormal="100" workbookViewId="0"/>
  </sheetViews>
  <sheetFormatPr defaultColWidth="8.625" defaultRowHeight="14.25"/>
  <cols>
    <col min="1" max="1" width="11.25" style="266" customWidth="1"/>
    <col min="2" max="2" width="10.75" style="266" customWidth="1"/>
    <col min="3" max="3" width="51.75" style="266" customWidth="1"/>
    <col min="4" max="10" width="15.375" style="266" customWidth="1"/>
    <col min="11" max="16384" width="8.625" style="266"/>
  </cols>
  <sheetData>
    <row r="1" spans="1:10">
      <c r="A1" s="175" t="s">
        <v>98</v>
      </c>
      <c r="B1" s="176" t="str">
        <f>PA_NAME</f>
        <v>SoCalGas</v>
      </c>
      <c r="C1" s="108"/>
    </row>
    <row r="2" spans="1:10">
      <c r="A2" s="175" t="s">
        <v>99</v>
      </c>
      <c r="B2" s="888" t="s">
        <v>303</v>
      </c>
    </row>
    <row r="3" spans="1:10">
      <c r="A3" s="10" t="s">
        <v>1186</v>
      </c>
    </row>
    <row r="6" spans="1:10">
      <c r="A6" s="719"/>
      <c r="B6" s="719"/>
      <c r="C6" s="719"/>
      <c r="D6" s="719"/>
      <c r="E6" s="719"/>
      <c r="F6" s="719"/>
      <c r="G6" s="719"/>
      <c r="H6" s="719"/>
      <c r="I6" s="719"/>
      <c r="J6" s="719"/>
    </row>
    <row r="7" spans="1:10" ht="28.5">
      <c r="A7" s="720" t="s">
        <v>929</v>
      </c>
      <c r="B7" s="719" t="s">
        <v>1156</v>
      </c>
      <c r="C7" s="719" t="s">
        <v>1142</v>
      </c>
      <c r="D7" s="721" t="s">
        <v>1119</v>
      </c>
      <c r="E7" s="721" t="s">
        <v>1157</v>
      </c>
      <c r="F7" s="721" t="s">
        <v>1158</v>
      </c>
      <c r="G7" s="721" t="s">
        <v>1120</v>
      </c>
      <c r="H7" s="721" t="s">
        <v>1121</v>
      </c>
      <c r="I7" s="721" t="s">
        <v>1122</v>
      </c>
      <c r="J7" s="721" t="s">
        <v>1123</v>
      </c>
    </row>
    <row r="8" spans="1:10">
      <c r="A8" s="719" t="s">
        <v>22</v>
      </c>
      <c r="B8" s="719" t="s">
        <v>1159</v>
      </c>
      <c r="C8" s="722" t="s">
        <v>1065</v>
      </c>
      <c r="D8" s="167">
        <v>407287</v>
      </c>
      <c r="E8" s="167">
        <v>225823</v>
      </c>
      <c r="F8" s="167">
        <v>232598</v>
      </c>
      <c r="G8" s="167">
        <v>367823.33371652255</v>
      </c>
      <c r="H8" s="167">
        <v>376260.70183861535</v>
      </c>
      <c r="I8" s="167">
        <v>386803.21268604137</v>
      </c>
      <c r="J8" s="167">
        <v>397731.20151290687</v>
      </c>
    </row>
    <row r="9" spans="1:10">
      <c r="A9" s="719"/>
      <c r="B9" s="719"/>
      <c r="C9" s="722" t="s">
        <v>1150</v>
      </c>
      <c r="D9" s="167">
        <v>1290525</v>
      </c>
      <c r="E9" s="167">
        <v>1503879</v>
      </c>
      <c r="F9" s="167">
        <v>1548995</v>
      </c>
      <c r="G9" s="167">
        <v>1649850.8339499487</v>
      </c>
      <c r="H9" s="167">
        <v>1691770.4701550205</v>
      </c>
      <c r="I9" s="167">
        <v>1732054.9570065208</v>
      </c>
      <c r="J9" s="167">
        <v>1779715.9792375078</v>
      </c>
    </row>
    <row r="10" spans="1:10">
      <c r="A10" s="719"/>
      <c r="B10" s="719"/>
      <c r="C10" s="722" t="s">
        <v>1160</v>
      </c>
      <c r="D10" s="167">
        <v>643492</v>
      </c>
      <c r="E10" s="167">
        <v>1044647</v>
      </c>
      <c r="F10" s="167">
        <v>1075986</v>
      </c>
      <c r="G10" s="167">
        <v>957431.16387310566</v>
      </c>
      <c r="H10" s="167">
        <v>982223.37159384484</v>
      </c>
      <c r="I10" s="167">
        <v>1009114.4414649454</v>
      </c>
      <c r="J10" s="167">
        <v>1037258.0351079728</v>
      </c>
    </row>
    <row r="11" spans="1:10">
      <c r="A11" s="719"/>
      <c r="B11" s="719"/>
      <c r="C11" s="722" t="s">
        <v>1151</v>
      </c>
      <c r="D11" s="167">
        <v>155486</v>
      </c>
      <c r="E11" s="167">
        <v>51715</v>
      </c>
      <c r="F11" s="167">
        <v>53267</v>
      </c>
      <c r="G11" s="167">
        <v>99648.682135038747</v>
      </c>
      <c r="H11" s="167">
        <v>99849.519437381401</v>
      </c>
      <c r="I11" s="167">
        <v>100122.14886535887</v>
      </c>
      <c r="J11" s="167">
        <v>102963.98673652088</v>
      </c>
    </row>
    <row r="12" spans="1:10">
      <c r="A12" s="719"/>
      <c r="B12" s="719"/>
      <c r="C12" s="722" t="s">
        <v>1152</v>
      </c>
      <c r="D12" s="167">
        <v>47411</v>
      </c>
      <c r="E12" s="167">
        <v>25858</v>
      </c>
      <c r="F12" s="167">
        <v>26633</v>
      </c>
      <c r="G12" s="167">
        <v>210644.82082843207</v>
      </c>
      <c r="H12" s="167">
        <v>214943.7817626546</v>
      </c>
      <c r="I12" s="167">
        <v>219611.16366455666</v>
      </c>
      <c r="J12" s="167">
        <v>225844.63733397523</v>
      </c>
    </row>
    <row r="13" spans="1:10">
      <c r="A13" s="719"/>
      <c r="B13" s="719"/>
      <c r="C13" s="722" t="s">
        <v>1091</v>
      </c>
      <c r="D13" s="167">
        <v>0</v>
      </c>
      <c r="E13" s="167">
        <v>43096</v>
      </c>
      <c r="F13" s="167">
        <v>44389</v>
      </c>
      <c r="G13" s="167">
        <v>147097.38055646708</v>
      </c>
      <c r="H13" s="167">
        <v>149018.67444597965</v>
      </c>
      <c r="I13" s="167">
        <v>151136.71165580582</v>
      </c>
      <c r="J13" s="167">
        <v>155426.62687886352</v>
      </c>
    </row>
    <row r="14" spans="1:10">
      <c r="A14" s="719"/>
      <c r="B14" s="719"/>
      <c r="C14" s="722" t="s">
        <v>1153</v>
      </c>
      <c r="D14" s="167">
        <v>168868</v>
      </c>
      <c r="E14" s="167">
        <v>137907</v>
      </c>
      <c r="F14" s="167">
        <v>142044</v>
      </c>
      <c r="G14" s="167">
        <v>226228.08268231954</v>
      </c>
      <c r="H14" s="167">
        <v>215417.15086799246</v>
      </c>
      <c r="I14" s="167">
        <v>203657.6183657574</v>
      </c>
      <c r="J14" s="167">
        <v>174693.44410595484</v>
      </c>
    </row>
    <row r="15" spans="1:10">
      <c r="A15" s="719"/>
      <c r="B15" s="719"/>
      <c r="C15" s="722" t="s">
        <v>1106</v>
      </c>
      <c r="D15" s="167">
        <v>780398</v>
      </c>
      <c r="E15" s="167">
        <v>701258</v>
      </c>
      <c r="F15" s="167">
        <v>722296</v>
      </c>
      <c r="G15" s="167">
        <v>428706.65605886024</v>
      </c>
      <c r="H15" s="167">
        <v>440103.19021911849</v>
      </c>
      <c r="I15" s="167">
        <v>475124.10156748665</v>
      </c>
      <c r="J15" s="167">
        <v>477197.96478395135</v>
      </c>
    </row>
    <row r="16" spans="1:10">
      <c r="A16" s="719"/>
      <c r="B16" s="719"/>
      <c r="C16" s="722" t="s">
        <v>1109</v>
      </c>
      <c r="D16" s="167">
        <v>0</v>
      </c>
      <c r="E16" s="167">
        <v>103430</v>
      </c>
      <c r="F16" s="167">
        <v>106533</v>
      </c>
      <c r="G16" s="167">
        <v>186651.99277270108</v>
      </c>
      <c r="H16" s="167">
        <v>191614.0614193209</v>
      </c>
      <c r="I16" s="167">
        <v>196966.5945206653</v>
      </c>
      <c r="J16" s="167">
        <v>202557.67183617764</v>
      </c>
    </row>
    <row r="17" spans="1:51">
      <c r="A17" s="719"/>
      <c r="B17" s="719"/>
      <c r="C17" s="722" t="s">
        <v>1114</v>
      </c>
      <c r="D17" s="167">
        <v>11179</v>
      </c>
      <c r="E17" s="167">
        <v>0</v>
      </c>
      <c r="F17" s="167">
        <v>0</v>
      </c>
      <c r="G17" s="167">
        <v>91047.019672075985</v>
      </c>
      <c r="H17" s="167">
        <v>91554.886444483433</v>
      </c>
      <c r="I17" s="167">
        <v>92146.247379865003</v>
      </c>
      <c r="J17" s="167">
        <v>94761.37192511771</v>
      </c>
    </row>
    <row r="18" spans="1:51">
      <c r="A18" s="719"/>
      <c r="B18" s="723" t="s">
        <v>1161</v>
      </c>
      <c r="C18" s="723"/>
      <c r="D18" s="954">
        <f>SUM(D8:D17)</f>
        <v>3504646</v>
      </c>
      <c r="E18" s="954">
        <f t="shared" ref="E18:F18" si="0">SUM(E8:E17)</f>
        <v>3837613</v>
      </c>
      <c r="F18" s="954">
        <f t="shared" si="0"/>
        <v>3952741</v>
      </c>
      <c r="G18" s="954">
        <f t="shared" ref="G18:J18" si="1">SUM(G8:G17)</f>
        <v>4365129.9662454715</v>
      </c>
      <c r="H18" s="954">
        <f t="shared" si="1"/>
        <v>4452755.8081844123</v>
      </c>
      <c r="I18" s="954">
        <f t="shared" si="1"/>
        <v>4566737.1971770031</v>
      </c>
      <c r="J18" s="954">
        <f t="shared" si="1"/>
        <v>4648150.919458949</v>
      </c>
    </row>
    <row r="19" spans="1:51">
      <c r="A19" s="719"/>
      <c r="B19" s="719" t="s">
        <v>1162</v>
      </c>
      <c r="C19" s="719" t="s">
        <v>1163</v>
      </c>
      <c r="D19" s="167">
        <v>3446494</v>
      </c>
      <c r="E19" s="167">
        <v>10730269</v>
      </c>
      <c r="F19" s="167">
        <v>12122203</v>
      </c>
      <c r="G19" s="167">
        <v>13537218.653385121</v>
      </c>
      <c r="H19" s="167">
        <v>13530535.54421084</v>
      </c>
      <c r="I19" s="167">
        <v>13394851.50489936</v>
      </c>
      <c r="J19" s="167">
        <v>13254680.037915681</v>
      </c>
    </row>
    <row r="20" spans="1:51" s="724" customFormat="1">
      <c r="A20" s="719"/>
      <c r="B20" s="719"/>
      <c r="C20" s="719" t="s">
        <v>1187</v>
      </c>
      <c r="D20" s="167">
        <v>0</v>
      </c>
      <c r="E20" s="167">
        <v>0</v>
      </c>
      <c r="F20" s="167">
        <v>0</v>
      </c>
      <c r="G20" s="167">
        <v>0</v>
      </c>
      <c r="H20" s="167">
        <v>0</v>
      </c>
      <c r="I20" s="167">
        <v>0</v>
      </c>
      <c r="J20" s="167">
        <v>0</v>
      </c>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66"/>
      <c r="AL20" s="266"/>
      <c r="AM20" s="266"/>
      <c r="AN20" s="266"/>
      <c r="AO20" s="266"/>
      <c r="AP20" s="266"/>
      <c r="AQ20" s="266"/>
      <c r="AR20" s="266"/>
      <c r="AS20" s="266"/>
      <c r="AT20" s="266"/>
      <c r="AU20" s="266"/>
      <c r="AV20" s="266"/>
      <c r="AW20" s="266"/>
      <c r="AX20" s="266"/>
      <c r="AY20" s="266"/>
    </row>
    <row r="21" spans="1:51" s="724" customFormat="1">
      <c r="A21" s="719"/>
      <c r="B21" s="719"/>
      <c r="C21" s="719" t="s">
        <v>1165</v>
      </c>
      <c r="D21" s="167">
        <v>0</v>
      </c>
      <c r="E21" s="167">
        <v>0</v>
      </c>
      <c r="F21" s="167">
        <v>0</v>
      </c>
      <c r="G21" s="167">
        <v>0</v>
      </c>
      <c r="H21" s="167">
        <v>0</v>
      </c>
      <c r="I21" s="167">
        <v>0</v>
      </c>
      <c r="J21" s="167">
        <v>0</v>
      </c>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266"/>
      <c r="AU21" s="266"/>
      <c r="AV21" s="266"/>
      <c r="AW21" s="266"/>
      <c r="AX21" s="266"/>
      <c r="AY21" s="266"/>
    </row>
    <row r="22" spans="1:51" s="724" customFormat="1">
      <c r="A22" s="719"/>
      <c r="B22" s="719"/>
      <c r="C22" s="719" t="s">
        <v>1166</v>
      </c>
      <c r="D22" s="167">
        <v>408690</v>
      </c>
      <c r="E22" s="167">
        <v>192646</v>
      </c>
      <c r="F22" s="167">
        <v>119280</v>
      </c>
      <c r="G22" s="167">
        <v>0</v>
      </c>
      <c r="H22" s="167">
        <v>0</v>
      </c>
      <c r="I22" s="167">
        <v>0</v>
      </c>
      <c r="J22" s="167">
        <v>0</v>
      </c>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6"/>
      <c r="AV22" s="266"/>
      <c r="AW22" s="266"/>
      <c r="AX22" s="266"/>
      <c r="AY22" s="266"/>
    </row>
    <row r="23" spans="1:51">
      <c r="A23" s="719"/>
      <c r="B23" s="719"/>
      <c r="C23" s="719" t="s">
        <v>1167</v>
      </c>
      <c r="D23" s="167">
        <v>0</v>
      </c>
      <c r="E23" s="167">
        <v>2000</v>
      </c>
      <c r="F23" s="167">
        <v>2000</v>
      </c>
      <c r="G23" s="167">
        <v>204627.85835588118</v>
      </c>
      <c r="H23" s="167">
        <v>216597.19589234443</v>
      </c>
      <c r="I23" s="167">
        <v>219401.85313442306</v>
      </c>
      <c r="J23" s="167">
        <v>256654.25011070305</v>
      </c>
    </row>
    <row r="24" spans="1:51">
      <c r="A24" s="719"/>
      <c r="B24" s="719"/>
      <c r="C24" s="719" t="s">
        <v>1168</v>
      </c>
      <c r="D24" s="167">
        <v>3487639</v>
      </c>
      <c r="E24" s="167">
        <v>1203991</v>
      </c>
      <c r="F24" s="167">
        <v>459317</v>
      </c>
      <c r="G24" s="167">
        <v>1086645.5154192403</v>
      </c>
      <c r="H24" s="167">
        <v>1094456.465369544</v>
      </c>
      <c r="I24" s="167">
        <v>1171000.6358984667</v>
      </c>
      <c r="J24" s="167">
        <v>1187654.6597065132</v>
      </c>
    </row>
    <row r="25" spans="1:51">
      <c r="A25" s="719"/>
      <c r="B25" s="719"/>
      <c r="C25" s="719" t="s">
        <v>1169</v>
      </c>
      <c r="D25" s="167">
        <v>25336</v>
      </c>
      <c r="E25" s="167">
        <v>503428</v>
      </c>
      <c r="F25" s="167">
        <v>311702</v>
      </c>
      <c r="G25" s="167">
        <v>217807.83612689434</v>
      </c>
      <c r="H25" s="167">
        <v>219441.62840615513</v>
      </c>
      <c r="I25" s="167">
        <v>222144.55853505447</v>
      </c>
      <c r="J25" s="167">
        <v>225348.96489202723</v>
      </c>
    </row>
    <row r="26" spans="1:51">
      <c r="A26" s="719"/>
      <c r="B26" s="719"/>
      <c r="C26" s="719" t="s">
        <v>1170</v>
      </c>
      <c r="D26" s="167">
        <v>5243</v>
      </c>
      <c r="E26" s="167">
        <v>311914</v>
      </c>
      <c r="F26" s="167">
        <v>193125</v>
      </c>
      <c r="G26" s="167">
        <v>60910.171859291018</v>
      </c>
      <c r="H26" s="167">
        <v>61408.527054565391</v>
      </c>
      <c r="I26" s="167">
        <v>62198.522436290012</v>
      </c>
      <c r="J26" s="167">
        <v>63126.088653053979</v>
      </c>
    </row>
    <row r="27" spans="1:51">
      <c r="A27" s="719"/>
      <c r="B27" s="719"/>
      <c r="C27" s="719" t="s">
        <v>1171</v>
      </c>
      <c r="D27" s="167">
        <v>0</v>
      </c>
      <c r="E27" s="167">
        <v>0</v>
      </c>
      <c r="F27" s="167">
        <v>0</v>
      </c>
      <c r="G27" s="167">
        <v>107327.66216666126</v>
      </c>
      <c r="H27" s="167">
        <v>108205.82662595285</v>
      </c>
      <c r="I27" s="167">
        <v>109597.98303661522</v>
      </c>
      <c r="J27" s="167">
        <v>111232.46775265112</v>
      </c>
    </row>
    <row r="28" spans="1:51">
      <c r="A28" s="719"/>
      <c r="B28" s="719"/>
      <c r="C28" s="719" t="s">
        <v>1172</v>
      </c>
      <c r="D28" s="167">
        <v>0</v>
      </c>
      <c r="E28" s="167">
        <v>0</v>
      </c>
      <c r="F28" s="167">
        <v>0</v>
      </c>
      <c r="G28" s="167">
        <v>51909.393436490573</v>
      </c>
      <c r="H28" s="167">
        <v>52334.062573815951</v>
      </c>
      <c r="I28" s="167">
        <v>53007.390824871909</v>
      </c>
      <c r="J28" s="167">
        <v>53797.921882106646</v>
      </c>
    </row>
    <row r="29" spans="1:51">
      <c r="A29" s="719"/>
      <c r="B29" s="719"/>
      <c r="C29" s="719" t="s">
        <v>1173</v>
      </c>
      <c r="D29" s="167">
        <v>679806</v>
      </c>
      <c r="E29" s="167">
        <v>690000</v>
      </c>
      <c r="F29" s="167">
        <v>710700</v>
      </c>
      <c r="G29" s="167">
        <v>390839.91731768049</v>
      </c>
      <c r="H29" s="167">
        <v>394036.84913200757</v>
      </c>
      <c r="I29" s="167">
        <v>399106.38163424266</v>
      </c>
      <c r="J29" s="167">
        <v>405058.55589404522</v>
      </c>
    </row>
    <row r="30" spans="1:51">
      <c r="A30" s="719"/>
      <c r="B30" s="719"/>
      <c r="C30" s="719" t="s">
        <v>1174</v>
      </c>
      <c r="D30" s="167">
        <v>8704</v>
      </c>
      <c r="E30" s="167">
        <v>5000</v>
      </c>
      <c r="F30" s="167">
        <v>5000</v>
      </c>
      <c r="G30" s="167">
        <v>12293.343941139776</v>
      </c>
      <c r="H30" s="167">
        <v>12393.809780881469</v>
      </c>
      <c r="I30" s="167">
        <v>13491.898432513344</v>
      </c>
      <c r="J30" s="167">
        <v>13693.035216048645</v>
      </c>
    </row>
    <row r="31" spans="1:51">
      <c r="A31" s="719"/>
      <c r="B31" s="719"/>
      <c r="C31" s="719" t="s">
        <v>1175</v>
      </c>
      <c r="D31" s="167">
        <v>0</v>
      </c>
      <c r="E31" s="167">
        <v>0</v>
      </c>
      <c r="F31" s="167">
        <v>0</v>
      </c>
      <c r="G31" s="167">
        <v>318726.00722729892</v>
      </c>
      <c r="H31" s="167">
        <v>321332.93858067913</v>
      </c>
      <c r="I31" s="167">
        <v>325467.4054793347</v>
      </c>
      <c r="J31" s="167">
        <v>330321.32816382236</v>
      </c>
    </row>
    <row r="32" spans="1:51">
      <c r="A32" s="719"/>
      <c r="B32" s="719"/>
      <c r="C32" s="719" t="s">
        <v>1176</v>
      </c>
      <c r="D32" s="167">
        <v>0</v>
      </c>
      <c r="E32" s="167">
        <v>0</v>
      </c>
      <c r="F32" s="167">
        <v>0</v>
      </c>
      <c r="G32" s="167">
        <v>33305.774924828787</v>
      </c>
      <c r="H32" s="167">
        <v>33578.261636684365</v>
      </c>
      <c r="I32" s="167">
        <v>34010.210179502952</v>
      </c>
      <c r="J32" s="167">
        <v>34517.391332288033</v>
      </c>
    </row>
    <row r="33" spans="1:51">
      <c r="A33" s="719"/>
      <c r="B33" s="719"/>
      <c r="C33" s="719" t="s">
        <v>1177</v>
      </c>
      <c r="D33" s="167">
        <v>0</v>
      </c>
      <c r="E33" s="167">
        <v>0</v>
      </c>
      <c r="F33" s="167">
        <v>0</v>
      </c>
      <c r="G33" s="167">
        <v>0</v>
      </c>
      <c r="H33" s="167">
        <v>0</v>
      </c>
      <c r="I33" s="167">
        <v>0</v>
      </c>
      <c r="J33" s="167">
        <v>0</v>
      </c>
    </row>
    <row r="34" spans="1:51" s="724" customFormat="1">
      <c r="A34" s="719"/>
      <c r="B34" s="719"/>
      <c r="C34" s="725" t="s">
        <v>1178</v>
      </c>
      <c r="D34" s="167">
        <v>5712977</v>
      </c>
      <c r="E34" s="167">
        <v>4177134</v>
      </c>
      <c r="F34" s="167">
        <v>3177135</v>
      </c>
      <c r="G34" s="167">
        <v>3033462</v>
      </c>
      <c r="H34" s="167">
        <v>3002057</v>
      </c>
      <c r="I34" s="167">
        <v>2987250</v>
      </c>
      <c r="J34" s="167">
        <v>3125899</v>
      </c>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266"/>
      <c r="AL34" s="266"/>
      <c r="AM34" s="266"/>
      <c r="AN34" s="266"/>
      <c r="AO34" s="266"/>
      <c r="AP34" s="266"/>
      <c r="AQ34" s="266"/>
      <c r="AR34" s="266"/>
      <c r="AS34" s="266"/>
      <c r="AT34" s="266"/>
      <c r="AU34" s="266"/>
      <c r="AV34" s="266"/>
      <c r="AW34" s="266"/>
      <c r="AX34" s="266"/>
      <c r="AY34" s="266"/>
    </row>
    <row r="35" spans="1:51">
      <c r="A35" s="719"/>
      <c r="B35" s="719"/>
      <c r="C35" s="719" t="s">
        <v>1179</v>
      </c>
      <c r="D35" s="167">
        <v>975954</v>
      </c>
      <c r="E35" s="167">
        <v>8769920</v>
      </c>
      <c r="F35" s="167">
        <v>10379712</v>
      </c>
      <c r="G35" s="167">
        <v>12261430.565214446</v>
      </c>
      <c r="H35" s="167">
        <v>12415504.57875607</v>
      </c>
      <c r="I35" s="167">
        <v>12549392.8987062</v>
      </c>
      <c r="J35" s="167">
        <v>12697614.389309155</v>
      </c>
    </row>
    <row r="36" spans="1:51">
      <c r="A36" s="719"/>
      <c r="B36" s="723" t="s">
        <v>1180</v>
      </c>
      <c r="C36" s="723"/>
      <c r="D36" s="954">
        <f>SUM(D19:D35)</f>
        <v>14750843</v>
      </c>
      <c r="E36" s="954">
        <f t="shared" ref="E36:J36" si="2">SUM(E19:E35)</f>
        <v>26586302</v>
      </c>
      <c r="F36" s="954">
        <f t="shared" si="2"/>
        <v>27480174</v>
      </c>
      <c r="G36" s="954">
        <f t="shared" si="2"/>
        <v>31316504.699374974</v>
      </c>
      <c r="H36" s="954">
        <f t="shared" si="2"/>
        <v>31461882.688019544</v>
      </c>
      <c r="I36" s="954">
        <f t="shared" si="2"/>
        <v>31540921.243196875</v>
      </c>
      <c r="J36" s="954">
        <f t="shared" si="2"/>
        <v>31759598.090828091</v>
      </c>
    </row>
    <row r="37" spans="1:51">
      <c r="A37" s="723" t="s">
        <v>1188</v>
      </c>
      <c r="B37" s="723"/>
      <c r="C37" s="723"/>
      <c r="D37" s="954">
        <f>+D36+D18</f>
        <v>18255489</v>
      </c>
      <c r="E37" s="954">
        <f t="shared" ref="E37:J37" si="3">+E36+E18</f>
        <v>30423915</v>
      </c>
      <c r="F37" s="954">
        <f t="shared" si="3"/>
        <v>31432915</v>
      </c>
      <c r="G37" s="954">
        <f t="shared" si="3"/>
        <v>35681634.665620446</v>
      </c>
      <c r="H37" s="954">
        <f t="shared" si="3"/>
        <v>35914638.496203959</v>
      </c>
      <c r="I37" s="954">
        <f t="shared" si="3"/>
        <v>36107658.440373875</v>
      </c>
      <c r="J37" s="954">
        <f t="shared" si="3"/>
        <v>36407749.010287039</v>
      </c>
    </row>
    <row r="38" spans="1:51">
      <c r="A38" s="719"/>
      <c r="B38" s="719" t="s">
        <v>1182</v>
      </c>
      <c r="C38" s="719" t="s">
        <v>1183</v>
      </c>
      <c r="D38" s="955"/>
      <c r="E38" s="955"/>
      <c r="F38" s="955"/>
      <c r="G38" s="955">
        <v>1911945</v>
      </c>
      <c r="H38" s="955">
        <v>1955637</v>
      </c>
      <c r="I38" s="955">
        <v>2005358</v>
      </c>
      <c r="J38" s="955">
        <v>2052625</v>
      </c>
    </row>
    <row r="39" spans="1:51">
      <c r="D39" s="42"/>
      <c r="E39" s="42"/>
      <c r="F39" s="42"/>
      <c r="G39" s="42"/>
      <c r="H39" s="42"/>
      <c r="I39" s="42"/>
      <c r="J39" s="42"/>
    </row>
    <row r="40" spans="1:51">
      <c r="A40" s="266" t="s">
        <v>297</v>
      </c>
      <c r="B40" s="1369" t="s">
        <v>1184</v>
      </c>
      <c r="C40" s="1369"/>
    </row>
    <row r="41" spans="1:51">
      <c r="B41" s="148" t="s">
        <v>1185</v>
      </c>
      <c r="G41" s="726"/>
      <c r="H41" s="726"/>
      <c r="I41" s="726"/>
      <c r="J41" s="726"/>
    </row>
    <row r="42" spans="1:51">
      <c r="G42" s="726"/>
      <c r="H42" s="726"/>
      <c r="I42" s="726"/>
      <c r="J42" s="726"/>
    </row>
    <row r="43" spans="1:51">
      <c r="G43" s="726"/>
      <c r="H43" s="726"/>
      <c r="I43" s="726"/>
      <c r="J43" s="726"/>
    </row>
  </sheetData>
  <mergeCells count="1">
    <mergeCell ref="B40:C40"/>
  </mergeCells>
  <pageMargins left="0.7" right="0.7" top="0.75" bottom="0.75" header="0.3" footer="0.3"/>
  <pageSetup paperSize="3"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F9170-06C3-4B08-B8B2-DBC744E2F239}">
  <sheetPr codeName="Sheet19">
    <pageSetUpPr fitToPage="1"/>
  </sheetPr>
  <dimension ref="A1:AK43"/>
  <sheetViews>
    <sheetView zoomScaleNormal="100" workbookViewId="0"/>
  </sheetViews>
  <sheetFormatPr defaultColWidth="8.625" defaultRowHeight="14.25"/>
  <cols>
    <col min="1" max="1" width="11.25" style="266" customWidth="1"/>
    <col min="2" max="2" width="10.75" style="266" customWidth="1"/>
    <col min="3" max="3" width="51.75" style="266" customWidth="1"/>
    <col min="4" max="10" width="15.375" style="266" customWidth="1"/>
    <col min="11" max="16384" width="8.625" style="266"/>
  </cols>
  <sheetData>
    <row r="1" spans="1:10">
      <c r="A1" s="175" t="s">
        <v>98</v>
      </c>
      <c r="B1" s="176" t="str">
        <f>PA_NAME</f>
        <v>SoCalGas</v>
      </c>
      <c r="C1" s="108"/>
    </row>
    <row r="2" spans="1:10">
      <c r="A2" s="175" t="s">
        <v>99</v>
      </c>
      <c r="B2" s="888" t="s">
        <v>303</v>
      </c>
    </row>
    <row r="3" spans="1:10">
      <c r="A3" s="10" t="s">
        <v>1189</v>
      </c>
    </row>
    <row r="6" spans="1:10">
      <c r="A6" s="719"/>
      <c r="B6" s="719"/>
      <c r="C6" s="719"/>
      <c r="D6" s="719"/>
      <c r="E6" s="719"/>
      <c r="F6" s="719"/>
      <c r="G6" s="719"/>
      <c r="H6" s="719"/>
      <c r="I6" s="719"/>
      <c r="J6" s="719"/>
    </row>
    <row r="7" spans="1:10" ht="28.5">
      <c r="A7" s="720" t="s">
        <v>929</v>
      </c>
      <c r="B7" s="719" t="s">
        <v>1156</v>
      </c>
      <c r="C7" s="719" t="s">
        <v>1142</v>
      </c>
      <c r="D7" s="721" t="s">
        <v>1119</v>
      </c>
      <c r="E7" s="721" t="s">
        <v>1157</v>
      </c>
      <c r="F7" s="721" t="s">
        <v>1158</v>
      </c>
      <c r="G7" s="721" t="s">
        <v>1120</v>
      </c>
      <c r="H7" s="721" t="s">
        <v>1121</v>
      </c>
      <c r="I7" s="721" t="s">
        <v>1122</v>
      </c>
      <c r="J7" s="721" t="s">
        <v>1123</v>
      </c>
    </row>
    <row r="8" spans="1:10">
      <c r="A8" s="719" t="s">
        <v>25</v>
      </c>
      <c r="B8" s="719" t="s">
        <v>1159</v>
      </c>
      <c r="C8" s="722" t="s">
        <v>1065</v>
      </c>
      <c r="D8" s="167">
        <v>99329</v>
      </c>
      <c r="E8" s="167">
        <v>225823</v>
      </c>
      <c r="F8" s="167">
        <v>232598</v>
      </c>
      <c r="G8" s="167">
        <v>263814.61513270182</v>
      </c>
      <c r="H8" s="167">
        <v>266647.57141268876</v>
      </c>
      <c r="I8" s="167">
        <v>269840.3199645243</v>
      </c>
      <c r="J8" s="167">
        <v>276135.15851800831</v>
      </c>
    </row>
    <row r="9" spans="1:10">
      <c r="A9" s="719"/>
      <c r="B9" s="719"/>
      <c r="C9" s="722" t="s">
        <v>1150</v>
      </c>
      <c r="D9" s="167">
        <v>476538</v>
      </c>
      <c r="E9" s="167">
        <v>626789</v>
      </c>
      <c r="F9" s="167">
        <v>645592</v>
      </c>
      <c r="G9" s="167">
        <v>599504.71696144016</v>
      </c>
      <c r="H9" s="167">
        <v>616836.4903548786</v>
      </c>
      <c r="I9" s="167">
        <v>637017.94063992309</v>
      </c>
      <c r="J9" s="167">
        <v>656170.54600738792</v>
      </c>
    </row>
    <row r="10" spans="1:10">
      <c r="A10" s="719"/>
      <c r="B10" s="719"/>
      <c r="C10" s="722" t="s">
        <v>1160</v>
      </c>
      <c r="D10" s="167">
        <v>632065</v>
      </c>
      <c r="E10" s="167">
        <v>232718</v>
      </c>
      <c r="F10" s="167">
        <v>239700</v>
      </c>
      <c r="G10" s="167">
        <v>249772.7272976058</v>
      </c>
      <c r="H10" s="167">
        <v>256403.15958703833</v>
      </c>
      <c r="I10" s="167">
        <v>263557.86617029621</v>
      </c>
      <c r="J10" s="167">
        <v>271032.06671010604</v>
      </c>
    </row>
    <row r="11" spans="1:10">
      <c r="A11" s="719"/>
      <c r="B11" s="719"/>
      <c r="C11" s="722" t="s">
        <v>1151</v>
      </c>
      <c r="D11" s="167">
        <v>67905</v>
      </c>
      <c r="E11" s="167">
        <v>51715</v>
      </c>
      <c r="F11" s="167">
        <v>53267</v>
      </c>
      <c r="G11" s="167">
        <v>18546.965214139203</v>
      </c>
      <c r="H11" s="167">
        <v>18179.856708019055</v>
      </c>
      <c r="I11" s="167">
        <v>17803.390596680863</v>
      </c>
      <c r="J11" s="167">
        <v>18308.80742911961</v>
      </c>
    </row>
    <row r="12" spans="1:10">
      <c r="A12" s="719"/>
      <c r="B12" s="719"/>
      <c r="C12" s="722" t="s">
        <v>1152</v>
      </c>
      <c r="D12" s="167">
        <v>10853</v>
      </c>
      <c r="E12" s="167">
        <v>25858</v>
      </c>
      <c r="F12" s="167">
        <v>26633</v>
      </c>
      <c r="G12" s="167">
        <v>17084.148108287613</v>
      </c>
      <c r="H12" s="167">
        <v>17081.425276927512</v>
      </c>
      <c r="I12" s="167">
        <v>17088.587936331154</v>
      </c>
      <c r="J12" s="167">
        <v>17574.019721200682</v>
      </c>
    </row>
    <row r="13" spans="1:10">
      <c r="A13" s="719"/>
      <c r="B13" s="719"/>
      <c r="C13" s="722" t="s">
        <v>1091</v>
      </c>
      <c r="D13" s="167">
        <v>0</v>
      </c>
      <c r="E13" s="167">
        <v>43096</v>
      </c>
      <c r="F13" s="167">
        <v>44389</v>
      </c>
      <c r="G13" s="167">
        <v>47681.944154018449</v>
      </c>
      <c r="H13" s="167">
        <v>48250.655277130623</v>
      </c>
      <c r="I13" s="167">
        <v>48880.043924967606</v>
      </c>
      <c r="J13" s="167">
        <v>50267.434413181458</v>
      </c>
    </row>
    <row r="14" spans="1:10">
      <c r="A14" s="719"/>
      <c r="B14" s="719"/>
      <c r="C14" s="722" t="s">
        <v>1153</v>
      </c>
      <c r="D14" s="167">
        <v>169715</v>
      </c>
      <c r="E14" s="167">
        <v>103430</v>
      </c>
      <c r="F14" s="167">
        <v>106533</v>
      </c>
      <c r="G14" s="167">
        <v>61698.468017609463</v>
      </c>
      <c r="H14" s="167">
        <v>58750.228452883021</v>
      </c>
      <c r="I14" s="167">
        <v>55542.925395589082</v>
      </c>
      <c r="J14" s="167">
        <v>47643.611788090326</v>
      </c>
    </row>
    <row r="15" spans="1:10">
      <c r="A15" s="719"/>
      <c r="B15" s="719"/>
      <c r="C15" s="722" t="s">
        <v>1106</v>
      </c>
      <c r="D15" s="167">
        <v>1300443</v>
      </c>
      <c r="E15" s="167">
        <v>530598</v>
      </c>
      <c r="F15" s="167">
        <v>546516</v>
      </c>
      <c r="G15" s="167">
        <v>380627.35040044953</v>
      </c>
      <c r="H15" s="167">
        <v>390746.14123525872</v>
      </c>
      <c r="I15" s="167">
        <v>337407.77395500889</v>
      </c>
      <c r="J15" s="167">
        <v>338879.95362625219</v>
      </c>
    </row>
    <row r="16" spans="1:10">
      <c r="A16" s="719"/>
      <c r="B16" s="719"/>
      <c r="C16" s="722" t="s">
        <v>1109</v>
      </c>
      <c r="D16" s="167">
        <v>0</v>
      </c>
      <c r="E16" s="167">
        <v>103430</v>
      </c>
      <c r="F16" s="167">
        <v>106533</v>
      </c>
      <c r="G16" s="167">
        <v>29307.189728281359</v>
      </c>
      <c r="H16" s="167">
        <v>30086.142441055523</v>
      </c>
      <c r="I16" s="167">
        <v>30926.719448830234</v>
      </c>
      <c r="J16" s="167">
        <v>31804.594293513128</v>
      </c>
    </row>
    <row r="17" spans="1:37">
      <c r="A17" s="719"/>
      <c r="B17" s="719"/>
      <c r="C17" s="722" t="s">
        <v>1114</v>
      </c>
      <c r="D17" s="167">
        <v>7469</v>
      </c>
      <c r="E17" s="167">
        <v>0</v>
      </c>
      <c r="F17" s="167">
        <v>0</v>
      </c>
      <c r="G17" s="167">
        <v>28051.289731161796</v>
      </c>
      <c r="H17" s="167">
        <v>28125.075711558078</v>
      </c>
      <c r="I17" s="167">
        <v>28219.703852809864</v>
      </c>
      <c r="J17" s="167">
        <v>29020.622555385515</v>
      </c>
    </row>
    <row r="18" spans="1:37">
      <c r="A18" s="719"/>
      <c r="B18" s="723" t="s">
        <v>1161</v>
      </c>
      <c r="C18" s="723"/>
      <c r="D18" s="954">
        <f>SUM(D8:D17)</f>
        <v>2764317</v>
      </c>
      <c r="E18" s="954">
        <f t="shared" ref="E18:F18" si="0">SUM(E8:E17)</f>
        <v>1943457</v>
      </c>
      <c r="F18" s="954">
        <f t="shared" si="0"/>
        <v>2001761</v>
      </c>
      <c r="G18" s="954">
        <f t="shared" ref="G18:J18" si="1">SUM(G8:G17)</f>
        <v>1696089.4147456957</v>
      </c>
      <c r="H18" s="954">
        <f t="shared" si="1"/>
        <v>1731106.746457438</v>
      </c>
      <c r="I18" s="954">
        <f t="shared" si="1"/>
        <v>1706285.2718849613</v>
      </c>
      <c r="J18" s="954">
        <f t="shared" si="1"/>
        <v>1736836.8150622454</v>
      </c>
    </row>
    <row r="19" spans="1:37">
      <c r="A19" s="719"/>
      <c r="B19" s="719" t="s">
        <v>1162</v>
      </c>
      <c r="C19" s="719" t="s">
        <v>1163</v>
      </c>
      <c r="D19" s="167">
        <v>2914329</v>
      </c>
      <c r="E19" s="167">
        <v>3139975</v>
      </c>
      <c r="F19" s="167">
        <v>6030393</v>
      </c>
      <c r="G19" s="167">
        <v>7730404.9822969195</v>
      </c>
      <c r="H19" s="167">
        <v>7718343.7140770406</v>
      </c>
      <c r="I19" s="167">
        <v>7644442.0872014798</v>
      </c>
      <c r="J19" s="167">
        <v>7590469.0038394798</v>
      </c>
    </row>
    <row r="20" spans="1:37" s="724" customFormat="1">
      <c r="A20" s="719"/>
      <c r="B20" s="719"/>
      <c r="C20" s="719" t="s">
        <v>1164</v>
      </c>
      <c r="D20" s="167">
        <v>0</v>
      </c>
      <c r="E20" s="167" t="s">
        <v>343</v>
      </c>
      <c r="F20" s="167" t="s">
        <v>343</v>
      </c>
      <c r="G20" s="167">
        <v>0</v>
      </c>
      <c r="H20" s="167">
        <v>0</v>
      </c>
      <c r="I20" s="167">
        <v>0</v>
      </c>
      <c r="J20" s="167">
        <v>0</v>
      </c>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66"/>
    </row>
    <row r="21" spans="1:37" s="724" customFormat="1">
      <c r="A21" s="719"/>
      <c r="B21" s="719"/>
      <c r="C21" s="719" t="s">
        <v>1165</v>
      </c>
      <c r="D21" s="167">
        <v>0</v>
      </c>
      <c r="E21" s="167" t="s">
        <v>343</v>
      </c>
      <c r="F21" s="167" t="s">
        <v>343</v>
      </c>
      <c r="G21" s="167">
        <v>0</v>
      </c>
      <c r="H21" s="167">
        <v>0</v>
      </c>
      <c r="I21" s="167">
        <v>0</v>
      </c>
      <c r="J21" s="167">
        <v>0</v>
      </c>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row>
    <row r="22" spans="1:37" s="724" customFormat="1">
      <c r="A22" s="719"/>
      <c r="B22" s="719"/>
      <c r="C22" s="719" t="s">
        <v>1166</v>
      </c>
      <c r="D22" s="167">
        <v>5646</v>
      </c>
      <c r="E22" s="167">
        <v>153010</v>
      </c>
      <c r="F22" s="167">
        <v>62695</v>
      </c>
      <c r="G22" s="167">
        <v>0</v>
      </c>
      <c r="H22" s="167">
        <v>0</v>
      </c>
      <c r="I22" s="167">
        <v>0</v>
      </c>
      <c r="J22" s="167">
        <v>0</v>
      </c>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266"/>
    </row>
    <row r="23" spans="1:37">
      <c r="A23" s="719"/>
      <c r="B23" s="719"/>
      <c r="C23" s="719" t="s">
        <v>1167</v>
      </c>
      <c r="D23" s="167">
        <v>664</v>
      </c>
      <c r="E23" s="167">
        <v>2000</v>
      </c>
      <c r="F23" s="167">
        <v>2000</v>
      </c>
      <c r="G23" s="167">
        <v>146765.62020176393</v>
      </c>
      <c r="H23" s="167">
        <v>153497.6041273218</v>
      </c>
      <c r="I23" s="167">
        <v>153058.36225992331</v>
      </c>
      <c r="J23" s="167">
        <v>178188.84153180948</v>
      </c>
    </row>
    <row r="24" spans="1:37">
      <c r="A24" s="719"/>
      <c r="B24" s="719"/>
      <c r="C24" s="719" t="s">
        <v>1168</v>
      </c>
      <c r="D24" s="167">
        <v>94369</v>
      </c>
      <c r="E24" s="167">
        <v>2807364</v>
      </c>
      <c r="F24" s="167">
        <v>1146171</v>
      </c>
      <c r="G24" s="167">
        <v>389799.68671848648</v>
      </c>
      <c r="H24" s="167">
        <v>393758.72194345051</v>
      </c>
      <c r="I24" s="167">
        <v>466700.67100797931</v>
      </c>
      <c r="J24" s="167">
        <v>474236.28761657211</v>
      </c>
    </row>
    <row r="25" spans="1:37">
      <c r="A25" s="719"/>
      <c r="B25" s="719"/>
      <c r="C25" s="719" t="s">
        <v>1169</v>
      </c>
      <c r="D25" s="167">
        <v>5516</v>
      </c>
      <c r="E25" s="167">
        <v>198483</v>
      </c>
      <c r="F25" s="167">
        <v>81327</v>
      </c>
      <c r="G25" s="167">
        <v>56821.272702394192</v>
      </c>
      <c r="H25" s="167">
        <v>57283.840412961668</v>
      </c>
      <c r="I25" s="167">
        <v>58019.133829703751</v>
      </c>
      <c r="J25" s="167">
        <v>58882.933289893976</v>
      </c>
    </row>
    <row r="26" spans="1:37">
      <c r="A26" s="719"/>
      <c r="B26" s="719"/>
      <c r="C26" s="719" t="s">
        <v>1170</v>
      </c>
      <c r="D26" s="167">
        <v>564</v>
      </c>
      <c r="E26" s="167">
        <v>84736</v>
      </c>
      <c r="F26" s="167">
        <v>34721</v>
      </c>
      <c r="G26" s="167">
        <v>12090.426664355435</v>
      </c>
      <c r="H26" s="167">
        <v>12189.358181552765</v>
      </c>
      <c r="I26" s="167">
        <v>12346.068933079394</v>
      </c>
      <c r="J26" s="167">
        <v>12530.243774903185</v>
      </c>
    </row>
    <row r="27" spans="1:37">
      <c r="A27" s="719"/>
      <c r="B27" s="719"/>
      <c r="C27" s="719" t="s">
        <v>1171</v>
      </c>
      <c r="D27" s="167">
        <v>0</v>
      </c>
      <c r="E27" s="167">
        <v>0</v>
      </c>
      <c r="F27" s="167">
        <v>0</v>
      </c>
      <c r="G27" s="167">
        <v>11184.978363885304</v>
      </c>
      <c r="H27" s="167">
        <v>11276.514389115628</v>
      </c>
      <c r="I27" s="167">
        <v>11421.465278439759</v>
      </c>
      <c r="J27" s="167">
        <v>11591.97512068387</v>
      </c>
    </row>
    <row r="28" spans="1:37">
      <c r="A28" s="719"/>
      <c r="B28" s="719"/>
      <c r="C28" s="719" t="s">
        <v>1172</v>
      </c>
      <c r="D28" s="167">
        <v>0</v>
      </c>
      <c r="E28" s="167">
        <v>0</v>
      </c>
      <c r="F28" s="167">
        <v>0</v>
      </c>
      <c r="G28" s="167">
        <v>10381.461273236273</v>
      </c>
      <c r="H28" s="167">
        <v>10466.386274472712</v>
      </c>
      <c r="I28" s="167">
        <v>10601.005945102894</v>
      </c>
      <c r="J28" s="167">
        <v>10759.147944398381</v>
      </c>
    </row>
    <row r="29" spans="1:37">
      <c r="A29" s="719"/>
      <c r="B29" s="719"/>
      <c r="C29" s="719" t="s">
        <v>1173</v>
      </c>
      <c r="D29" s="167">
        <v>425294</v>
      </c>
      <c r="E29" s="167">
        <v>0</v>
      </c>
      <c r="F29" s="167">
        <v>0</v>
      </c>
      <c r="G29" s="167">
        <v>106592.53198239054</v>
      </c>
      <c r="H29" s="167">
        <v>107464.77154711699</v>
      </c>
      <c r="I29" s="167">
        <v>108847.07460441093</v>
      </c>
      <c r="J29" s="167">
        <v>110470.38821190968</v>
      </c>
    </row>
    <row r="30" spans="1:37">
      <c r="A30" s="719"/>
      <c r="B30" s="719"/>
      <c r="C30" s="719" t="s">
        <v>1174</v>
      </c>
      <c r="D30" s="167">
        <v>6712</v>
      </c>
      <c r="E30" s="167">
        <v>5000</v>
      </c>
      <c r="F30" s="167">
        <v>5000</v>
      </c>
      <c r="G30" s="167">
        <v>10914.649599550454</v>
      </c>
      <c r="H30" s="167">
        <v>11003.85876474127</v>
      </c>
      <c r="I30" s="167">
        <v>9581.2260449911028</v>
      </c>
      <c r="J30" s="167">
        <v>9724.0463737477803</v>
      </c>
    </row>
    <row r="31" spans="1:37">
      <c r="A31" s="719"/>
      <c r="B31" s="719"/>
      <c r="C31" s="719" t="s">
        <v>1175</v>
      </c>
      <c r="D31" s="167">
        <v>0</v>
      </c>
      <c r="E31" s="167">
        <v>0</v>
      </c>
      <c r="F31" s="167">
        <v>0</v>
      </c>
      <c r="G31" s="167">
        <v>50044.810271718641</v>
      </c>
      <c r="H31" s="167">
        <v>50453.857558944481</v>
      </c>
      <c r="I31" s="167">
        <v>51103.280551169773</v>
      </c>
      <c r="J31" s="167">
        <v>51865.405706486868</v>
      </c>
    </row>
    <row r="32" spans="1:37">
      <c r="A32" s="719"/>
      <c r="B32" s="719"/>
      <c r="C32" s="719" t="s">
        <v>1176</v>
      </c>
      <c r="D32" s="167">
        <v>0</v>
      </c>
      <c r="E32" s="167">
        <v>0</v>
      </c>
      <c r="F32" s="167">
        <v>0</v>
      </c>
      <c r="G32" s="167">
        <v>10728.340047290487</v>
      </c>
      <c r="H32" s="167">
        <v>10816.111311681576</v>
      </c>
      <c r="I32" s="167">
        <v>10955.201981899421</v>
      </c>
      <c r="J32" s="167">
        <v>11118.574528093337</v>
      </c>
    </row>
    <row r="33" spans="1:37">
      <c r="A33" s="719"/>
      <c r="B33" s="719"/>
      <c r="C33" s="719" t="s">
        <v>1177</v>
      </c>
      <c r="D33" s="167">
        <v>0</v>
      </c>
      <c r="E33" s="167">
        <v>0</v>
      </c>
      <c r="F33" s="167">
        <v>0</v>
      </c>
      <c r="G33" s="167">
        <v>0</v>
      </c>
      <c r="H33" s="167">
        <v>0</v>
      </c>
      <c r="I33" s="167">
        <v>0</v>
      </c>
      <c r="J33" s="167">
        <v>0</v>
      </c>
    </row>
    <row r="34" spans="1:37" s="724" customFormat="1">
      <c r="A34" s="719"/>
      <c r="B34" s="719"/>
      <c r="C34" s="725" t="s">
        <v>1178</v>
      </c>
      <c r="D34" s="167">
        <v>561292</v>
      </c>
      <c r="E34" s="167">
        <v>3701605</v>
      </c>
      <c r="F34" s="167">
        <v>1702855</v>
      </c>
      <c r="G34" s="167">
        <v>1663671</v>
      </c>
      <c r="H34" s="167">
        <v>1446016</v>
      </c>
      <c r="I34" s="167">
        <v>1232886</v>
      </c>
      <c r="J34" s="167">
        <v>1270700</v>
      </c>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266"/>
    </row>
    <row r="35" spans="1:37">
      <c r="A35" s="719"/>
      <c r="B35" s="719"/>
      <c r="C35" s="719" t="s">
        <v>1179</v>
      </c>
      <c r="D35" s="167">
        <v>2617</v>
      </c>
      <c r="E35" s="167">
        <v>3857873</v>
      </c>
      <c r="F35" s="167">
        <v>7493582</v>
      </c>
      <c r="G35" s="167">
        <v>7538819.2557399943</v>
      </c>
      <c r="H35" s="167">
        <v>7544170.4480513372</v>
      </c>
      <c r="I35" s="167">
        <v>7482309.1247205511</v>
      </c>
      <c r="J35" s="167">
        <v>7427015.9866104033</v>
      </c>
    </row>
    <row r="36" spans="1:37">
      <c r="A36" s="719"/>
      <c r="B36" s="723" t="s">
        <v>1180</v>
      </c>
      <c r="C36" s="723"/>
      <c r="D36" s="954">
        <f>SUM(D19:D35)</f>
        <v>4017003</v>
      </c>
      <c r="E36" s="954">
        <f t="shared" ref="E36:J36" si="2">SUM(E19:E35)</f>
        <v>13950046</v>
      </c>
      <c r="F36" s="954">
        <f t="shared" si="2"/>
        <v>16558744</v>
      </c>
      <c r="G36" s="954">
        <f t="shared" si="2"/>
        <v>17738219.015861988</v>
      </c>
      <c r="H36" s="954">
        <f t="shared" si="2"/>
        <v>17526741.186639737</v>
      </c>
      <c r="I36" s="954">
        <f t="shared" si="2"/>
        <v>17252270.70235873</v>
      </c>
      <c r="J36" s="954">
        <f t="shared" si="2"/>
        <v>17217552.83454838</v>
      </c>
    </row>
    <row r="37" spans="1:37">
      <c r="A37" s="723" t="s">
        <v>1190</v>
      </c>
      <c r="B37" s="723"/>
      <c r="C37" s="723"/>
      <c r="D37" s="954">
        <f>+D36+D18</f>
        <v>6781320</v>
      </c>
      <c r="E37" s="954">
        <f t="shared" ref="E37:J37" si="3">+E36+E18</f>
        <v>15893503</v>
      </c>
      <c r="F37" s="954">
        <f t="shared" si="3"/>
        <v>18560505</v>
      </c>
      <c r="G37" s="954">
        <f t="shared" si="3"/>
        <v>19434308.430607684</v>
      </c>
      <c r="H37" s="954">
        <f t="shared" si="3"/>
        <v>19257847.933097176</v>
      </c>
      <c r="I37" s="954">
        <f t="shared" si="3"/>
        <v>18958555.974243693</v>
      </c>
      <c r="J37" s="954">
        <f t="shared" si="3"/>
        <v>18954389.649610624</v>
      </c>
    </row>
    <row r="38" spans="1:37">
      <c r="A38" s="719"/>
      <c r="B38" s="719" t="s">
        <v>1182</v>
      </c>
      <c r="C38" s="719" t="s">
        <v>1183</v>
      </c>
      <c r="D38" s="955"/>
      <c r="E38" s="955"/>
      <c r="F38" s="955"/>
      <c r="G38" s="955">
        <v>849195</v>
      </c>
      <c r="H38" s="955">
        <v>865517</v>
      </c>
      <c r="I38" s="955">
        <v>869980</v>
      </c>
      <c r="J38" s="955">
        <v>889245</v>
      </c>
    </row>
    <row r="39" spans="1:37" hidden="1">
      <c r="D39" s="42"/>
      <c r="E39" s="42"/>
      <c r="F39" s="42"/>
      <c r="G39" s="42"/>
      <c r="H39" s="42"/>
      <c r="I39" s="42"/>
      <c r="J39" s="42"/>
    </row>
    <row r="40" spans="1:37">
      <c r="A40" s="266" t="s">
        <v>297</v>
      </c>
      <c r="B40" s="1369" t="s">
        <v>1184</v>
      </c>
      <c r="C40" s="1369"/>
    </row>
    <row r="41" spans="1:37">
      <c r="B41" s="148" t="s">
        <v>1185</v>
      </c>
      <c r="G41" s="726"/>
      <c r="H41" s="726"/>
      <c r="I41" s="726"/>
      <c r="J41" s="726"/>
    </row>
    <row r="42" spans="1:37">
      <c r="G42" s="726"/>
      <c r="H42" s="726"/>
      <c r="I42" s="726"/>
      <c r="J42" s="726"/>
    </row>
    <row r="43" spans="1:37">
      <c r="G43" s="726"/>
      <c r="H43" s="726"/>
      <c r="I43" s="726"/>
      <c r="J43" s="726"/>
    </row>
  </sheetData>
  <mergeCells count="1">
    <mergeCell ref="B40:C40"/>
  </mergeCells>
  <pageMargins left="0.7" right="0.7" top="0.75" bottom="0.75" header="0.3" footer="0.3"/>
  <pageSetup paperSize="3"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FCD51-436D-4BB1-B75A-37CE2804B878}">
  <sheetPr codeName="Sheet20">
    <pageSetUpPr fitToPage="1"/>
  </sheetPr>
  <dimension ref="A1:AT43"/>
  <sheetViews>
    <sheetView zoomScaleNormal="100" workbookViewId="0"/>
  </sheetViews>
  <sheetFormatPr defaultColWidth="8.625" defaultRowHeight="14.25"/>
  <cols>
    <col min="1" max="1" width="11.25" style="266" customWidth="1"/>
    <col min="2" max="2" width="10.75" style="266" customWidth="1"/>
    <col min="3" max="3" width="51.75" style="266" customWidth="1"/>
    <col min="4" max="10" width="15.375" style="266" customWidth="1"/>
    <col min="11" max="16384" width="8.625" style="266"/>
  </cols>
  <sheetData>
    <row r="1" spans="1:10">
      <c r="A1" s="175" t="s">
        <v>98</v>
      </c>
      <c r="B1" s="176" t="str">
        <f>PA_NAME</f>
        <v>SoCalGas</v>
      </c>
      <c r="C1" s="108"/>
    </row>
    <row r="2" spans="1:10">
      <c r="A2" s="175" t="s">
        <v>99</v>
      </c>
      <c r="B2" s="888" t="s">
        <v>303</v>
      </c>
    </row>
    <row r="3" spans="1:10">
      <c r="A3" s="10" t="s">
        <v>1191</v>
      </c>
    </row>
    <row r="6" spans="1:10">
      <c r="A6" s="719"/>
      <c r="B6" s="719"/>
      <c r="C6" s="719"/>
      <c r="D6" s="719"/>
      <c r="E6" s="719"/>
      <c r="F6" s="719"/>
      <c r="G6" s="719"/>
      <c r="H6" s="719"/>
      <c r="I6" s="719"/>
      <c r="J6" s="719"/>
    </row>
    <row r="7" spans="1:10" ht="28.5">
      <c r="A7" s="720" t="s">
        <v>929</v>
      </c>
      <c r="B7" s="719" t="s">
        <v>1156</v>
      </c>
      <c r="C7" s="719" t="s">
        <v>1142</v>
      </c>
      <c r="D7" s="721" t="s">
        <v>1119</v>
      </c>
      <c r="E7" s="721" t="s">
        <v>1157</v>
      </c>
      <c r="F7" s="721" t="s">
        <v>1158</v>
      </c>
      <c r="G7" s="721" t="s">
        <v>1120</v>
      </c>
      <c r="H7" s="721" t="s">
        <v>1121</v>
      </c>
      <c r="I7" s="721" t="s">
        <v>1122</v>
      </c>
      <c r="J7" s="721" t="s">
        <v>1123</v>
      </c>
    </row>
    <row r="8" spans="1:10">
      <c r="A8" s="719" t="s">
        <v>27</v>
      </c>
      <c r="B8" s="719" t="s">
        <v>1159</v>
      </c>
      <c r="C8" s="722" t="s">
        <v>1065</v>
      </c>
      <c r="D8" s="167">
        <v>30852</v>
      </c>
      <c r="E8" s="167">
        <v>103430</v>
      </c>
      <c r="F8" s="167">
        <v>106533</v>
      </c>
      <c r="G8" s="167">
        <v>75188.404063104303</v>
      </c>
      <c r="H8" s="167">
        <v>76996.590740196203</v>
      </c>
      <c r="I8" s="167">
        <v>80433.781722556858</v>
      </c>
      <c r="J8" s="167">
        <v>82656.43318934225</v>
      </c>
    </row>
    <row r="9" spans="1:10">
      <c r="A9" s="719"/>
      <c r="B9" s="719"/>
      <c r="C9" s="722" t="s">
        <v>1150</v>
      </c>
      <c r="D9" s="167">
        <v>208364</v>
      </c>
      <c r="E9" s="167">
        <v>376487</v>
      </c>
      <c r="F9" s="167">
        <v>387782</v>
      </c>
      <c r="G9" s="167">
        <v>346793.0976060665</v>
      </c>
      <c r="H9" s="167">
        <v>356570.57790318329</v>
      </c>
      <c r="I9" s="167">
        <v>367890.67227979272</v>
      </c>
      <c r="J9" s="167">
        <v>378762.78193212335</v>
      </c>
    </row>
    <row r="10" spans="1:10">
      <c r="A10" s="719"/>
      <c r="B10" s="719"/>
      <c r="C10" s="722" t="s">
        <v>1160</v>
      </c>
      <c r="D10" s="167">
        <v>190922</v>
      </c>
      <c r="E10" s="167">
        <v>139631</v>
      </c>
      <c r="F10" s="167">
        <v>143820</v>
      </c>
      <c r="G10" s="167">
        <v>151383.48347291761</v>
      </c>
      <c r="H10" s="167">
        <v>155426.64247684772</v>
      </c>
      <c r="I10" s="167">
        <v>159784.36900243111</v>
      </c>
      <c r="J10" s="167">
        <v>164333.75413795302</v>
      </c>
    </row>
    <row r="11" spans="1:10">
      <c r="A11" s="719"/>
      <c r="B11" s="719"/>
      <c r="C11" s="722" t="s">
        <v>1151</v>
      </c>
      <c r="D11" s="167">
        <v>38811</v>
      </c>
      <c r="E11" s="167">
        <v>0</v>
      </c>
      <c r="F11" s="167">
        <v>0</v>
      </c>
      <c r="G11" s="167">
        <v>5579.3899082952194</v>
      </c>
      <c r="H11" s="167">
        <v>5529.3705212121058</v>
      </c>
      <c r="I11" s="167">
        <v>5479.6759270259299</v>
      </c>
      <c r="J11" s="167">
        <v>5635.3619832246914</v>
      </c>
    </row>
    <row r="12" spans="1:10">
      <c r="A12" s="719"/>
      <c r="B12" s="719"/>
      <c r="C12" s="722" t="s">
        <v>1152</v>
      </c>
      <c r="D12" s="167">
        <v>8671</v>
      </c>
      <c r="E12" s="167">
        <v>0</v>
      </c>
      <c r="F12" s="167">
        <v>0</v>
      </c>
      <c r="G12" s="167">
        <v>8640.4110902622797</v>
      </c>
      <c r="H12" s="167">
        <v>8764.9014925131123</v>
      </c>
      <c r="I12" s="167">
        <v>8901.0402100182691</v>
      </c>
      <c r="J12" s="167">
        <v>9154.1463314545654</v>
      </c>
    </row>
    <row r="13" spans="1:10">
      <c r="A13" s="719"/>
      <c r="B13" s="719"/>
      <c r="C13" s="722" t="s">
        <v>1091</v>
      </c>
      <c r="D13" s="167">
        <v>0</v>
      </c>
      <c r="E13" s="167">
        <v>25858</v>
      </c>
      <c r="F13" s="167">
        <v>26633</v>
      </c>
      <c r="G13" s="167">
        <v>18207.718290156972</v>
      </c>
      <c r="H13" s="167">
        <v>18530.63838461422</v>
      </c>
      <c r="I13" s="167">
        <v>18882.511543405493</v>
      </c>
      <c r="J13" s="167">
        <v>19418.592747516977</v>
      </c>
    </row>
    <row r="14" spans="1:10">
      <c r="A14" s="719"/>
      <c r="B14" s="719"/>
      <c r="C14" s="722" t="s">
        <v>1153</v>
      </c>
      <c r="D14" s="167">
        <v>96446</v>
      </c>
      <c r="E14" s="167">
        <v>51715</v>
      </c>
      <c r="F14" s="167">
        <v>53267</v>
      </c>
      <c r="G14" s="167">
        <v>41132.312011739639</v>
      </c>
      <c r="H14" s="167">
        <v>39166.818968588675</v>
      </c>
      <c r="I14" s="167">
        <v>37028.842178990148</v>
      </c>
      <c r="J14" s="167">
        <v>31762.307417248398</v>
      </c>
    </row>
    <row r="15" spans="1:10">
      <c r="A15" s="719"/>
      <c r="B15" s="719"/>
      <c r="C15" s="722" t="s">
        <v>1106</v>
      </c>
      <c r="D15" s="167">
        <v>246703</v>
      </c>
      <c r="E15" s="167">
        <v>47578</v>
      </c>
      <c r="F15" s="167">
        <v>49005</v>
      </c>
      <c r="G15" s="167">
        <v>181632.60844601702</v>
      </c>
      <c r="H15" s="167">
        <v>186461.04350589649</v>
      </c>
      <c r="I15" s="167">
        <v>220347.87447750446</v>
      </c>
      <c r="J15" s="167">
        <v>221309.59553692033</v>
      </c>
    </row>
    <row r="16" spans="1:10">
      <c r="A16" s="719"/>
      <c r="B16" s="719"/>
      <c r="C16" s="722" t="s">
        <v>1109</v>
      </c>
      <c r="D16" s="167">
        <v>0</v>
      </c>
      <c r="E16" s="167">
        <v>51715</v>
      </c>
      <c r="F16" s="167">
        <v>53267</v>
      </c>
      <c r="G16" s="167">
        <v>13992.860888640436</v>
      </c>
      <c r="H16" s="167">
        <v>14365.068383049293</v>
      </c>
      <c r="I16" s="167">
        <v>14766.254954685906</v>
      </c>
      <c r="J16" s="167">
        <v>15185.39186603987</v>
      </c>
    </row>
    <row r="17" spans="1:46">
      <c r="A17" s="719"/>
      <c r="B17" s="719"/>
      <c r="C17" s="722" t="s">
        <v>1114</v>
      </c>
      <c r="D17" s="167">
        <v>7492</v>
      </c>
      <c r="E17" s="167">
        <v>0</v>
      </c>
      <c r="F17" s="167">
        <v>0</v>
      </c>
      <c r="G17" s="167">
        <v>11995.655799465891</v>
      </c>
      <c r="H17" s="167">
        <v>12160.008441036158</v>
      </c>
      <c r="I17" s="167">
        <v>12339.883458053377</v>
      </c>
      <c r="J17" s="167">
        <v>12690.253435303463</v>
      </c>
    </row>
    <row r="18" spans="1:46">
      <c r="A18" s="719"/>
      <c r="B18" s="723" t="s">
        <v>1161</v>
      </c>
      <c r="C18" s="723"/>
      <c r="D18" s="954">
        <f>SUM(D8:D17)</f>
        <v>828261</v>
      </c>
      <c r="E18" s="954">
        <f t="shared" ref="E18:F18" si="0">SUM(E8:E17)</f>
        <v>796414</v>
      </c>
      <c r="F18" s="954">
        <f t="shared" si="0"/>
        <v>820307</v>
      </c>
      <c r="G18" s="954">
        <f t="shared" ref="G18:J18" si="1">SUM(G8:G17)</f>
        <v>854545.94157666562</v>
      </c>
      <c r="H18" s="954">
        <f t="shared" si="1"/>
        <v>873971.66081713734</v>
      </c>
      <c r="I18" s="954">
        <f t="shared" si="1"/>
        <v>925854.90575446433</v>
      </c>
      <c r="J18" s="954">
        <f t="shared" si="1"/>
        <v>940908.61857712676</v>
      </c>
    </row>
    <row r="19" spans="1:46">
      <c r="A19" s="719"/>
      <c r="B19" s="719" t="s">
        <v>1162</v>
      </c>
      <c r="C19" s="719" t="s">
        <v>1163</v>
      </c>
      <c r="D19" s="167">
        <v>10872</v>
      </c>
      <c r="E19" s="167">
        <v>1948031</v>
      </c>
      <c r="F19" s="167">
        <v>2556586</v>
      </c>
      <c r="G19" s="167">
        <v>1990917.3796741599</v>
      </c>
      <c r="H19" s="167">
        <v>1989110.1181312159</v>
      </c>
      <c r="I19" s="167">
        <v>1979464.4426638761</v>
      </c>
      <c r="J19" s="167">
        <v>1972217.488161572</v>
      </c>
    </row>
    <row r="20" spans="1:46" s="724" customFormat="1">
      <c r="A20" s="719"/>
      <c r="B20" s="719"/>
      <c r="C20" s="719" t="s">
        <v>1164</v>
      </c>
      <c r="D20" s="167">
        <v>0</v>
      </c>
      <c r="E20" s="167">
        <v>0</v>
      </c>
      <c r="F20" s="167">
        <v>0</v>
      </c>
      <c r="G20" s="167">
        <v>0</v>
      </c>
      <c r="H20" s="167">
        <v>0</v>
      </c>
      <c r="I20" s="167">
        <v>0</v>
      </c>
      <c r="J20" s="167">
        <v>0</v>
      </c>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66"/>
      <c r="AL20" s="266"/>
      <c r="AM20" s="266"/>
      <c r="AN20" s="266"/>
      <c r="AO20" s="266"/>
      <c r="AP20" s="266"/>
      <c r="AQ20" s="266"/>
      <c r="AR20" s="266"/>
      <c r="AS20" s="266"/>
      <c r="AT20" s="266"/>
    </row>
    <row r="21" spans="1:46" s="724" customFormat="1">
      <c r="A21" s="719"/>
      <c r="B21" s="719"/>
      <c r="C21" s="719" t="s">
        <v>1165</v>
      </c>
      <c r="D21" s="167">
        <v>0</v>
      </c>
      <c r="E21" s="167">
        <v>0</v>
      </c>
      <c r="F21" s="167">
        <v>0</v>
      </c>
      <c r="G21" s="167">
        <v>0</v>
      </c>
      <c r="H21" s="167">
        <v>0</v>
      </c>
      <c r="I21" s="167">
        <v>0</v>
      </c>
      <c r="J21" s="167">
        <v>0</v>
      </c>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266"/>
    </row>
    <row r="22" spans="1:46" s="724" customFormat="1">
      <c r="A22" s="719"/>
      <c r="B22" s="719"/>
      <c r="C22" s="719" t="s">
        <v>1166</v>
      </c>
      <c r="D22" s="167">
        <v>0</v>
      </c>
      <c r="E22" s="167">
        <v>0</v>
      </c>
      <c r="F22" s="167">
        <v>0</v>
      </c>
      <c r="G22" s="167">
        <v>0</v>
      </c>
      <c r="H22" s="167">
        <v>0</v>
      </c>
      <c r="I22" s="167">
        <v>0</v>
      </c>
      <c r="J22" s="167">
        <v>0</v>
      </c>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row>
    <row r="23" spans="1:46">
      <c r="A23" s="719"/>
      <c r="B23" s="719"/>
      <c r="C23" s="719" t="s">
        <v>1167</v>
      </c>
      <c r="D23" s="167">
        <v>0</v>
      </c>
      <c r="E23" s="167">
        <v>0</v>
      </c>
      <c r="F23" s="167">
        <v>0</v>
      </c>
      <c r="G23" s="167">
        <v>41828.890900345155</v>
      </c>
      <c r="H23" s="167">
        <v>44323.644659415178</v>
      </c>
      <c r="I23" s="167">
        <v>45623.511350880515</v>
      </c>
      <c r="J23" s="167">
        <v>53337.844243400752</v>
      </c>
    </row>
    <row r="24" spans="1:46">
      <c r="A24" s="719"/>
      <c r="B24" s="719"/>
      <c r="C24" s="719" t="s">
        <v>1168</v>
      </c>
      <c r="D24" s="167">
        <v>10945</v>
      </c>
      <c r="E24" s="167">
        <v>336843</v>
      </c>
      <c r="F24" s="167">
        <v>151044</v>
      </c>
      <c r="G24" s="167">
        <v>206324.1474200768</v>
      </c>
      <c r="H24" s="167">
        <v>208319.16465617521</v>
      </c>
      <c r="I24" s="167">
        <v>278004.89904959465</v>
      </c>
      <c r="J24" s="167">
        <v>282381.78834145796</v>
      </c>
    </row>
    <row r="25" spans="1:46">
      <c r="A25" s="719"/>
      <c r="B25" s="719"/>
      <c r="C25" s="719" t="s">
        <v>1169</v>
      </c>
      <c r="D25" s="167">
        <v>1332</v>
      </c>
      <c r="E25" s="167">
        <v>73081</v>
      </c>
      <c r="F25" s="167">
        <v>33360</v>
      </c>
      <c r="G25" s="167">
        <v>34438.516527082371</v>
      </c>
      <c r="H25" s="167">
        <v>34724.357523152299</v>
      </c>
      <c r="I25" s="167">
        <v>35174.6309975689</v>
      </c>
      <c r="J25" s="167">
        <v>35702.245862046984</v>
      </c>
    </row>
    <row r="26" spans="1:46">
      <c r="A26" s="719"/>
      <c r="B26" s="719"/>
      <c r="C26" s="719" t="s">
        <v>1170</v>
      </c>
      <c r="D26" s="167">
        <v>93</v>
      </c>
      <c r="E26" s="167">
        <v>27782</v>
      </c>
      <c r="F26" s="167">
        <v>12682</v>
      </c>
      <c r="G26" s="167">
        <v>4678.3542963102364</v>
      </c>
      <c r="H26" s="167">
        <v>4716.801877846995</v>
      </c>
      <c r="I26" s="167">
        <v>4777.3459365523522</v>
      </c>
      <c r="J26" s="167">
        <v>4848.6971807797481</v>
      </c>
    </row>
    <row r="27" spans="1:46">
      <c r="A27" s="719"/>
      <c r="B27" s="719"/>
      <c r="C27" s="719" t="s">
        <v>1171</v>
      </c>
      <c r="D27" s="167">
        <v>0</v>
      </c>
      <c r="E27" s="167">
        <v>0</v>
      </c>
      <c r="F27" s="167">
        <v>0</v>
      </c>
      <c r="G27" s="167">
        <v>4672.1287716300658</v>
      </c>
      <c r="H27" s="167">
        <v>4710.4852959709942</v>
      </c>
      <c r="I27" s="167">
        <v>4770.9504865127856</v>
      </c>
      <c r="J27" s="167">
        <v>4842.3147476567337</v>
      </c>
    </row>
    <row r="28" spans="1:46">
      <c r="A28" s="719"/>
      <c r="B28" s="719"/>
      <c r="C28" s="719" t="s">
        <v>1172</v>
      </c>
      <c r="D28" s="167">
        <v>0</v>
      </c>
      <c r="E28" s="167">
        <v>0</v>
      </c>
      <c r="F28" s="167">
        <v>0</v>
      </c>
      <c r="G28" s="167">
        <v>4106.8142332602674</v>
      </c>
      <c r="H28" s="167">
        <v>4140.4599037457374</v>
      </c>
      <c r="I28" s="167">
        <v>4193.7022643651308</v>
      </c>
      <c r="J28" s="167">
        <v>4256.3196234134975</v>
      </c>
    </row>
    <row r="29" spans="1:46">
      <c r="A29" s="719"/>
      <c r="B29" s="719"/>
      <c r="C29" s="719" t="s">
        <v>1173</v>
      </c>
      <c r="D29" s="167">
        <v>2057</v>
      </c>
      <c r="E29" s="167">
        <v>0</v>
      </c>
      <c r="F29" s="167">
        <v>0</v>
      </c>
      <c r="G29" s="167">
        <v>71061.687988260353</v>
      </c>
      <c r="H29" s="167">
        <v>71643.181031411325</v>
      </c>
      <c r="I29" s="167">
        <v>72565.157821009867</v>
      </c>
      <c r="J29" s="167">
        <v>73646.69258275161</v>
      </c>
    </row>
    <row r="30" spans="1:46">
      <c r="A30" s="719"/>
      <c r="B30" s="719"/>
      <c r="C30" s="719" t="s">
        <v>1174</v>
      </c>
      <c r="D30" s="167">
        <v>31092</v>
      </c>
      <c r="E30" s="167">
        <v>5000</v>
      </c>
      <c r="F30" s="167">
        <v>5000</v>
      </c>
      <c r="G30" s="167">
        <v>5208.3915539829859</v>
      </c>
      <c r="H30" s="167">
        <v>5250.9564941034923</v>
      </c>
      <c r="I30" s="167">
        <v>6257.1255224955512</v>
      </c>
      <c r="J30" s="167">
        <v>6350.4044630796543</v>
      </c>
    </row>
    <row r="31" spans="1:46">
      <c r="A31" s="719"/>
      <c r="B31" s="719"/>
      <c r="C31" s="719" t="s">
        <v>1175</v>
      </c>
      <c r="D31" s="167">
        <v>0</v>
      </c>
      <c r="E31" s="167">
        <v>0</v>
      </c>
      <c r="F31" s="167">
        <v>0</v>
      </c>
      <c r="G31" s="167">
        <v>23894.139111359564</v>
      </c>
      <c r="H31" s="167">
        <v>24089.931616950707</v>
      </c>
      <c r="I31" s="167">
        <v>24399.745045314095</v>
      </c>
      <c r="J31" s="167">
        <v>24763.60813396013</v>
      </c>
    </row>
    <row r="32" spans="1:46">
      <c r="A32" s="719"/>
      <c r="B32" s="719"/>
      <c r="C32" s="719" t="s">
        <v>1176</v>
      </c>
      <c r="D32" s="167">
        <v>0</v>
      </c>
      <c r="E32" s="167">
        <v>0</v>
      </c>
      <c r="F32" s="167">
        <v>0</v>
      </c>
      <c r="G32" s="167">
        <v>3441.9819610318909</v>
      </c>
      <c r="H32" s="167">
        <v>3470.2708111199368</v>
      </c>
      <c r="I32" s="167">
        <v>3514.8361775433541</v>
      </c>
      <c r="J32" s="167">
        <v>3567.2917097598197</v>
      </c>
    </row>
    <row r="33" spans="1:46">
      <c r="A33" s="719"/>
      <c r="B33" s="719"/>
      <c r="C33" s="719" t="s">
        <v>1177</v>
      </c>
      <c r="D33" s="167">
        <v>0</v>
      </c>
      <c r="E33" s="167">
        <v>0</v>
      </c>
      <c r="F33" s="167">
        <v>0</v>
      </c>
      <c r="G33" s="167">
        <v>0</v>
      </c>
      <c r="H33" s="167">
        <v>0</v>
      </c>
      <c r="I33" s="167">
        <v>0</v>
      </c>
      <c r="J33" s="167">
        <v>0</v>
      </c>
    </row>
    <row r="34" spans="1:46" s="724" customFormat="1">
      <c r="A34" s="719"/>
      <c r="B34" s="719"/>
      <c r="C34" s="725" t="s">
        <v>1178</v>
      </c>
      <c r="D34" s="167">
        <v>108628</v>
      </c>
      <c r="E34" s="167">
        <v>718570</v>
      </c>
      <c r="F34" s="167">
        <v>568570</v>
      </c>
      <c r="G34" s="167">
        <v>542448</v>
      </c>
      <c r="H34" s="167">
        <v>539010</v>
      </c>
      <c r="I34" s="167">
        <v>538591</v>
      </c>
      <c r="J34" s="167">
        <v>563800</v>
      </c>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266"/>
      <c r="AL34" s="266"/>
      <c r="AM34" s="266"/>
      <c r="AN34" s="266"/>
      <c r="AO34" s="266"/>
      <c r="AP34" s="266"/>
      <c r="AQ34" s="266"/>
      <c r="AR34" s="266"/>
      <c r="AS34" s="266"/>
      <c r="AT34" s="266"/>
    </row>
    <row r="35" spans="1:46">
      <c r="A35" s="719"/>
      <c r="B35" s="719"/>
      <c r="C35" s="719" t="s">
        <v>1179</v>
      </c>
      <c r="D35" s="167">
        <v>0</v>
      </c>
      <c r="E35" s="167">
        <v>1639246</v>
      </c>
      <c r="F35" s="167">
        <v>2150457</v>
      </c>
      <c r="G35" s="167">
        <v>1664009.2883106384</v>
      </c>
      <c r="H35" s="167">
        <v>1664751.2952982595</v>
      </c>
      <c r="I35" s="167">
        <v>1656173.4809921866</v>
      </c>
      <c r="J35" s="167">
        <v>1648506.4243333037</v>
      </c>
    </row>
    <row r="36" spans="1:46">
      <c r="A36" s="719"/>
      <c r="B36" s="723" t="s">
        <v>1180</v>
      </c>
      <c r="C36" s="723"/>
      <c r="D36" s="954">
        <f>SUM(D19:D35)</f>
        <v>165019</v>
      </c>
      <c r="E36" s="954">
        <f t="shared" ref="E36:J36" si="2">SUM(E19:E35)</f>
        <v>4748553</v>
      </c>
      <c r="F36" s="954">
        <f t="shared" si="2"/>
        <v>5477699</v>
      </c>
      <c r="G36" s="954">
        <f t="shared" si="2"/>
        <v>4597029.7207481377</v>
      </c>
      <c r="H36" s="954">
        <f t="shared" si="2"/>
        <v>4598260.6672993675</v>
      </c>
      <c r="I36" s="954">
        <f t="shared" si="2"/>
        <v>4653510.8283078996</v>
      </c>
      <c r="J36" s="954">
        <f t="shared" si="2"/>
        <v>4678221.1193831824</v>
      </c>
    </row>
    <row r="37" spans="1:46">
      <c r="A37" s="723" t="s">
        <v>1192</v>
      </c>
      <c r="B37" s="723"/>
      <c r="C37" s="723"/>
      <c r="D37" s="954">
        <f>+D36+D18</f>
        <v>993280</v>
      </c>
      <c r="E37" s="954">
        <f t="shared" ref="E37:J37" si="3">+E36+E18</f>
        <v>5544967</v>
      </c>
      <c r="F37" s="954">
        <f t="shared" si="3"/>
        <v>6298006</v>
      </c>
      <c r="G37" s="954">
        <f t="shared" si="3"/>
        <v>5451575.662324803</v>
      </c>
      <c r="H37" s="954">
        <f t="shared" si="3"/>
        <v>5472232.3281165045</v>
      </c>
      <c r="I37" s="954">
        <f t="shared" si="3"/>
        <v>5579365.7340623643</v>
      </c>
      <c r="J37" s="954">
        <f t="shared" si="3"/>
        <v>5619129.7379603088</v>
      </c>
    </row>
    <row r="38" spans="1:46">
      <c r="A38" s="719"/>
      <c r="B38" s="719" t="s">
        <v>1182</v>
      </c>
      <c r="C38" s="719" t="s">
        <v>1183</v>
      </c>
      <c r="D38" s="955"/>
      <c r="E38" s="955"/>
      <c r="F38" s="955"/>
      <c r="G38" s="955">
        <v>368974</v>
      </c>
      <c r="H38" s="955">
        <v>377805</v>
      </c>
      <c r="I38" s="955">
        <v>395591</v>
      </c>
      <c r="J38" s="955">
        <v>404143</v>
      </c>
    </row>
    <row r="39" spans="1:46" hidden="1">
      <c r="D39" s="42"/>
      <c r="E39" s="42"/>
      <c r="F39" s="42"/>
      <c r="G39" s="42"/>
      <c r="H39" s="42"/>
      <c r="I39" s="42"/>
      <c r="J39" s="42"/>
    </row>
    <row r="40" spans="1:46">
      <c r="A40" s="266" t="s">
        <v>297</v>
      </c>
      <c r="B40" s="1369" t="s">
        <v>1184</v>
      </c>
      <c r="C40" s="1369"/>
    </row>
    <row r="41" spans="1:46">
      <c r="B41" s="148" t="s">
        <v>1185</v>
      </c>
      <c r="G41" s="726"/>
      <c r="H41" s="726"/>
      <c r="I41" s="726"/>
      <c r="J41" s="726"/>
    </row>
    <row r="42" spans="1:46">
      <c r="G42" s="726"/>
      <c r="H42" s="726"/>
      <c r="I42" s="726"/>
      <c r="J42" s="726"/>
    </row>
    <row r="43" spans="1:46">
      <c r="G43" s="726"/>
      <c r="H43" s="726"/>
      <c r="I43" s="726"/>
      <c r="J43" s="726"/>
    </row>
  </sheetData>
  <mergeCells count="1">
    <mergeCell ref="B40:C40"/>
  </mergeCells>
  <pageMargins left="0.7" right="0.7" top="0.75" bottom="0.75" header="0.3" footer="0.3"/>
  <pageSetup paperSize="3"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A9729-1DB1-4C26-8D98-E1CD4A9605BB}">
  <sheetPr codeName="Sheet21">
    <pageSetUpPr fitToPage="1"/>
  </sheetPr>
  <dimension ref="A1:AI43"/>
  <sheetViews>
    <sheetView zoomScaleNormal="100" workbookViewId="0"/>
  </sheetViews>
  <sheetFormatPr defaultColWidth="8.625" defaultRowHeight="14.25"/>
  <cols>
    <col min="1" max="1" width="11.25" style="266" customWidth="1"/>
    <col min="2" max="2" width="10.75" style="266" customWidth="1"/>
    <col min="3" max="3" width="51.75" style="266" customWidth="1"/>
    <col min="4" max="10" width="15.375" style="266" customWidth="1"/>
    <col min="11" max="16384" width="8.625" style="266"/>
  </cols>
  <sheetData>
    <row r="1" spans="1:10">
      <c r="A1" s="175" t="s">
        <v>98</v>
      </c>
      <c r="B1" s="176" t="str">
        <f>PA_NAME</f>
        <v>SoCalGas</v>
      </c>
      <c r="C1" s="108"/>
    </row>
    <row r="2" spans="1:10">
      <c r="A2" s="175" t="s">
        <v>99</v>
      </c>
      <c r="B2" s="888" t="s">
        <v>303</v>
      </c>
    </row>
    <row r="3" spans="1:10">
      <c r="A3" s="10" t="s">
        <v>1193</v>
      </c>
    </row>
    <row r="6" spans="1:10">
      <c r="A6" s="719"/>
      <c r="B6" s="719"/>
      <c r="C6" s="719"/>
      <c r="D6" s="719"/>
      <c r="E6" s="719"/>
      <c r="F6" s="719"/>
      <c r="G6" s="719"/>
      <c r="H6" s="719"/>
      <c r="I6" s="719"/>
      <c r="J6" s="719"/>
    </row>
    <row r="7" spans="1:10" ht="28.5">
      <c r="A7" s="720" t="s">
        <v>929</v>
      </c>
      <c r="B7" s="719" t="s">
        <v>1156</v>
      </c>
      <c r="C7" s="719" t="s">
        <v>1142</v>
      </c>
      <c r="D7" s="721" t="s">
        <v>1119</v>
      </c>
      <c r="E7" s="721" t="s">
        <v>1157</v>
      </c>
      <c r="F7" s="721" t="s">
        <v>1158</v>
      </c>
      <c r="G7" s="721" t="s">
        <v>1120</v>
      </c>
      <c r="H7" s="721" t="s">
        <v>1121</v>
      </c>
      <c r="I7" s="721" t="s">
        <v>1122</v>
      </c>
      <c r="J7" s="721" t="s">
        <v>1123</v>
      </c>
    </row>
    <row r="8" spans="1:10">
      <c r="A8" s="719" t="s">
        <v>1194</v>
      </c>
      <c r="B8" s="719" t="s">
        <v>1159</v>
      </c>
      <c r="C8" s="722" t="s">
        <v>1065</v>
      </c>
      <c r="D8" s="167">
        <v>100081</v>
      </c>
      <c r="E8" s="167">
        <v>225823</v>
      </c>
      <c r="F8" s="167">
        <v>232598</v>
      </c>
      <c r="G8" s="167">
        <v>144943.37216541939</v>
      </c>
      <c r="H8" s="167">
        <v>156041.37966716013</v>
      </c>
      <c r="I8" s="167">
        <v>161219.17013023427</v>
      </c>
      <c r="J8" s="167">
        <v>166510.43941366032</v>
      </c>
    </row>
    <row r="9" spans="1:10">
      <c r="A9" s="719"/>
      <c r="B9" s="719"/>
      <c r="C9" s="722" t="s">
        <v>1150</v>
      </c>
      <c r="D9" s="167">
        <v>1744564</v>
      </c>
      <c r="E9" s="167">
        <v>1278400</v>
      </c>
      <c r="F9" s="167">
        <v>1316752</v>
      </c>
      <c r="G9" s="167">
        <v>929865.03866021661</v>
      </c>
      <c r="H9" s="167">
        <v>957400.12714663905</v>
      </c>
      <c r="I9" s="167">
        <v>989174.2848605545</v>
      </c>
      <c r="J9" s="167">
        <v>1019410.9415064037</v>
      </c>
    </row>
    <row r="10" spans="1:10">
      <c r="A10" s="719"/>
      <c r="B10" s="719"/>
      <c r="C10" s="722" t="s">
        <v>1160</v>
      </c>
      <c r="D10" s="167">
        <v>159410</v>
      </c>
      <c r="E10" s="167">
        <v>0</v>
      </c>
      <c r="F10" s="167">
        <v>0</v>
      </c>
      <c r="G10" s="167">
        <v>366447.2241415793</v>
      </c>
      <c r="H10" s="167">
        <v>376213.87002753763</v>
      </c>
      <c r="I10" s="167">
        <v>386744.73922006774</v>
      </c>
      <c r="J10" s="167">
        <v>397740.98528963898</v>
      </c>
    </row>
    <row r="11" spans="1:10">
      <c r="A11" s="719"/>
      <c r="B11" s="719"/>
      <c r="C11" s="722" t="s">
        <v>1151</v>
      </c>
      <c r="D11" s="167">
        <v>16775</v>
      </c>
      <c r="E11" s="167">
        <v>0</v>
      </c>
      <c r="F11" s="167">
        <v>0</v>
      </c>
      <c r="G11" s="167">
        <v>11288.735709370281</v>
      </c>
      <c r="H11" s="167">
        <v>11125.653344690494</v>
      </c>
      <c r="I11" s="167">
        <v>10960.286192100068</v>
      </c>
      <c r="J11" s="167">
        <v>11271.429209593336</v>
      </c>
    </row>
    <row r="12" spans="1:10">
      <c r="A12" s="719"/>
      <c r="B12" s="719"/>
      <c r="C12" s="722" t="s">
        <v>1152</v>
      </c>
      <c r="D12" s="167">
        <v>0</v>
      </c>
      <c r="E12" s="167">
        <v>0</v>
      </c>
      <c r="F12" s="167">
        <v>0</v>
      </c>
      <c r="G12" s="167">
        <v>14106.878201721076</v>
      </c>
      <c r="H12" s="167">
        <v>14235.864401301311</v>
      </c>
      <c r="I12" s="167">
        <v>14380.415534861793</v>
      </c>
      <c r="J12" s="167">
        <v>14788.99390972899</v>
      </c>
    </row>
    <row r="13" spans="1:10">
      <c r="A13" s="719"/>
      <c r="B13" s="719"/>
      <c r="C13" s="722" t="s">
        <v>1091</v>
      </c>
      <c r="D13" s="167">
        <v>0</v>
      </c>
      <c r="E13" s="167">
        <v>43096</v>
      </c>
      <c r="F13" s="167">
        <v>44388</v>
      </c>
      <c r="G13" s="167">
        <v>33420.378220851562</v>
      </c>
      <c r="H13" s="167">
        <v>33932.386472975522</v>
      </c>
      <c r="I13" s="167">
        <v>34493.491263269214</v>
      </c>
      <c r="J13" s="167">
        <v>35472.575975867076</v>
      </c>
    </row>
    <row r="14" spans="1:10">
      <c r="A14" s="719"/>
      <c r="B14" s="719"/>
      <c r="C14" s="722" t="s">
        <v>1153</v>
      </c>
      <c r="D14" s="167">
        <v>38155</v>
      </c>
      <c r="E14" s="167">
        <v>206861</v>
      </c>
      <c r="F14" s="167">
        <v>213067</v>
      </c>
      <c r="G14" s="167">
        <v>82264.990641230776</v>
      </c>
      <c r="H14" s="167">
        <v>78333.284477932088</v>
      </c>
      <c r="I14" s="167">
        <v>74057.346485084156</v>
      </c>
      <c r="J14" s="167">
        <v>63524.916158932254</v>
      </c>
    </row>
    <row r="15" spans="1:10">
      <c r="A15" s="719"/>
      <c r="B15" s="719"/>
      <c r="C15" s="722" t="s">
        <v>1106</v>
      </c>
      <c r="D15" s="167">
        <v>289979</v>
      </c>
      <c r="E15" s="167">
        <v>138596</v>
      </c>
      <c r="F15" s="167">
        <v>142755</v>
      </c>
      <c r="G15" s="167">
        <v>1274934.3850946731</v>
      </c>
      <c r="H15" s="167">
        <v>1308827.625039726</v>
      </c>
      <c r="I15" s="167">
        <v>1326074.25</v>
      </c>
      <c r="J15" s="167">
        <v>1355444.4860528761</v>
      </c>
    </row>
    <row r="16" spans="1:10">
      <c r="A16" s="719"/>
      <c r="B16" s="719"/>
      <c r="C16" s="722" t="s">
        <v>1109</v>
      </c>
      <c r="D16" s="167">
        <v>0</v>
      </c>
      <c r="E16" s="167">
        <v>128254</v>
      </c>
      <c r="F16" s="167">
        <v>132101</v>
      </c>
      <c r="G16" s="167">
        <v>112964.08858607049</v>
      </c>
      <c r="H16" s="167">
        <v>115967.24896555945</v>
      </c>
      <c r="I16" s="167">
        <v>119206.80070960549</v>
      </c>
      <c r="J16" s="167">
        <v>122590.42288310567</v>
      </c>
    </row>
    <row r="17" spans="1:35">
      <c r="A17" s="719"/>
      <c r="B17" s="719"/>
      <c r="C17" s="722" t="s">
        <v>1114</v>
      </c>
      <c r="D17" s="167">
        <v>3716</v>
      </c>
      <c r="E17" s="167">
        <v>0</v>
      </c>
      <c r="F17" s="167">
        <v>0</v>
      </c>
      <c r="G17" s="167">
        <v>25729.22217422906</v>
      </c>
      <c r="H17" s="167">
        <v>26051.272231823463</v>
      </c>
      <c r="I17" s="167">
        <v>26407.014501554098</v>
      </c>
      <c r="J17" s="167">
        <v>27156.589006215243</v>
      </c>
    </row>
    <row r="18" spans="1:35">
      <c r="A18" s="719"/>
      <c r="B18" s="723" t="s">
        <v>1161</v>
      </c>
      <c r="C18" s="723"/>
      <c r="D18" s="954">
        <f>SUM(D8:D17)</f>
        <v>2352680</v>
      </c>
      <c r="E18" s="954">
        <f t="shared" ref="E18:F18" si="0">SUM(E8:E17)</f>
        <v>2021030</v>
      </c>
      <c r="F18" s="954">
        <f t="shared" si="0"/>
        <v>2081661</v>
      </c>
      <c r="G18" s="954">
        <f t="shared" ref="G18:J18" si="1">SUM(G8:G17)</f>
        <v>2995964.313595362</v>
      </c>
      <c r="H18" s="954">
        <f t="shared" si="1"/>
        <v>3078128.7117753453</v>
      </c>
      <c r="I18" s="954">
        <f t="shared" si="1"/>
        <v>3142717.7988973316</v>
      </c>
      <c r="J18" s="954">
        <f t="shared" si="1"/>
        <v>3213911.7794060213</v>
      </c>
    </row>
    <row r="19" spans="1:35">
      <c r="A19" s="719"/>
      <c r="B19" s="719" t="s">
        <v>1162</v>
      </c>
      <c r="C19" s="719" t="s">
        <v>1163</v>
      </c>
      <c r="D19" s="167">
        <v>966859</v>
      </c>
      <c r="E19" s="167">
        <v>1238467</v>
      </c>
      <c r="F19" s="167">
        <v>2027796</v>
      </c>
      <c r="G19" s="167">
        <v>2450030.528008908</v>
      </c>
      <c r="H19" s="167">
        <v>2617923.3995912685</v>
      </c>
      <c r="I19" s="167">
        <v>2542391.445714769</v>
      </c>
      <c r="J19" s="167">
        <v>2529170.9259377425</v>
      </c>
    </row>
    <row r="20" spans="1:35" s="724" customFormat="1">
      <c r="A20" s="719"/>
      <c r="B20" s="719"/>
      <c r="C20" s="719" t="s">
        <v>1164</v>
      </c>
      <c r="D20" s="167">
        <v>382007</v>
      </c>
      <c r="E20" s="167">
        <v>3478523</v>
      </c>
      <c r="F20" s="167">
        <v>2811150</v>
      </c>
      <c r="G20" s="167">
        <v>663971.14999999991</v>
      </c>
      <c r="H20" s="167">
        <v>669401.35</v>
      </c>
      <c r="I20" s="167">
        <v>678014.05</v>
      </c>
      <c r="J20" s="167">
        <v>688125.85</v>
      </c>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row>
    <row r="21" spans="1:35" s="724" customFormat="1">
      <c r="A21" s="719"/>
      <c r="B21" s="719"/>
      <c r="C21" s="719" t="s">
        <v>1165</v>
      </c>
      <c r="D21" s="167">
        <v>0</v>
      </c>
      <c r="E21" s="167">
        <v>0</v>
      </c>
      <c r="F21" s="167">
        <v>0</v>
      </c>
      <c r="G21" s="167">
        <v>0</v>
      </c>
      <c r="H21" s="167">
        <v>0</v>
      </c>
      <c r="I21" s="167">
        <v>0</v>
      </c>
      <c r="J21" s="167">
        <v>0</v>
      </c>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row>
    <row r="22" spans="1:35" s="724" customFormat="1">
      <c r="A22" s="719"/>
      <c r="B22" s="719"/>
      <c r="C22" s="719" t="s">
        <v>1166</v>
      </c>
      <c r="D22" s="167">
        <v>52037</v>
      </c>
      <c r="E22" s="167">
        <v>0</v>
      </c>
      <c r="F22" s="167">
        <v>0</v>
      </c>
      <c r="G22" s="167">
        <v>0</v>
      </c>
      <c r="H22" s="167">
        <v>0</v>
      </c>
      <c r="I22" s="167">
        <v>0</v>
      </c>
      <c r="J22" s="167">
        <v>0</v>
      </c>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row>
    <row r="23" spans="1:35">
      <c r="A23" s="719"/>
      <c r="B23" s="719"/>
      <c r="C23" s="719" t="s">
        <v>1167</v>
      </c>
      <c r="D23" s="167">
        <v>71597</v>
      </c>
      <c r="E23" s="167">
        <v>0</v>
      </c>
      <c r="F23" s="167">
        <v>0</v>
      </c>
      <c r="G23" s="167">
        <v>80635.047073841779</v>
      </c>
      <c r="H23" s="167">
        <v>89826.349427201581</v>
      </c>
      <c r="I23" s="167">
        <v>91446.460441055402</v>
      </c>
      <c r="J23" s="167">
        <v>107448.47726493949</v>
      </c>
    </row>
    <row r="24" spans="1:35">
      <c r="A24" s="719"/>
      <c r="B24" s="719"/>
      <c r="C24" s="719" t="s">
        <v>1168</v>
      </c>
      <c r="D24" s="167">
        <v>0</v>
      </c>
      <c r="E24" s="167">
        <v>0</v>
      </c>
      <c r="F24" s="167">
        <v>0</v>
      </c>
      <c r="G24" s="167">
        <v>557718.12377428997</v>
      </c>
      <c r="H24" s="167">
        <v>563838.30207260489</v>
      </c>
      <c r="I24" s="167">
        <v>640100.15956503211</v>
      </c>
      <c r="J24" s="167">
        <v>650806.68695212144</v>
      </c>
    </row>
    <row r="25" spans="1:35">
      <c r="A25" s="719"/>
      <c r="B25" s="719"/>
      <c r="C25" s="719" t="s">
        <v>1169</v>
      </c>
      <c r="D25" s="167">
        <v>12070</v>
      </c>
      <c r="E25" s="167">
        <v>0</v>
      </c>
      <c r="F25" s="167">
        <v>0</v>
      </c>
      <c r="G25" s="167">
        <v>83363.775858420689</v>
      </c>
      <c r="H25" s="167">
        <v>84051.129972462368</v>
      </c>
      <c r="I25" s="167">
        <v>85137.260779932229</v>
      </c>
      <c r="J25" s="167">
        <v>86411.014710360992</v>
      </c>
    </row>
    <row r="26" spans="1:35">
      <c r="A26" s="719"/>
      <c r="B26" s="719"/>
      <c r="C26" s="719" t="s">
        <v>1170</v>
      </c>
      <c r="D26" s="167">
        <v>1056</v>
      </c>
      <c r="E26" s="167">
        <v>0</v>
      </c>
      <c r="F26" s="167">
        <v>0</v>
      </c>
      <c r="G26" s="167">
        <v>9529.1543761732137</v>
      </c>
      <c r="H26" s="167">
        <v>9607.0892605288172</v>
      </c>
      <c r="I26" s="167">
        <v>9730.6426609552636</v>
      </c>
      <c r="J26" s="167">
        <v>9875.8257026695173</v>
      </c>
    </row>
    <row r="27" spans="1:35">
      <c r="A27" s="719"/>
      <c r="B27" s="719"/>
      <c r="C27" s="719" t="s">
        <v>1171</v>
      </c>
      <c r="D27" s="167">
        <v>0</v>
      </c>
      <c r="E27" s="167">
        <v>0</v>
      </c>
      <c r="F27" s="167">
        <v>0</v>
      </c>
      <c r="G27" s="167">
        <v>8115.4995248446394</v>
      </c>
      <c r="H27" s="167">
        <v>8181.9035382064085</v>
      </c>
      <c r="I27" s="167">
        <v>8287.0821608586011</v>
      </c>
      <c r="J27" s="167">
        <v>8410.8387495696843</v>
      </c>
    </row>
    <row r="28" spans="1:35">
      <c r="A28" s="719"/>
      <c r="B28" s="719"/>
      <c r="C28" s="719" t="s">
        <v>1172</v>
      </c>
      <c r="D28" s="167">
        <v>0</v>
      </c>
      <c r="E28" s="167">
        <v>0</v>
      </c>
      <c r="F28" s="167">
        <v>0</v>
      </c>
      <c r="G28" s="167">
        <v>7318.2590920992425</v>
      </c>
      <c r="H28" s="167">
        <v>7378.103105766756</v>
      </c>
      <c r="I28" s="167">
        <v>7473.0159745454594</v>
      </c>
      <c r="J28" s="167">
        <v>7584.5123237425069</v>
      </c>
    </row>
    <row r="29" spans="1:35">
      <c r="A29" s="719"/>
      <c r="B29" s="719"/>
      <c r="C29" s="719" t="s">
        <v>1173</v>
      </c>
      <c r="D29" s="167">
        <v>55458</v>
      </c>
      <c r="E29" s="167">
        <v>0</v>
      </c>
      <c r="F29" s="167">
        <v>0</v>
      </c>
      <c r="G29" s="167">
        <v>142124.00935876922</v>
      </c>
      <c r="H29" s="167">
        <v>143285.71552206791</v>
      </c>
      <c r="I29" s="167">
        <v>145129.65351491584</v>
      </c>
      <c r="J29" s="167">
        <v>147294.08384106777</v>
      </c>
    </row>
    <row r="30" spans="1:35">
      <c r="A30" s="719"/>
      <c r="B30" s="719"/>
      <c r="C30" s="719" t="s">
        <v>1174</v>
      </c>
      <c r="D30" s="167">
        <v>0</v>
      </c>
      <c r="E30" s="167">
        <v>0</v>
      </c>
      <c r="F30" s="167">
        <v>0</v>
      </c>
      <c r="G30" s="167">
        <v>44826.464905326786</v>
      </c>
      <c r="H30" s="167">
        <v>45193.024960273775</v>
      </c>
      <c r="I30" s="167">
        <v>45461.7</v>
      </c>
      <c r="J30" s="167">
        <v>46139.663947123918</v>
      </c>
    </row>
    <row r="31" spans="1:35">
      <c r="A31" s="719"/>
      <c r="B31" s="719"/>
      <c r="C31" s="719" t="s">
        <v>1175</v>
      </c>
      <c r="D31" s="167">
        <v>0</v>
      </c>
      <c r="E31" s="167">
        <v>0</v>
      </c>
      <c r="F31" s="167">
        <v>0</v>
      </c>
      <c r="G31" s="167">
        <v>192896.91141392951</v>
      </c>
      <c r="H31" s="167">
        <v>194474.75103444056</v>
      </c>
      <c r="I31" s="167">
        <v>196977.19929039452</v>
      </c>
      <c r="J31" s="167">
        <v>199914.57711689433</v>
      </c>
    </row>
    <row r="32" spans="1:35">
      <c r="A32" s="719"/>
      <c r="B32" s="719"/>
      <c r="C32" s="719" t="s">
        <v>1176</v>
      </c>
      <c r="D32" s="167">
        <v>0</v>
      </c>
      <c r="E32" s="167">
        <v>0</v>
      </c>
      <c r="F32" s="167">
        <v>0</v>
      </c>
      <c r="G32" s="167">
        <v>7613.8549657555286</v>
      </c>
      <c r="H32" s="167">
        <v>7676.1169188109343</v>
      </c>
      <c r="I32" s="167">
        <v>7774.8624172191603</v>
      </c>
      <c r="J32" s="167">
        <v>7890.8032615157463</v>
      </c>
    </row>
    <row r="33" spans="1:35">
      <c r="A33" s="719"/>
      <c r="B33" s="719"/>
      <c r="C33" s="719" t="s">
        <v>1177</v>
      </c>
      <c r="D33" s="167">
        <v>0</v>
      </c>
      <c r="E33" s="167">
        <v>0</v>
      </c>
      <c r="F33" s="167">
        <v>0</v>
      </c>
      <c r="G33" s="167">
        <v>0</v>
      </c>
      <c r="H33" s="167">
        <v>0</v>
      </c>
      <c r="I33" s="167">
        <v>0</v>
      </c>
      <c r="J33" s="167">
        <v>0</v>
      </c>
    </row>
    <row r="34" spans="1:35" s="724" customFormat="1">
      <c r="A34" s="719"/>
      <c r="B34" s="719"/>
      <c r="C34" s="725" t="s">
        <v>1178</v>
      </c>
      <c r="D34" s="167">
        <v>161524</v>
      </c>
      <c r="E34" s="167">
        <v>1687140</v>
      </c>
      <c r="F34" s="167">
        <v>1237140</v>
      </c>
      <c r="G34" s="167">
        <v>1184895</v>
      </c>
      <c r="H34" s="167">
        <v>1153021</v>
      </c>
      <c r="I34" s="167">
        <v>1127182</v>
      </c>
      <c r="J34" s="167">
        <v>1177600</v>
      </c>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row>
    <row r="35" spans="1:35">
      <c r="A35" s="719"/>
      <c r="B35" s="719"/>
      <c r="C35" s="719" t="s">
        <v>1179</v>
      </c>
      <c r="D35" s="167">
        <v>1087629</v>
      </c>
      <c r="E35" s="167">
        <v>2876355</v>
      </c>
      <c r="F35" s="167">
        <v>3608126</v>
      </c>
      <c r="G35" s="167">
        <v>3408517.3661406385</v>
      </c>
      <c r="H35" s="167">
        <v>3742845.0574142076</v>
      </c>
      <c r="I35" s="167">
        <v>3786190.6666797181</v>
      </c>
      <c r="J35" s="167">
        <v>3778680.6568760239</v>
      </c>
    </row>
    <row r="36" spans="1:35">
      <c r="A36" s="719"/>
      <c r="B36" s="723" t="s">
        <v>1180</v>
      </c>
      <c r="C36" s="723"/>
      <c r="D36" s="954">
        <f>SUM(D19:D35)</f>
        <v>2790237</v>
      </c>
      <c r="E36" s="954">
        <f t="shared" ref="E36:J36" si="2">SUM(E19:E35)</f>
        <v>9280485</v>
      </c>
      <c r="F36" s="954">
        <f t="shared" si="2"/>
        <v>9684212</v>
      </c>
      <c r="G36" s="954">
        <f t="shared" si="2"/>
        <v>8841555.1444929987</v>
      </c>
      <c r="H36" s="954">
        <f t="shared" si="2"/>
        <v>9336703.2928178404</v>
      </c>
      <c r="I36" s="954">
        <f t="shared" si="2"/>
        <v>9371296.1991993953</v>
      </c>
      <c r="J36" s="954">
        <f t="shared" si="2"/>
        <v>9445353.9166837726</v>
      </c>
    </row>
    <row r="37" spans="1:35">
      <c r="A37" s="723" t="s">
        <v>1195</v>
      </c>
      <c r="B37" s="723"/>
      <c r="C37" s="723"/>
      <c r="D37" s="954">
        <f>+D36+D18</f>
        <v>5142917</v>
      </c>
      <c r="E37" s="954">
        <f t="shared" ref="E37:J37" si="3">+E36+E18</f>
        <v>11301515</v>
      </c>
      <c r="F37" s="954">
        <f t="shared" si="3"/>
        <v>11765873</v>
      </c>
      <c r="G37" s="954">
        <f t="shared" si="3"/>
        <v>11837519.458088361</v>
      </c>
      <c r="H37" s="954">
        <f t="shared" si="3"/>
        <v>12414832.004593186</v>
      </c>
      <c r="I37" s="954">
        <f t="shared" si="3"/>
        <v>12514013.998096727</v>
      </c>
      <c r="J37" s="954">
        <f t="shared" si="3"/>
        <v>12659265.696089793</v>
      </c>
    </row>
    <row r="38" spans="1:35">
      <c r="A38" s="719"/>
      <c r="B38" s="719" t="s">
        <v>1182</v>
      </c>
      <c r="C38" s="719" t="s">
        <v>1183</v>
      </c>
      <c r="D38" s="955"/>
      <c r="E38" s="955"/>
      <c r="F38" s="955"/>
      <c r="G38" s="955">
        <v>1403083</v>
      </c>
      <c r="H38" s="955">
        <v>1446555</v>
      </c>
      <c r="I38" s="955">
        <v>1483318</v>
      </c>
      <c r="J38" s="955">
        <v>1521593</v>
      </c>
    </row>
    <row r="39" spans="1:35" hidden="1">
      <c r="D39" s="42"/>
      <c r="E39" s="42"/>
      <c r="F39" s="42"/>
      <c r="G39" s="42"/>
      <c r="H39" s="42"/>
      <c r="I39" s="42"/>
      <c r="J39" s="42"/>
    </row>
    <row r="40" spans="1:35">
      <c r="A40" s="266" t="s">
        <v>297</v>
      </c>
      <c r="B40" s="1369" t="s">
        <v>1184</v>
      </c>
      <c r="C40" s="1369"/>
    </row>
    <row r="41" spans="1:35">
      <c r="B41" s="148" t="s">
        <v>1185</v>
      </c>
      <c r="G41" s="726"/>
      <c r="H41" s="726"/>
      <c r="I41" s="726"/>
      <c r="J41" s="726"/>
    </row>
    <row r="42" spans="1:35">
      <c r="G42" s="726"/>
      <c r="H42" s="726"/>
      <c r="I42" s="726"/>
      <c r="J42" s="726"/>
    </row>
    <row r="43" spans="1:35">
      <c r="G43" s="726"/>
      <c r="H43" s="726"/>
      <c r="I43" s="726"/>
      <c r="J43" s="726"/>
    </row>
  </sheetData>
  <mergeCells count="1">
    <mergeCell ref="B40:C40"/>
  </mergeCells>
  <pageMargins left="0.7" right="0.7" top="0.75" bottom="0.75" header="0.3" footer="0.3"/>
  <pageSetup paperSize="3"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C2706-140A-40A5-B9EA-D566045CDD0B}">
  <sheetPr codeName="Sheet22">
    <pageSetUpPr fitToPage="1"/>
  </sheetPr>
  <dimension ref="A1:AL43"/>
  <sheetViews>
    <sheetView zoomScaleNormal="100" workbookViewId="0"/>
  </sheetViews>
  <sheetFormatPr defaultColWidth="8.625" defaultRowHeight="14.25"/>
  <cols>
    <col min="1" max="1" width="11.25" style="266" customWidth="1"/>
    <col min="2" max="2" width="10.75" style="266" customWidth="1"/>
    <col min="3" max="3" width="51.75" style="266" customWidth="1"/>
    <col min="4" max="10" width="15.375" style="266" customWidth="1"/>
    <col min="11" max="16384" width="8.625" style="266"/>
  </cols>
  <sheetData>
    <row r="1" spans="1:10">
      <c r="A1" s="175" t="s">
        <v>98</v>
      </c>
      <c r="B1" s="176" t="str">
        <f>PA_NAME</f>
        <v>SoCalGas</v>
      </c>
      <c r="C1" s="108"/>
    </row>
    <row r="2" spans="1:10">
      <c r="A2" s="175" t="s">
        <v>99</v>
      </c>
      <c r="B2" s="888" t="s">
        <v>303</v>
      </c>
    </row>
    <row r="3" spans="1:10">
      <c r="A3" s="10" t="s">
        <v>1196</v>
      </c>
    </row>
    <row r="6" spans="1:10">
      <c r="A6" s="719"/>
      <c r="B6" s="719"/>
      <c r="C6" s="719"/>
      <c r="D6" s="719"/>
      <c r="E6" s="719"/>
      <c r="F6" s="719"/>
      <c r="G6" s="719"/>
      <c r="H6" s="719"/>
      <c r="I6" s="719"/>
      <c r="J6" s="719"/>
    </row>
    <row r="7" spans="1:10" ht="28.5">
      <c r="A7" s="720" t="s">
        <v>929</v>
      </c>
      <c r="B7" s="719" t="s">
        <v>1156</v>
      </c>
      <c r="C7" s="719" t="s">
        <v>1142</v>
      </c>
      <c r="D7" s="721" t="s">
        <v>1119</v>
      </c>
      <c r="E7" s="721" t="s">
        <v>1157</v>
      </c>
      <c r="F7" s="721" t="s">
        <v>1158</v>
      </c>
      <c r="G7" s="721" t="s">
        <v>1120</v>
      </c>
      <c r="H7" s="721" t="s">
        <v>1121</v>
      </c>
      <c r="I7" s="721" t="s">
        <v>1122</v>
      </c>
      <c r="J7" s="721" t="s">
        <v>1123</v>
      </c>
    </row>
    <row r="8" spans="1:10">
      <c r="A8" s="719" t="s">
        <v>1197</v>
      </c>
      <c r="B8" s="719" t="s">
        <v>1159</v>
      </c>
      <c r="C8" s="722" t="s">
        <v>1065</v>
      </c>
      <c r="D8" s="167">
        <v>2257</v>
      </c>
      <c r="E8" s="167">
        <v>225823</v>
      </c>
      <c r="F8" s="167">
        <v>232598</v>
      </c>
      <c r="G8" s="167">
        <v>128971.43031106045</v>
      </c>
      <c r="H8" s="167">
        <v>132585.6982854532</v>
      </c>
      <c r="I8" s="167">
        <v>136538.16708089985</v>
      </c>
      <c r="J8" s="167">
        <v>140281.8451066066</v>
      </c>
    </row>
    <row r="9" spans="1:10">
      <c r="A9" s="719"/>
      <c r="B9" s="719"/>
      <c r="C9" s="722" t="s">
        <v>1150</v>
      </c>
      <c r="D9" s="167">
        <v>2540876</v>
      </c>
      <c r="E9" s="167">
        <v>2425444</v>
      </c>
      <c r="F9" s="167">
        <v>2498206</v>
      </c>
      <c r="G9" s="167">
        <v>2243296.7933126562</v>
      </c>
      <c r="H9" s="167">
        <v>2301451.5407968778</v>
      </c>
      <c r="I9" s="167">
        <v>2364506.5894747167</v>
      </c>
      <c r="J9" s="167">
        <v>2430489.3416125393</v>
      </c>
    </row>
    <row r="10" spans="1:10">
      <c r="A10" s="719"/>
      <c r="B10" s="719"/>
      <c r="C10" s="722" t="s">
        <v>1160</v>
      </c>
      <c r="D10" s="167">
        <v>33318</v>
      </c>
      <c r="E10" s="167">
        <v>0</v>
      </c>
      <c r="F10" s="167">
        <v>0</v>
      </c>
      <c r="G10" s="167">
        <v>57371.457936160827</v>
      </c>
      <c r="H10" s="167">
        <v>58708.703061775042</v>
      </c>
      <c r="I10" s="167">
        <v>60193.185218505168</v>
      </c>
      <c r="J10" s="167">
        <v>61759.476468380162</v>
      </c>
    </row>
    <row r="11" spans="1:10">
      <c r="A11" s="719"/>
      <c r="B11" s="719"/>
      <c r="C11" s="722" t="s">
        <v>1151</v>
      </c>
      <c r="D11" s="167">
        <v>0</v>
      </c>
      <c r="E11" s="167">
        <v>0</v>
      </c>
      <c r="F11" s="167">
        <v>0</v>
      </c>
      <c r="G11" s="167">
        <v>0</v>
      </c>
      <c r="H11" s="167">
        <v>0</v>
      </c>
      <c r="I11" s="167">
        <v>0</v>
      </c>
      <c r="J11" s="167">
        <v>0</v>
      </c>
    </row>
    <row r="12" spans="1:10">
      <c r="A12" s="719"/>
      <c r="B12" s="719"/>
      <c r="C12" s="722" t="s">
        <v>1152</v>
      </c>
      <c r="D12" s="167">
        <v>0</v>
      </c>
      <c r="E12" s="167">
        <v>0</v>
      </c>
      <c r="F12" s="167">
        <v>0</v>
      </c>
      <c r="G12" s="167">
        <v>0</v>
      </c>
      <c r="H12" s="167">
        <v>0</v>
      </c>
      <c r="I12" s="167">
        <v>0</v>
      </c>
      <c r="J12" s="167">
        <v>0</v>
      </c>
    </row>
    <row r="13" spans="1:10">
      <c r="A13" s="719"/>
      <c r="B13" s="719"/>
      <c r="C13" s="722" t="s">
        <v>1091</v>
      </c>
      <c r="D13" s="167">
        <v>31698</v>
      </c>
      <c r="E13" s="167">
        <v>43096</v>
      </c>
      <c r="F13" s="167">
        <v>44389</v>
      </c>
      <c r="G13" s="167">
        <v>20304.207198640303</v>
      </c>
      <c r="H13" s="167">
        <v>20844.055627431368</v>
      </c>
      <c r="I13" s="167">
        <v>21426.308386050438</v>
      </c>
      <c r="J13" s="167">
        <v>22034.380070957424</v>
      </c>
    </row>
    <row r="14" spans="1:10">
      <c r="A14" s="719"/>
      <c r="B14" s="719"/>
      <c r="C14" s="722" t="s">
        <v>1153</v>
      </c>
      <c r="D14" s="167">
        <v>302026</v>
      </c>
      <c r="E14" s="167">
        <v>137907</v>
      </c>
      <c r="F14" s="167">
        <v>142044</v>
      </c>
      <c r="G14" s="167">
        <v>102831.1466471006</v>
      </c>
      <c r="H14" s="167">
        <v>97916.693962226418</v>
      </c>
      <c r="I14" s="167">
        <v>92571.767574579222</v>
      </c>
      <c r="J14" s="167">
        <v>79406.220529774189</v>
      </c>
    </row>
    <row r="15" spans="1:10">
      <c r="A15" s="719"/>
      <c r="B15" s="719"/>
      <c r="C15" s="722" t="s">
        <v>1106</v>
      </c>
      <c r="D15" s="167">
        <v>0</v>
      </c>
      <c r="E15" s="167">
        <v>0</v>
      </c>
      <c r="F15" s="167">
        <v>0</v>
      </c>
      <c r="G15" s="167">
        <v>0</v>
      </c>
      <c r="H15" s="167">
        <v>0</v>
      </c>
      <c r="I15" s="167">
        <v>0</v>
      </c>
      <c r="J15" s="167">
        <v>0</v>
      </c>
    </row>
    <row r="16" spans="1:10">
      <c r="A16" s="719"/>
      <c r="B16" s="719"/>
      <c r="C16" s="722" t="s">
        <v>1109</v>
      </c>
      <c r="D16" s="167">
        <v>7120</v>
      </c>
      <c r="E16" s="167">
        <v>126185</v>
      </c>
      <c r="F16" s="167">
        <v>129971</v>
      </c>
      <c r="G16" s="167">
        <v>14413.160086024045</v>
      </c>
      <c r="H16" s="167">
        <v>14796.524734171955</v>
      </c>
      <c r="I16" s="167">
        <v>15209.62716085224</v>
      </c>
      <c r="J16" s="167">
        <v>15641.535204777958</v>
      </c>
    </row>
    <row r="17" spans="1:38">
      <c r="A17" s="719"/>
      <c r="B17" s="719"/>
      <c r="C17" s="722" t="s">
        <v>1114</v>
      </c>
      <c r="D17" s="167">
        <v>0</v>
      </c>
      <c r="E17" s="167">
        <v>0</v>
      </c>
      <c r="F17" s="167">
        <v>0</v>
      </c>
      <c r="G17" s="167">
        <v>0</v>
      </c>
      <c r="H17" s="167">
        <v>0</v>
      </c>
      <c r="I17" s="167">
        <v>0</v>
      </c>
      <c r="J17" s="167">
        <v>0</v>
      </c>
    </row>
    <row r="18" spans="1:38">
      <c r="A18" s="719"/>
      <c r="B18" s="723" t="s">
        <v>1161</v>
      </c>
      <c r="C18" s="723"/>
      <c r="D18" s="954">
        <f>SUM(D8:D17)</f>
        <v>2917295</v>
      </c>
      <c r="E18" s="954">
        <f t="shared" ref="E18:F18" si="0">SUM(E8:E17)</f>
        <v>2958455</v>
      </c>
      <c r="F18" s="954">
        <f t="shared" si="0"/>
        <v>3047208</v>
      </c>
      <c r="G18" s="954">
        <f t="shared" ref="G18:J18" si="1">SUM(G8:G17)</f>
        <v>2567188.1954916427</v>
      </c>
      <c r="H18" s="954">
        <f t="shared" si="1"/>
        <v>2626303.2164679356</v>
      </c>
      <c r="I18" s="954">
        <f t="shared" si="1"/>
        <v>2690445.6448956034</v>
      </c>
      <c r="J18" s="954">
        <f t="shared" si="1"/>
        <v>2749612.7989930352</v>
      </c>
    </row>
    <row r="19" spans="1:38">
      <c r="A19" s="719"/>
      <c r="B19" s="719" t="s">
        <v>1162</v>
      </c>
      <c r="C19" s="719" t="s">
        <v>1163</v>
      </c>
      <c r="D19" s="167">
        <v>2318972</v>
      </c>
      <c r="E19" s="167">
        <v>2646734</v>
      </c>
      <c r="F19" s="167">
        <v>3613495</v>
      </c>
      <c r="G19" s="167">
        <v>6166916.5127999997</v>
      </c>
      <c r="H19" s="167">
        <v>6166916.5127999997</v>
      </c>
      <c r="I19" s="167">
        <v>6166916.5127999997</v>
      </c>
      <c r="J19" s="167">
        <v>6166916.5127999997</v>
      </c>
    </row>
    <row r="20" spans="1:38" s="724" customFormat="1">
      <c r="A20" s="719"/>
      <c r="B20" s="719"/>
      <c r="C20" s="719" t="s">
        <v>1164</v>
      </c>
      <c r="D20" s="167">
        <v>0</v>
      </c>
      <c r="E20" s="167">
        <v>0</v>
      </c>
      <c r="F20" s="167">
        <v>0</v>
      </c>
      <c r="G20" s="167">
        <v>0</v>
      </c>
      <c r="H20" s="167">
        <v>0</v>
      </c>
      <c r="I20" s="167">
        <v>0</v>
      </c>
      <c r="J20" s="167">
        <v>0</v>
      </c>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66"/>
      <c r="AL20" s="266"/>
    </row>
    <row r="21" spans="1:38" s="724" customFormat="1">
      <c r="A21" s="719"/>
      <c r="B21" s="719"/>
      <c r="C21" s="719" t="s">
        <v>1165</v>
      </c>
      <c r="D21" s="167">
        <v>0</v>
      </c>
      <c r="E21" s="167">
        <v>0</v>
      </c>
      <c r="F21" s="167">
        <v>0</v>
      </c>
      <c r="G21" s="167">
        <v>0</v>
      </c>
      <c r="H21" s="167">
        <v>0</v>
      </c>
      <c r="I21" s="167">
        <v>0</v>
      </c>
      <c r="J21" s="167">
        <v>0</v>
      </c>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row>
    <row r="22" spans="1:38" s="724" customFormat="1">
      <c r="A22" s="719"/>
      <c r="B22" s="719"/>
      <c r="C22" s="719" t="s">
        <v>1166</v>
      </c>
      <c r="D22" s="167">
        <v>535791</v>
      </c>
      <c r="E22" s="167">
        <v>748779</v>
      </c>
      <c r="F22" s="167">
        <v>757862</v>
      </c>
      <c r="G22" s="167">
        <v>387223.2</v>
      </c>
      <c r="H22" s="167">
        <v>390389.99999999994</v>
      </c>
      <c r="I22" s="167">
        <v>395413.19999999995</v>
      </c>
      <c r="J22" s="167">
        <v>401309.99999999994</v>
      </c>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266"/>
      <c r="AL22" s="266"/>
    </row>
    <row r="23" spans="1:38">
      <c r="A23" s="719"/>
      <c r="B23" s="719"/>
      <c r="C23" s="719" t="s">
        <v>1167</v>
      </c>
      <c r="D23" s="167">
        <v>0</v>
      </c>
      <c r="E23" s="167">
        <v>0</v>
      </c>
      <c r="F23" s="167">
        <v>0</v>
      </c>
      <c r="G23" s="167">
        <v>71749.519822433154</v>
      </c>
      <c r="H23" s="167">
        <v>76323.916698521149</v>
      </c>
      <c r="I23" s="167">
        <v>77446.944334048327</v>
      </c>
      <c r="J23" s="167">
        <v>90523.277085198817</v>
      </c>
    </row>
    <row r="24" spans="1:38">
      <c r="A24" s="719"/>
      <c r="B24" s="719"/>
      <c r="C24" s="719" t="s">
        <v>1168</v>
      </c>
      <c r="D24" s="167">
        <v>1097300</v>
      </c>
      <c r="E24" s="167">
        <v>1408503</v>
      </c>
      <c r="F24" s="167">
        <v>1423864</v>
      </c>
      <c r="G24" s="167">
        <v>658707.20669807796</v>
      </c>
      <c r="H24" s="167">
        <v>663274.53207952064</v>
      </c>
      <c r="I24" s="167">
        <v>671133.91642884922</v>
      </c>
      <c r="J24" s="167">
        <v>680533.7964476198</v>
      </c>
    </row>
    <row r="25" spans="1:38">
      <c r="A25" s="719"/>
      <c r="B25" s="719"/>
      <c r="C25" s="719" t="s">
        <v>1169</v>
      </c>
      <c r="D25" s="167">
        <v>114</v>
      </c>
      <c r="E25" s="167">
        <v>0</v>
      </c>
      <c r="F25" s="167">
        <v>0</v>
      </c>
      <c r="G25" s="167">
        <v>13051.54206383917</v>
      </c>
      <c r="H25" s="167">
        <v>13116.296938224958</v>
      </c>
      <c r="I25" s="167">
        <v>13250.814781494828</v>
      </c>
      <c r="J25" s="167">
        <v>13417.52353161984</v>
      </c>
    </row>
    <row r="26" spans="1:38">
      <c r="A26" s="719"/>
      <c r="B26" s="719"/>
      <c r="C26" s="719" t="s">
        <v>1170</v>
      </c>
      <c r="D26" s="167">
        <v>0</v>
      </c>
      <c r="E26" s="167">
        <v>0</v>
      </c>
      <c r="F26" s="167">
        <v>0</v>
      </c>
      <c r="G26" s="167">
        <v>0</v>
      </c>
      <c r="H26" s="167">
        <v>0</v>
      </c>
      <c r="I26" s="167">
        <v>0</v>
      </c>
      <c r="J26" s="167">
        <v>0</v>
      </c>
    </row>
    <row r="27" spans="1:38">
      <c r="A27" s="719"/>
      <c r="B27" s="719"/>
      <c r="C27" s="719" t="s">
        <v>1171</v>
      </c>
      <c r="D27" s="167">
        <v>0</v>
      </c>
      <c r="E27" s="167">
        <v>0</v>
      </c>
      <c r="F27" s="167">
        <v>0</v>
      </c>
      <c r="G27" s="167">
        <v>0</v>
      </c>
      <c r="H27" s="167">
        <v>0</v>
      </c>
      <c r="I27" s="167">
        <v>0</v>
      </c>
      <c r="J27" s="167">
        <v>0</v>
      </c>
    </row>
    <row r="28" spans="1:38">
      <c r="A28" s="719"/>
      <c r="B28" s="719"/>
      <c r="C28" s="719" t="s">
        <v>1172</v>
      </c>
      <c r="D28" s="167">
        <v>0</v>
      </c>
      <c r="E28" s="167">
        <v>0</v>
      </c>
      <c r="F28" s="167">
        <v>0</v>
      </c>
      <c r="G28" s="167">
        <v>3444.0489716228135</v>
      </c>
      <c r="H28" s="167">
        <v>3472.2277675098048</v>
      </c>
      <c r="I28" s="167">
        <v>3516.8988019927947</v>
      </c>
      <c r="J28" s="167">
        <v>3569.3314184346541</v>
      </c>
    </row>
    <row r="29" spans="1:38">
      <c r="A29" s="719"/>
      <c r="B29" s="719"/>
      <c r="C29" s="719" t="s">
        <v>1173</v>
      </c>
      <c r="D29" s="167">
        <v>9951</v>
      </c>
      <c r="E29" s="167">
        <v>130000</v>
      </c>
      <c r="F29" s="167">
        <v>133900</v>
      </c>
      <c r="G29" s="167">
        <v>177654.8533528994</v>
      </c>
      <c r="H29" s="167">
        <v>179107.30603777358</v>
      </c>
      <c r="I29" s="167">
        <v>181412.23242542078</v>
      </c>
      <c r="J29" s="167">
        <v>184117.77947022583</v>
      </c>
    </row>
    <row r="30" spans="1:38">
      <c r="A30" s="719"/>
      <c r="B30" s="719"/>
      <c r="C30" s="719" t="s">
        <v>1174</v>
      </c>
      <c r="D30" s="167">
        <v>0</v>
      </c>
      <c r="E30" s="167">
        <v>0</v>
      </c>
      <c r="F30" s="167">
        <v>0</v>
      </c>
      <c r="G30" s="167">
        <v>0</v>
      </c>
      <c r="H30" s="167">
        <v>0</v>
      </c>
      <c r="I30" s="167">
        <v>0</v>
      </c>
      <c r="J30" s="167">
        <v>0</v>
      </c>
    </row>
    <row r="31" spans="1:38">
      <c r="A31" s="719"/>
      <c r="B31" s="719"/>
      <c r="C31" s="719" t="s">
        <v>1175</v>
      </c>
      <c r="D31" s="167">
        <v>247011</v>
      </c>
      <c r="E31" s="167">
        <v>50000</v>
      </c>
      <c r="F31" s="167">
        <v>50000</v>
      </c>
      <c r="G31" s="167">
        <v>24611.839913975953</v>
      </c>
      <c r="H31" s="167">
        <v>24813.475265828049</v>
      </c>
      <c r="I31" s="167">
        <v>25132.37283914776</v>
      </c>
      <c r="J31" s="167">
        <v>25507.46479522204</v>
      </c>
    </row>
    <row r="32" spans="1:38">
      <c r="A32" s="719"/>
      <c r="B32" s="719"/>
      <c r="C32" s="719" t="s">
        <v>1176</v>
      </c>
      <c r="D32" s="167">
        <v>0</v>
      </c>
      <c r="E32" s="167">
        <v>0</v>
      </c>
      <c r="F32" s="167">
        <v>0</v>
      </c>
      <c r="G32" s="167">
        <v>0</v>
      </c>
      <c r="H32" s="167">
        <v>0</v>
      </c>
      <c r="I32" s="167">
        <v>0</v>
      </c>
      <c r="J32" s="167">
        <v>0</v>
      </c>
    </row>
    <row r="33" spans="1:38">
      <c r="A33" s="719"/>
      <c r="B33" s="719"/>
      <c r="C33" s="719" t="s">
        <v>1177</v>
      </c>
      <c r="D33" s="167">
        <v>0</v>
      </c>
      <c r="E33" s="167">
        <v>0</v>
      </c>
      <c r="F33" s="167">
        <v>0</v>
      </c>
      <c r="G33" s="167">
        <v>0</v>
      </c>
      <c r="H33" s="167">
        <v>0</v>
      </c>
      <c r="I33" s="167">
        <v>0</v>
      </c>
      <c r="J33" s="167">
        <v>0</v>
      </c>
    </row>
    <row r="34" spans="1:38" s="724" customFormat="1">
      <c r="A34" s="719"/>
      <c r="B34" s="719"/>
      <c r="C34" s="725" t="s">
        <v>1178</v>
      </c>
      <c r="D34" s="167">
        <v>0</v>
      </c>
      <c r="E34" s="167">
        <v>0</v>
      </c>
      <c r="F34" s="167">
        <v>0</v>
      </c>
      <c r="G34" s="167">
        <v>1000000</v>
      </c>
      <c r="H34" s="167">
        <v>1000000</v>
      </c>
      <c r="I34" s="167">
        <v>1000000</v>
      </c>
      <c r="J34" s="167">
        <v>1000000</v>
      </c>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266"/>
      <c r="AL34" s="266"/>
    </row>
    <row r="35" spans="1:38">
      <c r="A35" s="719"/>
      <c r="B35" s="719"/>
      <c r="C35" s="719" t="s">
        <v>1179</v>
      </c>
      <c r="D35" s="167">
        <v>0</v>
      </c>
      <c r="E35" s="167">
        <v>0</v>
      </c>
      <c r="F35" s="167">
        <v>0</v>
      </c>
      <c r="G35" s="167">
        <v>1110200</v>
      </c>
      <c r="H35" s="167">
        <v>1110200</v>
      </c>
      <c r="I35" s="167">
        <v>1110200</v>
      </c>
      <c r="J35" s="167">
        <v>1110200</v>
      </c>
    </row>
    <row r="36" spans="1:38">
      <c r="A36" s="719"/>
      <c r="B36" s="723" t="s">
        <v>1180</v>
      </c>
      <c r="C36" s="723"/>
      <c r="D36" s="954">
        <f>SUM(D19:D35)</f>
        <v>4209139</v>
      </c>
      <c r="E36" s="954">
        <f t="shared" ref="E36:J36" si="2">SUM(E19:E35)</f>
        <v>4984016</v>
      </c>
      <c r="F36" s="954">
        <f t="shared" si="2"/>
        <v>5979121</v>
      </c>
      <c r="G36" s="954">
        <f t="shared" si="2"/>
        <v>9613558.7236228492</v>
      </c>
      <c r="H36" s="954">
        <f t="shared" si="2"/>
        <v>9627614.2675873768</v>
      </c>
      <c r="I36" s="954">
        <f t="shared" si="2"/>
        <v>9644422.8924109526</v>
      </c>
      <c r="J36" s="954">
        <f t="shared" si="2"/>
        <v>9676095.6855483204</v>
      </c>
    </row>
    <row r="37" spans="1:38">
      <c r="A37" s="723" t="s">
        <v>1198</v>
      </c>
      <c r="B37" s="723"/>
      <c r="C37" s="723"/>
      <c r="D37" s="954">
        <f>+D36+D18</f>
        <v>7126434</v>
      </c>
      <c r="E37" s="954">
        <f t="shared" ref="E37:J37" si="3">+E36+E18</f>
        <v>7942471</v>
      </c>
      <c r="F37" s="954">
        <f t="shared" si="3"/>
        <v>9026329</v>
      </c>
      <c r="G37" s="954">
        <f t="shared" si="3"/>
        <v>12180746.919114493</v>
      </c>
      <c r="H37" s="954">
        <f t="shared" si="3"/>
        <v>12253917.484055312</v>
      </c>
      <c r="I37" s="954">
        <f t="shared" si="3"/>
        <v>12334868.537306556</v>
      </c>
      <c r="J37" s="954">
        <f t="shared" si="3"/>
        <v>12425708.484541357</v>
      </c>
    </row>
    <row r="38" spans="1:38">
      <c r="A38" s="719"/>
      <c r="B38" s="719" t="s">
        <v>1182</v>
      </c>
      <c r="C38" s="719" t="s">
        <v>1183</v>
      </c>
      <c r="D38" s="955"/>
      <c r="E38" s="955"/>
      <c r="F38" s="955"/>
      <c r="G38" s="955">
        <v>1015572</v>
      </c>
      <c r="H38" s="955">
        <v>1041362</v>
      </c>
      <c r="I38" s="955">
        <v>1041362</v>
      </c>
      <c r="J38" s="955">
        <v>1041362</v>
      </c>
    </row>
    <row r="39" spans="1:38" hidden="1">
      <c r="D39" s="42"/>
      <c r="E39" s="42"/>
      <c r="F39" s="42"/>
      <c r="G39" s="42"/>
      <c r="H39" s="42"/>
      <c r="I39" s="42"/>
      <c r="J39" s="42"/>
    </row>
    <row r="40" spans="1:38">
      <c r="A40" s="266" t="s">
        <v>297</v>
      </c>
      <c r="B40" s="1369" t="s">
        <v>1184</v>
      </c>
      <c r="C40" s="1369"/>
    </row>
    <row r="41" spans="1:38">
      <c r="B41" s="148" t="s">
        <v>1185</v>
      </c>
      <c r="G41" s="726"/>
      <c r="H41" s="726"/>
      <c r="I41" s="726"/>
      <c r="J41" s="726"/>
    </row>
    <row r="42" spans="1:38">
      <c r="G42" s="726"/>
      <c r="H42" s="726"/>
      <c r="I42" s="726"/>
      <c r="J42" s="726"/>
    </row>
    <row r="43" spans="1:38">
      <c r="G43" s="726"/>
      <c r="H43" s="726"/>
      <c r="I43" s="726"/>
      <c r="J43" s="726"/>
    </row>
  </sheetData>
  <mergeCells count="1">
    <mergeCell ref="B40:C40"/>
  </mergeCells>
  <pageMargins left="0.7" right="0.7" top="0.75" bottom="0.75" header="0.3" footer="0.3"/>
  <pageSetup paperSize="3"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30AB7-D499-4A33-BB2A-D43447E9F0B5}">
  <sheetPr codeName="Sheet23">
    <pageSetUpPr fitToPage="1"/>
  </sheetPr>
  <dimension ref="A1:AL336"/>
  <sheetViews>
    <sheetView view="pageBreakPreview" zoomScaleNormal="78" zoomScaleSheetLayoutView="100" workbookViewId="0">
      <pane xSplit="11" ySplit="6" topLeftCell="AC7" activePane="bottomRight" state="frozen"/>
      <selection activeCell="A26" sqref="A26"/>
      <selection pane="topRight" activeCell="A26" sqref="A26"/>
      <selection pane="bottomLeft" activeCell="A26" sqref="A26"/>
      <selection pane="bottomRight"/>
    </sheetView>
  </sheetViews>
  <sheetFormatPr defaultColWidth="7.625" defaultRowHeight="14.25"/>
  <cols>
    <col min="1" max="1" width="11.375" style="906" customWidth="1"/>
    <col min="2" max="2" width="7.625" style="906" customWidth="1"/>
    <col min="3" max="3" width="7.625" style="904" customWidth="1"/>
    <col min="4" max="4" width="7.625" style="906" customWidth="1"/>
    <col min="5" max="5" width="7.625" style="905" customWidth="1"/>
    <col min="6" max="6" width="14.75" style="904" customWidth="1"/>
    <col min="7" max="7" width="12" style="906" customWidth="1"/>
    <col min="8" max="8" width="7.625" style="906" customWidth="1"/>
    <col min="9" max="9" width="36.625" style="906" customWidth="1"/>
    <col min="10" max="10" width="18.625" style="906" customWidth="1"/>
    <col min="11" max="11" width="18.625" style="907" customWidth="1"/>
    <col min="12" max="31" width="11.375" style="908" customWidth="1"/>
    <col min="32" max="32" width="27.75" style="908" customWidth="1"/>
    <col min="33" max="33" width="70" style="908" customWidth="1"/>
    <col min="34" max="34" width="20.25" style="908" customWidth="1"/>
    <col min="35" max="16383" width="7.625" style="908" customWidth="1"/>
    <col min="16384" max="16384" width="8" style="908" customWidth="1"/>
  </cols>
  <sheetData>
    <row r="1" spans="1:38">
      <c r="A1" s="175" t="s">
        <v>98</v>
      </c>
      <c r="B1" s="176" t="str">
        <f>PA_NAME</f>
        <v>SoCalGas</v>
      </c>
      <c r="D1" s="108"/>
    </row>
    <row r="2" spans="1:38">
      <c r="A2" s="175" t="s">
        <v>99</v>
      </c>
      <c r="B2" s="888" t="s">
        <v>303</v>
      </c>
    </row>
    <row r="3" spans="1:38">
      <c r="A3" s="10" t="s">
        <v>1199</v>
      </c>
      <c r="B3" s="266"/>
    </row>
    <row r="4" spans="1:38">
      <c r="A4" s="909"/>
      <c r="B4" s="909"/>
      <c r="C4" s="909"/>
      <c r="D4" s="909"/>
      <c r="E4" s="909"/>
      <c r="F4" s="909"/>
      <c r="G4" s="909"/>
      <c r="H4" s="909"/>
      <c r="I4" s="909"/>
      <c r="J4" s="909"/>
      <c r="K4" s="909"/>
      <c r="L4" s="909"/>
      <c r="M4" s="909"/>
      <c r="N4" s="909"/>
      <c r="O4" s="909"/>
      <c r="P4" s="909"/>
      <c r="Q4" s="909"/>
      <c r="R4" s="909"/>
      <c r="S4" s="909"/>
      <c r="T4" s="909"/>
      <c r="U4" s="909"/>
      <c r="V4" s="909"/>
      <c r="W4" s="909"/>
      <c r="X4" s="909"/>
      <c r="Y4" s="909"/>
      <c r="Z4" s="909"/>
      <c r="AA4" s="909"/>
      <c r="AB4" s="909"/>
      <c r="AC4" s="909"/>
      <c r="AD4" s="909"/>
      <c r="AE4" s="909"/>
      <c r="AF4" s="909"/>
      <c r="AG4" s="909"/>
      <c r="AH4" s="909"/>
      <c r="AI4" s="909"/>
      <c r="AJ4" s="909"/>
      <c r="AK4" s="909"/>
      <c r="AL4" s="909"/>
    </row>
    <row r="5" spans="1:38">
      <c r="A5" s="143" t="s">
        <v>1200</v>
      </c>
      <c r="B5" s="144"/>
      <c r="C5" s="144"/>
      <c r="D5" s="144"/>
      <c r="E5" s="144"/>
      <c r="F5" s="144"/>
      <c r="G5" s="144"/>
      <c r="H5" s="144"/>
      <c r="I5" s="144"/>
      <c r="J5" s="144"/>
      <c r="K5" s="144"/>
      <c r="L5" s="144"/>
      <c r="M5" s="144"/>
      <c r="N5" s="144"/>
      <c r="O5" s="144"/>
      <c r="P5" s="144"/>
      <c r="Q5" s="144"/>
      <c r="R5" s="144"/>
      <c r="S5" s="144"/>
      <c r="T5" s="144"/>
      <c r="U5" s="144"/>
      <c r="V5" s="144"/>
      <c r="W5" s="144"/>
      <c r="X5" s="144"/>
      <c r="Y5" s="144"/>
      <c r="Z5" s="144"/>
      <c r="AA5" s="144"/>
      <c r="AB5" s="144"/>
      <c r="AC5" s="144"/>
      <c r="AD5" s="144"/>
      <c r="AE5" s="144"/>
      <c r="AF5" s="144"/>
      <c r="AG5" s="144"/>
      <c r="AH5" s="145"/>
    </row>
    <row r="6" spans="1:38" ht="57">
      <c r="A6" s="910" t="s">
        <v>1201</v>
      </c>
      <c r="B6" s="910" t="s">
        <v>1202</v>
      </c>
      <c r="C6" s="910" t="s">
        <v>1203</v>
      </c>
      <c r="D6" s="910" t="s">
        <v>1204</v>
      </c>
      <c r="E6" s="910" t="s">
        <v>1205</v>
      </c>
      <c r="F6" s="910" t="s">
        <v>1206</v>
      </c>
      <c r="G6" s="910" t="s">
        <v>1207</v>
      </c>
      <c r="H6" s="910" t="s">
        <v>1208</v>
      </c>
      <c r="I6" s="910" t="s">
        <v>1209</v>
      </c>
      <c r="J6" s="910" t="s">
        <v>1210</v>
      </c>
      <c r="K6" s="910" t="s">
        <v>929</v>
      </c>
      <c r="L6" s="910" t="s">
        <v>1211</v>
      </c>
      <c r="M6" s="911" t="s">
        <v>1212</v>
      </c>
      <c r="N6" s="912" t="s">
        <v>1213</v>
      </c>
      <c r="O6" s="912" t="s">
        <v>1214</v>
      </c>
      <c r="P6" s="912" t="s">
        <v>1215</v>
      </c>
      <c r="Q6" s="912" t="s">
        <v>1216</v>
      </c>
      <c r="R6" s="912" t="s">
        <v>1217</v>
      </c>
      <c r="S6" s="1442" t="s">
        <v>1218</v>
      </c>
      <c r="T6" s="1443"/>
      <c r="U6" s="1444"/>
      <c r="V6" s="912" t="s">
        <v>1219</v>
      </c>
      <c r="W6" s="912" t="s">
        <v>1220</v>
      </c>
      <c r="X6" s="911" t="s">
        <v>1221</v>
      </c>
      <c r="Y6" s="912" t="s">
        <v>1222</v>
      </c>
      <c r="Z6" s="912" t="s">
        <v>1223</v>
      </c>
      <c r="AA6" s="913" t="s">
        <v>1224</v>
      </c>
      <c r="AB6" s="146" t="s">
        <v>1225</v>
      </c>
      <c r="AC6" s="146" t="s">
        <v>1226</v>
      </c>
      <c r="AD6" s="146" t="s">
        <v>1227</v>
      </c>
      <c r="AE6" s="146" t="s">
        <v>1228</v>
      </c>
      <c r="AF6" s="910" t="s">
        <v>1229</v>
      </c>
      <c r="AG6" s="910" t="s">
        <v>1230</v>
      </c>
      <c r="AH6" s="910" t="s">
        <v>1231</v>
      </c>
    </row>
    <row r="7" spans="1:38" ht="28.5">
      <c r="A7" s="914">
        <v>0</v>
      </c>
      <c r="B7" s="914" t="s">
        <v>228</v>
      </c>
      <c r="C7" s="914" t="s">
        <v>1232</v>
      </c>
      <c r="D7" s="914" t="s">
        <v>1233</v>
      </c>
      <c r="E7" s="914" t="s">
        <v>1234</v>
      </c>
      <c r="F7" s="915" t="s">
        <v>1235</v>
      </c>
      <c r="G7" s="915" t="s">
        <v>1236</v>
      </c>
      <c r="H7" s="915" t="s">
        <v>1210</v>
      </c>
      <c r="I7" s="916" t="s">
        <v>1237</v>
      </c>
      <c r="J7" s="917" t="s">
        <v>1238</v>
      </c>
      <c r="K7" s="916" t="s">
        <v>1239</v>
      </c>
      <c r="L7" s="914">
        <v>2016</v>
      </c>
      <c r="M7" s="918">
        <v>332393.12478399999</v>
      </c>
      <c r="N7" s="918" t="s">
        <v>168</v>
      </c>
      <c r="O7" s="918" t="s">
        <v>168</v>
      </c>
      <c r="P7" s="919">
        <v>377932.85440000001</v>
      </c>
      <c r="Q7" s="919">
        <v>457243</v>
      </c>
      <c r="R7" s="919">
        <v>482215.49</v>
      </c>
      <c r="S7" s="918">
        <v>471629.0048855067</v>
      </c>
      <c r="T7" s="918">
        <v>492134.61379357224</v>
      </c>
      <c r="U7" s="918">
        <v>553651.44051776873</v>
      </c>
      <c r="V7" s="918">
        <v>1866010.4106339614</v>
      </c>
      <c r="W7" s="918">
        <v>1261094.947846029</v>
      </c>
      <c r="X7" s="919">
        <v>344295.67999999999</v>
      </c>
      <c r="Y7" s="918" t="s">
        <v>168</v>
      </c>
      <c r="Z7" s="918" t="s">
        <v>168</v>
      </c>
      <c r="AA7" s="919">
        <v>1866010.4106339614</v>
      </c>
      <c r="AB7" s="920">
        <v>304455</v>
      </c>
      <c r="AC7" s="920">
        <v>301491</v>
      </c>
      <c r="AD7" s="920">
        <v>282522</v>
      </c>
      <c r="AE7" s="920">
        <v>267848</v>
      </c>
      <c r="AF7" s="916" t="s">
        <v>1240</v>
      </c>
      <c r="AG7" s="916" t="s">
        <v>802</v>
      </c>
      <c r="AH7" s="916"/>
    </row>
    <row r="8" spans="1:38" ht="42.75">
      <c r="A8" s="914">
        <v>1</v>
      </c>
      <c r="B8" s="914" t="s">
        <v>228</v>
      </c>
      <c r="C8" s="914" t="s">
        <v>1241</v>
      </c>
      <c r="D8" s="914" t="s">
        <v>1233</v>
      </c>
      <c r="E8" s="914" t="s">
        <v>1242</v>
      </c>
      <c r="F8" s="915" t="s">
        <v>1243</v>
      </c>
      <c r="G8" s="915" t="s">
        <v>1244</v>
      </c>
      <c r="H8" s="915" t="s">
        <v>1210</v>
      </c>
      <c r="I8" s="916" t="s">
        <v>1245</v>
      </c>
      <c r="J8" s="916" t="s">
        <v>1243</v>
      </c>
      <c r="K8" s="916" t="s">
        <v>1239</v>
      </c>
      <c r="L8" s="914">
        <v>2016</v>
      </c>
      <c r="M8" s="918" t="s">
        <v>168</v>
      </c>
      <c r="N8" s="918" t="s">
        <v>168</v>
      </c>
      <c r="O8" s="918" t="s">
        <v>168</v>
      </c>
      <c r="P8" s="919" t="s">
        <v>168</v>
      </c>
      <c r="Q8" s="919" t="s">
        <v>168</v>
      </c>
      <c r="R8" s="919" t="s">
        <v>168</v>
      </c>
      <c r="S8" s="918" t="s">
        <v>168</v>
      </c>
      <c r="T8" s="918" t="s">
        <v>168</v>
      </c>
      <c r="U8" s="918" t="s">
        <v>168</v>
      </c>
      <c r="V8" s="918" t="s">
        <v>168</v>
      </c>
      <c r="W8" s="918" t="s">
        <v>168</v>
      </c>
      <c r="X8" s="919" t="s">
        <v>168</v>
      </c>
      <c r="Y8" s="918" t="s">
        <v>168</v>
      </c>
      <c r="Z8" s="918" t="s">
        <v>168</v>
      </c>
      <c r="AA8" s="919" t="s">
        <v>168</v>
      </c>
      <c r="AB8" s="919" t="s">
        <v>168</v>
      </c>
      <c r="AC8" s="919" t="s">
        <v>168</v>
      </c>
      <c r="AD8" s="919" t="s">
        <v>168</v>
      </c>
      <c r="AE8" s="919" t="s">
        <v>168</v>
      </c>
      <c r="AF8" s="916"/>
      <c r="AG8" s="916"/>
      <c r="AH8" s="916"/>
    </row>
    <row r="9" spans="1:38" ht="42.75">
      <c r="A9" s="914">
        <v>2</v>
      </c>
      <c r="B9" s="914" t="s">
        <v>228</v>
      </c>
      <c r="C9" s="914" t="s">
        <v>1241</v>
      </c>
      <c r="D9" s="914" t="s">
        <v>1233</v>
      </c>
      <c r="E9" s="914" t="s">
        <v>1242</v>
      </c>
      <c r="F9" s="915" t="s">
        <v>1246</v>
      </c>
      <c r="G9" s="915" t="s">
        <v>1244</v>
      </c>
      <c r="H9" s="915" t="s">
        <v>1210</v>
      </c>
      <c r="I9" s="916" t="s">
        <v>1245</v>
      </c>
      <c r="J9" s="916" t="s">
        <v>1246</v>
      </c>
      <c r="K9" s="916" t="s">
        <v>1239</v>
      </c>
      <c r="L9" s="914">
        <v>2016</v>
      </c>
      <c r="M9" s="918" t="s">
        <v>168</v>
      </c>
      <c r="N9" s="918" t="s">
        <v>168</v>
      </c>
      <c r="O9" s="918" t="s">
        <v>168</v>
      </c>
      <c r="P9" s="919" t="s">
        <v>168</v>
      </c>
      <c r="Q9" s="919" t="s">
        <v>168</v>
      </c>
      <c r="R9" s="919" t="s">
        <v>168</v>
      </c>
      <c r="S9" s="918" t="s">
        <v>168</v>
      </c>
      <c r="T9" s="918" t="s">
        <v>168</v>
      </c>
      <c r="U9" s="918" t="s">
        <v>168</v>
      </c>
      <c r="V9" s="918" t="s">
        <v>168</v>
      </c>
      <c r="W9" s="918" t="s">
        <v>168</v>
      </c>
      <c r="X9" s="919" t="s">
        <v>168</v>
      </c>
      <c r="Y9" s="918" t="s">
        <v>168</v>
      </c>
      <c r="Z9" s="918" t="s">
        <v>168</v>
      </c>
      <c r="AA9" s="919" t="s">
        <v>168</v>
      </c>
      <c r="AB9" s="919" t="s">
        <v>168</v>
      </c>
      <c r="AC9" s="919" t="s">
        <v>168</v>
      </c>
      <c r="AD9" s="919" t="s">
        <v>168</v>
      </c>
      <c r="AE9" s="919" t="s">
        <v>168</v>
      </c>
      <c r="AF9" s="916"/>
      <c r="AG9" s="916"/>
      <c r="AH9" s="916"/>
    </row>
    <row r="10" spans="1:38" ht="42.75">
      <c r="A10" s="914">
        <v>3</v>
      </c>
      <c r="B10" s="914" t="s">
        <v>228</v>
      </c>
      <c r="C10" s="914" t="s">
        <v>1241</v>
      </c>
      <c r="D10" s="914" t="s">
        <v>1233</v>
      </c>
      <c r="E10" s="914" t="s">
        <v>1242</v>
      </c>
      <c r="F10" s="915" t="s">
        <v>1247</v>
      </c>
      <c r="G10" s="915" t="s">
        <v>1244</v>
      </c>
      <c r="H10" s="915" t="s">
        <v>1210</v>
      </c>
      <c r="I10" s="916" t="s">
        <v>1245</v>
      </c>
      <c r="J10" s="916" t="s">
        <v>1247</v>
      </c>
      <c r="K10" s="916" t="s">
        <v>1239</v>
      </c>
      <c r="L10" s="914">
        <v>2016</v>
      </c>
      <c r="M10" s="918" t="s">
        <v>168</v>
      </c>
      <c r="N10" s="918" t="s">
        <v>168</v>
      </c>
      <c r="O10" s="918" t="s">
        <v>168</v>
      </c>
      <c r="P10" s="919" t="s">
        <v>168</v>
      </c>
      <c r="Q10" s="919" t="s">
        <v>168</v>
      </c>
      <c r="R10" s="919" t="s">
        <v>168</v>
      </c>
      <c r="S10" s="918" t="s">
        <v>168</v>
      </c>
      <c r="T10" s="918" t="s">
        <v>168</v>
      </c>
      <c r="U10" s="918" t="s">
        <v>168</v>
      </c>
      <c r="V10" s="918" t="s">
        <v>168</v>
      </c>
      <c r="W10" s="918" t="s">
        <v>168</v>
      </c>
      <c r="X10" s="919" t="s">
        <v>168</v>
      </c>
      <c r="Y10" s="918" t="s">
        <v>168</v>
      </c>
      <c r="Z10" s="918" t="s">
        <v>168</v>
      </c>
      <c r="AA10" s="919" t="s">
        <v>168</v>
      </c>
      <c r="AB10" s="919" t="s">
        <v>168</v>
      </c>
      <c r="AC10" s="919" t="s">
        <v>168</v>
      </c>
      <c r="AD10" s="919" t="s">
        <v>168</v>
      </c>
      <c r="AE10" s="919" t="s">
        <v>168</v>
      </c>
      <c r="AF10" s="916"/>
      <c r="AG10" s="916"/>
      <c r="AH10" s="916"/>
    </row>
    <row r="11" spans="1:38" ht="42.75">
      <c r="A11" s="914">
        <v>4</v>
      </c>
      <c r="B11" s="914" t="s">
        <v>228</v>
      </c>
      <c r="C11" s="914" t="s">
        <v>1241</v>
      </c>
      <c r="D11" s="914" t="s">
        <v>1233</v>
      </c>
      <c r="E11" s="914" t="s">
        <v>1242</v>
      </c>
      <c r="F11" s="915" t="s">
        <v>1248</v>
      </c>
      <c r="G11" s="915" t="s">
        <v>1244</v>
      </c>
      <c r="H11" s="915" t="s">
        <v>1210</v>
      </c>
      <c r="I11" s="916" t="s">
        <v>1245</v>
      </c>
      <c r="J11" s="916" t="s">
        <v>1248</v>
      </c>
      <c r="K11" s="916" t="s">
        <v>1239</v>
      </c>
      <c r="L11" s="914">
        <v>2016</v>
      </c>
      <c r="M11" s="918" t="s">
        <v>168</v>
      </c>
      <c r="N11" s="918" t="s">
        <v>168</v>
      </c>
      <c r="O11" s="918" t="s">
        <v>168</v>
      </c>
      <c r="P11" s="919" t="s">
        <v>168</v>
      </c>
      <c r="Q11" s="919" t="s">
        <v>168</v>
      </c>
      <c r="R11" s="919" t="s">
        <v>168</v>
      </c>
      <c r="S11" s="918" t="s">
        <v>168</v>
      </c>
      <c r="T11" s="918" t="s">
        <v>168</v>
      </c>
      <c r="U11" s="918" t="s">
        <v>168</v>
      </c>
      <c r="V11" s="918" t="s">
        <v>168</v>
      </c>
      <c r="W11" s="918" t="s">
        <v>168</v>
      </c>
      <c r="X11" s="919" t="s">
        <v>168</v>
      </c>
      <c r="Y11" s="918" t="s">
        <v>168</v>
      </c>
      <c r="Z11" s="918" t="s">
        <v>168</v>
      </c>
      <c r="AA11" s="919" t="s">
        <v>168</v>
      </c>
      <c r="AB11" s="919" t="s">
        <v>168</v>
      </c>
      <c r="AC11" s="919" t="s">
        <v>168</v>
      </c>
      <c r="AD11" s="919" t="s">
        <v>168</v>
      </c>
      <c r="AE11" s="919" t="s">
        <v>168</v>
      </c>
      <c r="AF11" s="916"/>
      <c r="AG11" s="916"/>
      <c r="AH11" s="916"/>
    </row>
    <row r="12" spans="1:38" ht="42.75">
      <c r="A12" s="914">
        <v>5</v>
      </c>
      <c r="B12" s="914" t="s">
        <v>228</v>
      </c>
      <c r="C12" s="914" t="s">
        <v>1241</v>
      </c>
      <c r="D12" s="914" t="s">
        <v>1233</v>
      </c>
      <c r="E12" s="914" t="s">
        <v>1242</v>
      </c>
      <c r="F12" s="915" t="s">
        <v>1249</v>
      </c>
      <c r="G12" s="915" t="s">
        <v>1244</v>
      </c>
      <c r="H12" s="915" t="s">
        <v>1210</v>
      </c>
      <c r="I12" s="916" t="s">
        <v>1245</v>
      </c>
      <c r="J12" s="916" t="s">
        <v>1249</v>
      </c>
      <c r="K12" s="916" t="s">
        <v>1239</v>
      </c>
      <c r="L12" s="914">
        <v>2016</v>
      </c>
      <c r="M12" s="918">
        <v>38456156.139620997</v>
      </c>
      <c r="N12" s="918" t="s">
        <v>168</v>
      </c>
      <c r="O12" s="918" t="s">
        <v>168</v>
      </c>
      <c r="P12" s="919">
        <v>39877543.200652301</v>
      </c>
      <c r="Q12" s="919">
        <v>57831463.229999989</v>
      </c>
      <c r="R12" s="919">
        <v>58121649.390000001</v>
      </c>
      <c r="S12" s="918">
        <v>52000000</v>
      </c>
      <c r="T12" s="918">
        <v>55000000</v>
      </c>
      <c r="U12" s="918">
        <v>61000000</v>
      </c>
      <c r="V12" s="918">
        <v>206000000</v>
      </c>
      <c r="W12" s="918">
        <v>141000000</v>
      </c>
      <c r="X12" s="919">
        <v>52794387.549999997</v>
      </c>
      <c r="Y12" s="918" t="s">
        <v>168</v>
      </c>
      <c r="Z12" s="918" t="s">
        <v>168</v>
      </c>
      <c r="AA12" s="919">
        <v>206000000</v>
      </c>
      <c r="AB12" s="919">
        <v>66934039</v>
      </c>
      <c r="AC12" s="919">
        <v>66344396</v>
      </c>
      <c r="AD12" s="919">
        <v>62011487</v>
      </c>
      <c r="AE12" s="919">
        <v>58723626</v>
      </c>
      <c r="AF12" s="916" t="s">
        <v>168</v>
      </c>
      <c r="AG12" s="916" t="s">
        <v>802</v>
      </c>
      <c r="AH12" s="916"/>
    </row>
    <row r="13" spans="1:38" ht="42.75">
      <c r="A13" s="914">
        <v>6</v>
      </c>
      <c r="B13" s="914" t="s">
        <v>228</v>
      </c>
      <c r="C13" s="914" t="s">
        <v>1241</v>
      </c>
      <c r="D13" s="914" t="s">
        <v>1233</v>
      </c>
      <c r="E13" s="914" t="s">
        <v>1242</v>
      </c>
      <c r="F13" s="915" t="s">
        <v>1250</v>
      </c>
      <c r="G13" s="915" t="s">
        <v>1244</v>
      </c>
      <c r="H13" s="915" t="s">
        <v>1210</v>
      </c>
      <c r="I13" s="916" t="s">
        <v>1245</v>
      </c>
      <c r="J13" s="916" t="s">
        <v>1250</v>
      </c>
      <c r="K13" s="916" t="s">
        <v>1239</v>
      </c>
      <c r="L13" s="914">
        <v>2016</v>
      </c>
      <c r="M13" s="918">
        <v>32419727.331604298</v>
      </c>
      <c r="N13" s="918" t="s">
        <v>168</v>
      </c>
      <c r="O13" s="918" t="s">
        <v>168</v>
      </c>
      <c r="P13" s="919">
        <v>35991670.879548602</v>
      </c>
      <c r="Q13" s="919">
        <v>51784797.410000004</v>
      </c>
      <c r="R13" s="919">
        <v>54991678.060000002</v>
      </c>
      <c r="S13" s="918">
        <v>46000000</v>
      </c>
      <c r="T13" s="918">
        <v>48000000</v>
      </c>
      <c r="U13" s="918">
        <v>54000000</v>
      </c>
      <c r="V13" s="918">
        <v>182000000</v>
      </c>
      <c r="W13" s="918">
        <v>123000000</v>
      </c>
      <c r="X13" s="919">
        <v>46372807.229999997</v>
      </c>
      <c r="Y13" s="918" t="s">
        <v>168</v>
      </c>
      <c r="Z13" s="918" t="s">
        <v>168</v>
      </c>
      <c r="AA13" s="919">
        <v>182000000</v>
      </c>
      <c r="AB13" s="919">
        <v>51758459</v>
      </c>
      <c r="AC13" s="919">
        <v>51250982</v>
      </c>
      <c r="AD13" s="919">
        <v>48015089</v>
      </c>
      <c r="AE13" s="919">
        <v>45511607</v>
      </c>
      <c r="AF13" s="916" t="s">
        <v>168</v>
      </c>
      <c r="AG13" s="916" t="s">
        <v>802</v>
      </c>
      <c r="AH13" s="916"/>
    </row>
    <row r="14" spans="1:38" ht="42.75">
      <c r="A14" s="914">
        <v>7</v>
      </c>
      <c r="B14" s="914" t="s">
        <v>228</v>
      </c>
      <c r="C14" s="914" t="s">
        <v>1241</v>
      </c>
      <c r="D14" s="914" t="s">
        <v>1233</v>
      </c>
      <c r="E14" s="914" t="s">
        <v>1242</v>
      </c>
      <c r="F14" s="915" t="s">
        <v>1251</v>
      </c>
      <c r="G14" s="915" t="s">
        <v>1244</v>
      </c>
      <c r="H14" s="915" t="s">
        <v>1210</v>
      </c>
      <c r="I14" s="916" t="s">
        <v>1245</v>
      </c>
      <c r="J14" s="916" t="s">
        <v>1251</v>
      </c>
      <c r="K14" s="916" t="s">
        <v>1239</v>
      </c>
      <c r="L14" s="914">
        <v>2016</v>
      </c>
      <c r="M14" s="918" t="s">
        <v>168</v>
      </c>
      <c r="N14" s="918" t="s">
        <v>168</v>
      </c>
      <c r="O14" s="918" t="s">
        <v>168</v>
      </c>
      <c r="P14" s="919" t="s">
        <v>168</v>
      </c>
      <c r="Q14" s="919" t="s">
        <v>168</v>
      </c>
      <c r="R14" s="919" t="s">
        <v>168</v>
      </c>
      <c r="S14" s="918" t="s">
        <v>168</v>
      </c>
      <c r="T14" s="918" t="s">
        <v>168</v>
      </c>
      <c r="U14" s="918" t="s">
        <v>168</v>
      </c>
      <c r="V14" s="918" t="s">
        <v>168</v>
      </c>
      <c r="W14" s="918" t="s">
        <v>168</v>
      </c>
      <c r="X14" s="919" t="s">
        <v>168</v>
      </c>
      <c r="Y14" s="918" t="s">
        <v>168</v>
      </c>
      <c r="Z14" s="918" t="s">
        <v>168</v>
      </c>
      <c r="AA14" s="919" t="s">
        <v>168</v>
      </c>
      <c r="AB14" s="919" t="s">
        <v>168</v>
      </c>
      <c r="AC14" s="919" t="s">
        <v>168</v>
      </c>
      <c r="AD14" s="919" t="s">
        <v>168</v>
      </c>
      <c r="AE14" s="919" t="s">
        <v>168</v>
      </c>
      <c r="AF14" s="916"/>
      <c r="AG14" s="916"/>
      <c r="AH14" s="916"/>
    </row>
    <row r="15" spans="1:38" ht="42.75">
      <c r="A15" s="914">
        <v>8</v>
      </c>
      <c r="B15" s="914" t="s">
        <v>228</v>
      </c>
      <c r="C15" s="914" t="s">
        <v>1241</v>
      </c>
      <c r="D15" s="914" t="s">
        <v>1233</v>
      </c>
      <c r="E15" s="914" t="s">
        <v>1242</v>
      </c>
      <c r="F15" s="915" t="s">
        <v>1252</v>
      </c>
      <c r="G15" s="915" t="s">
        <v>1244</v>
      </c>
      <c r="H15" s="915" t="s">
        <v>1210</v>
      </c>
      <c r="I15" s="916" t="s">
        <v>1245</v>
      </c>
      <c r="J15" s="916" t="s">
        <v>1252</v>
      </c>
      <c r="K15" s="916" t="s">
        <v>1239</v>
      </c>
      <c r="L15" s="914">
        <v>2016</v>
      </c>
      <c r="M15" s="918" t="s">
        <v>168</v>
      </c>
      <c r="N15" s="918" t="s">
        <v>168</v>
      </c>
      <c r="O15" s="918" t="s">
        <v>168</v>
      </c>
      <c r="P15" s="919" t="s">
        <v>168</v>
      </c>
      <c r="Q15" s="919" t="s">
        <v>168</v>
      </c>
      <c r="R15" s="919" t="s">
        <v>168</v>
      </c>
      <c r="S15" s="918" t="s">
        <v>168</v>
      </c>
      <c r="T15" s="918" t="s">
        <v>168</v>
      </c>
      <c r="U15" s="918" t="s">
        <v>168</v>
      </c>
      <c r="V15" s="918" t="s">
        <v>168</v>
      </c>
      <c r="W15" s="918" t="s">
        <v>168</v>
      </c>
      <c r="X15" s="919" t="s">
        <v>168</v>
      </c>
      <c r="Y15" s="918" t="s">
        <v>168</v>
      </c>
      <c r="Z15" s="918" t="s">
        <v>168</v>
      </c>
      <c r="AA15" s="919" t="s">
        <v>168</v>
      </c>
      <c r="AB15" s="919" t="s">
        <v>168</v>
      </c>
      <c r="AC15" s="919" t="s">
        <v>168</v>
      </c>
      <c r="AD15" s="919" t="s">
        <v>168</v>
      </c>
      <c r="AE15" s="919" t="s">
        <v>168</v>
      </c>
      <c r="AF15" s="916"/>
      <c r="AG15" s="916"/>
      <c r="AH15" s="916"/>
    </row>
    <row r="16" spans="1:38" ht="42.75">
      <c r="A16" s="914">
        <v>9</v>
      </c>
      <c r="B16" s="914" t="s">
        <v>228</v>
      </c>
      <c r="C16" s="914" t="s">
        <v>1241</v>
      </c>
      <c r="D16" s="914" t="s">
        <v>1233</v>
      </c>
      <c r="E16" s="914" t="s">
        <v>1242</v>
      </c>
      <c r="F16" s="915" t="s">
        <v>1253</v>
      </c>
      <c r="G16" s="915" t="s">
        <v>1244</v>
      </c>
      <c r="H16" s="915" t="s">
        <v>1210</v>
      </c>
      <c r="I16" s="916" t="s">
        <v>1245</v>
      </c>
      <c r="J16" s="916" t="s">
        <v>1253</v>
      </c>
      <c r="K16" s="916" t="s">
        <v>1239</v>
      </c>
      <c r="L16" s="914">
        <v>2016</v>
      </c>
      <c r="M16" s="918" t="s">
        <v>168</v>
      </c>
      <c r="N16" s="918" t="s">
        <v>168</v>
      </c>
      <c r="O16" s="918" t="s">
        <v>168</v>
      </c>
      <c r="P16" s="919" t="s">
        <v>168</v>
      </c>
      <c r="Q16" s="919" t="s">
        <v>168</v>
      </c>
      <c r="R16" s="919" t="s">
        <v>168</v>
      </c>
      <c r="S16" s="918" t="s">
        <v>168</v>
      </c>
      <c r="T16" s="918" t="s">
        <v>168</v>
      </c>
      <c r="U16" s="918" t="s">
        <v>168</v>
      </c>
      <c r="V16" s="918" t="s">
        <v>168</v>
      </c>
      <c r="W16" s="918" t="s">
        <v>168</v>
      </c>
      <c r="X16" s="919" t="s">
        <v>168</v>
      </c>
      <c r="Y16" s="918" t="s">
        <v>168</v>
      </c>
      <c r="Z16" s="918" t="s">
        <v>168</v>
      </c>
      <c r="AA16" s="919" t="s">
        <v>168</v>
      </c>
      <c r="AB16" s="919" t="s">
        <v>168</v>
      </c>
      <c r="AC16" s="919" t="s">
        <v>168</v>
      </c>
      <c r="AD16" s="919" t="s">
        <v>168</v>
      </c>
      <c r="AE16" s="919" t="s">
        <v>168</v>
      </c>
      <c r="AF16" s="916"/>
      <c r="AG16" s="916"/>
      <c r="AH16" s="916"/>
    </row>
    <row r="17" spans="1:34" ht="42.75">
      <c r="A17" s="914">
        <v>10</v>
      </c>
      <c r="B17" s="914" t="s">
        <v>228</v>
      </c>
      <c r="C17" s="914" t="s">
        <v>1241</v>
      </c>
      <c r="D17" s="914" t="s">
        <v>1233</v>
      </c>
      <c r="E17" s="914" t="s">
        <v>1242</v>
      </c>
      <c r="F17" s="915" t="s">
        <v>1254</v>
      </c>
      <c r="G17" s="915" t="s">
        <v>1244</v>
      </c>
      <c r="H17" s="915" t="s">
        <v>1210</v>
      </c>
      <c r="I17" s="916" t="s">
        <v>1245</v>
      </c>
      <c r="J17" s="916" t="s">
        <v>1254</v>
      </c>
      <c r="K17" s="916" t="s">
        <v>1239</v>
      </c>
      <c r="L17" s="914">
        <v>2016</v>
      </c>
      <c r="M17" s="918" t="s">
        <v>168</v>
      </c>
      <c r="N17" s="918" t="s">
        <v>168</v>
      </c>
      <c r="O17" s="918" t="s">
        <v>168</v>
      </c>
      <c r="P17" s="919" t="s">
        <v>168</v>
      </c>
      <c r="Q17" s="919" t="s">
        <v>168</v>
      </c>
      <c r="R17" s="919" t="s">
        <v>168</v>
      </c>
      <c r="S17" s="918" t="s">
        <v>168</v>
      </c>
      <c r="T17" s="918" t="s">
        <v>168</v>
      </c>
      <c r="U17" s="918" t="s">
        <v>168</v>
      </c>
      <c r="V17" s="918" t="s">
        <v>168</v>
      </c>
      <c r="W17" s="918" t="s">
        <v>168</v>
      </c>
      <c r="X17" s="919" t="s">
        <v>168</v>
      </c>
      <c r="Y17" s="918" t="s">
        <v>168</v>
      </c>
      <c r="Z17" s="918" t="s">
        <v>168</v>
      </c>
      <c r="AA17" s="919" t="s">
        <v>168</v>
      </c>
      <c r="AB17" s="919" t="s">
        <v>168</v>
      </c>
      <c r="AC17" s="919" t="s">
        <v>168</v>
      </c>
      <c r="AD17" s="919" t="s">
        <v>168</v>
      </c>
      <c r="AE17" s="919" t="s">
        <v>168</v>
      </c>
      <c r="AF17" s="916"/>
      <c r="AG17" s="916"/>
      <c r="AH17" s="916"/>
    </row>
    <row r="18" spans="1:34" ht="42.75">
      <c r="A18" s="914">
        <v>11</v>
      </c>
      <c r="B18" s="914" t="s">
        <v>228</v>
      </c>
      <c r="C18" s="914" t="s">
        <v>1241</v>
      </c>
      <c r="D18" s="914" t="s">
        <v>1233</v>
      </c>
      <c r="E18" s="914" t="s">
        <v>1242</v>
      </c>
      <c r="F18" s="915" t="s">
        <v>1255</v>
      </c>
      <c r="G18" s="915" t="s">
        <v>1244</v>
      </c>
      <c r="H18" s="915" t="s">
        <v>1210</v>
      </c>
      <c r="I18" s="916" t="s">
        <v>1245</v>
      </c>
      <c r="J18" s="916" t="s">
        <v>1255</v>
      </c>
      <c r="K18" s="916" t="s">
        <v>1239</v>
      </c>
      <c r="L18" s="914">
        <v>2016</v>
      </c>
      <c r="M18" s="918">
        <v>480467409.49542397</v>
      </c>
      <c r="N18" s="918" t="s">
        <v>168</v>
      </c>
      <c r="O18" s="918" t="s">
        <v>168</v>
      </c>
      <c r="P18" s="919">
        <v>522106296.904275</v>
      </c>
      <c r="Q18" s="919">
        <v>604191232.18000007</v>
      </c>
      <c r="R18" s="919">
        <v>599123772.22000003</v>
      </c>
      <c r="S18" s="918">
        <v>693662150.28492928</v>
      </c>
      <c r="T18" s="918">
        <v>726398072.00742722</v>
      </c>
      <c r="U18" s="918">
        <v>815488291.12376356</v>
      </c>
      <c r="V18" s="918">
        <v>2751030225.4683766</v>
      </c>
      <c r="W18" s="918">
        <v>1865099062.6023149</v>
      </c>
      <c r="X18" s="919">
        <v>476907028.80000001</v>
      </c>
      <c r="Y18" s="918" t="s">
        <v>168</v>
      </c>
      <c r="Z18" s="918" t="s">
        <v>168</v>
      </c>
      <c r="AA18" s="919">
        <v>2751030225.4683766</v>
      </c>
      <c r="AB18" s="919">
        <v>787992515</v>
      </c>
      <c r="AC18" s="920">
        <v>774941055</v>
      </c>
      <c r="AD18" s="920">
        <v>713748957</v>
      </c>
      <c r="AE18" s="920">
        <v>667703192</v>
      </c>
      <c r="AF18" s="916" t="s">
        <v>168</v>
      </c>
      <c r="AG18" s="916" t="s">
        <v>802</v>
      </c>
      <c r="AH18" s="916"/>
    </row>
    <row r="19" spans="1:34" ht="42.75">
      <c r="A19" s="914">
        <v>12</v>
      </c>
      <c r="B19" s="914" t="s">
        <v>228</v>
      </c>
      <c r="C19" s="914" t="s">
        <v>1241</v>
      </c>
      <c r="D19" s="914" t="s">
        <v>1233</v>
      </c>
      <c r="E19" s="914" t="s">
        <v>1242</v>
      </c>
      <c r="F19" s="915" t="s">
        <v>1256</v>
      </c>
      <c r="G19" s="915" t="s">
        <v>1244</v>
      </c>
      <c r="H19" s="915" t="s">
        <v>1210</v>
      </c>
      <c r="I19" s="916" t="s">
        <v>1245</v>
      </c>
      <c r="J19" s="916" t="s">
        <v>1256</v>
      </c>
      <c r="K19" s="916" t="s">
        <v>1239</v>
      </c>
      <c r="L19" s="914">
        <v>2016</v>
      </c>
      <c r="M19" s="918">
        <v>422174997.37142199</v>
      </c>
      <c r="N19" s="918" t="s">
        <v>168</v>
      </c>
      <c r="O19" s="918" t="s">
        <v>168</v>
      </c>
      <c r="P19" s="919">
        <v>475290839.573475</v>
      </c>
      <c r="Q19" s="919">
        <v>545145756.46999991</v>
      </c>
      <c r="R19" s="919">
        <v>557727751.24000001</v>
      </c>
      <c r="S19" s="918">
        <v>581627763.23039556</v>
      </c>
      <c r="T19" s="918">
        <v>603160246.2474401</v>
      </c>
      <c r="U19" s="918">
        <v>681047026.65832305</v>
      </c>
      <c r="V19" s="918">
        <v>2291689238.5447884</v>
      </c>
      <c r="W19" s="918">
        <v>1540199340.1441669</v>
      </c>
      <c r="X19" s="919">
        <v>415501633.10000002</v>
      </c>
      <c r="Y19" s="918" t="s">
        <v>168</v>
      </c>
      <c r="Z19" s="918" t="s">
        <v>168</v>
      </c>
      <c r="AA19" s="919">
        <v>2291689238.5447884</v>
      </c>
      <c r="AB19" s="919">
        <v>518620847</v>
      </c>
      <c r="AC19" s="920">
        <v>509997404</v>
      </c>
      <c r="AD19" s="920">
        <v>471245845</v>
      </c>
      <c r="AE19" s="920">
        <v>441339938</v>
      </c>
      <c r="AF19" s="916" t="s">
        <v>168</v>
      </c>
      <c r="AG19" s="916" t="s">
        <v>802</v>
      </c>
      <c r="AH19" s="916"/>
    </row>
    <row r="20" spans="1:34" ht="57">
      <c r="A20" s="914">
        <v>13</v>
      </c>
      <c r="B20" s="914" t="s">
        <v>228</v>
      </c>
      <c r="C20" s="914" t="s">
        <v>1241</v>
      </c>
      <c r="D20" s="914" t="s">
        <v>1257</v>
      </c>
      <c r="E20" s="914" t="s">
        <v>1258</v>
      </c>
      <c r="F20" s="915" t="s">
        <v>1243</v>
      </c>
      <c r="G20" s="915" t="s">
        <v>1259</v>
      </c>
      <c r="H20" s="915" t="s">
        <v>1210</v>
      </c>
      <c r="I20" s="916" t="s">
        <v>1260</v>
      </c>
      <c r="J20" s="916" t="s">
        <v>1261</v>
      </c>
      <c r="K20" s="916" t="s">
        <v>1239</v>
      </c>
      <c r="L20" s="914">
        <v>2016</v>
      </c>
      <c r="M20" s="918" t="s">
        <v>168</v>
      </c>
      <c r="N20" s="918" t="s">
        <v>168</v>
      </c>
      <c r="O20" s="918" t="s">
        <v>168</v>
      </c>
      <c r="P20" s="919" t="s">
        <v>168</v>
      </c>
      <c r="Q20" s="919" t="s">
        <v>168</v>
      </c>
      <c r="R20" s="919" t="s">
        <v>168</v>
      </c>
      <c r="S20" s="918" t="s">
        <v>168</v>
      </c>
      <c r="T20" s="918" t="s">
        <v>168</v>
      </c>
      <c r="U20" s="918" t="s">
        <v>168</v>
      </c>
      <c r="V20" s="918" t="s">
        <v>168</v>
      </c>
      <c r="W20" s="918" t="s">
        <v>168</v>
      </c>
      <c r="X20" s="919" t="s">
        <v>168</v>
      </c>
      <c r="Y20" s="918" t="s">
        <v>168</v>
      </c>
      <c r="Z20" s="918" t="s">
        <v>168</v>
      </c>
      <c r="AA20" s="919" t="s">
        <v>168</v>
      </c>
      <c r="AB20" s="919" t="s">
        <v>168</v>
      </c>
      <c r="AC20" s="919" t="s">
        <v>168</v>
      </c>
      <c r="AD20" s="919" t="s">
        <v>168</v>
      </c>
      <c r="AE20" s="919" t="s">
        <v>168</v>
      </c>
      <c r="AF20" s="916"/>
      <c r="AG20" s="916"/>
      <c r="AH20" s="916"/>
    </row>
    <row r="21" spans="1:34" ht="57">
      <c r="A21" s="914">
        <v>14</v>
      </c>
      <c r="B21" s="914" t="s">
        <v>228</v>
      </c>
      <c r="C21" s="914" t="s">
        <v>1241</v>
      </c>
      <c r="D21" s="914" t="s">
        <v>1257</v>
      </c>
      <c r="E21" s="914" t="s">
        <v>1258</v>
      </c>
      <c r="F21" s="915" t="s">
        <v>1246</v>
      </c>
      <c r="G21" s="915" t="s">
        <v>1259</v>
      </c>
      <c r="H21" s="915" t="s">
        <v>1210</v>
      </c>
      <c r="I21" s="916" t="s">
        <v>1260</v>
      </c>
      <c r="J21" s="916" t="s">
        <v>1262</v>
      </c>
      <c r="K21" s="916" t="s">
        <v>1239</v>
      </c>
      <c r="L21" s="914">
        <v>2016</v>
      </c>
      <c r="M21" s="918" t="s">
        <v>168</v>
      </c>
      <c r="N21" s="918" t="s">
        <v>168</v>
      </c>
      <c r="O21" s="918" t="s">
        <v>168</v>
      </c>
      <c r="P21" s="919" t="s">
        <v>168</v>
      </c>
      <c r="Q21" s="919" t="s">
        <v>168</v>
      </c>
      <c r="R21" s="919" t="s">
        <v>168</v>
      </c>
      <c r="S21" s="918" t="s">
        <v>168</v>
      </c>
      <c r="T21" s="918" t="s">
        <v>168</v>
      </c>
      <c r="U21" s="918" t="s">
        <v>168</v>
      </c>
      <c r="V21" s="918" t="s">
        <v>168</v>
      </c>
      <c r="W21" s="918" t="s">
        <v>168</v>
      </c>
      <c r="X21" s="919" t="s">
        <v>168</v>
      </c>
      <c r="Y21" s="918" t="s">
        <v>168</v>
      </c>
      <c r="Z21" s="918" t="s">
        <v>168</v>
      </c>
      <c r="AA21" s="919" t="s">
        <v>168</v>
      </c>
      <c r="AB21" s="919" t="s">
        <v>168</v>
      </c>
      <c r="AC21" s="919" t="s">
        <v>168</v>
      </c>
      <c r="AD21" s="919" t="s">
        <v>168</v>
      </c>
      <c r="AE21" s="919" t="s">
        <v>168</v>
      </c>
      <c r="AF21" s="916"/>
      <c r="AG21" s="916"/>
      <c r="AH21" s="916"/>
    </row>
    <row r="22" spans="1:34" ht="57">
      <c r="A22" s="914">
        <v>15</v>
      </c>
      <c r="B22" s="914" t="s">
        <v>228</v>
      </c>
      <c r="C22" s="914" t="s">
        <v>1241</v>
      </c>
      <c r="D22" s="914" t="s">
        <v>1257</v>
      </c>
      <c r="E22" s="914" t="s">
        <v>1258</v>
      </c>
      <c r="F22" s="915" t="s">
        <v>1247</v>
      </c>
      <c r="G22" s="915" t="s">
        <v>1259</v>
      </c>
      <c r="H22" s="915" t="s">
        <v>1210</v>
      </c>
      <c r="I22" s="916" t="s">
        <v>1260</v>
      </c>
      <c r="J22" s="916" t="s">
        <v>1263</v>
      </c>
      <c r="K22" s="916" t="s">
        <v>1239</v>
      </c>
      <c r="L22" s="914">
        <v>2016</v>
      </c>
      <c r="M22" s="918" t="s">
        <v>168</v>
      </c>
      <c r="N22" s="918" t="s">
        <v>168</v>
      </c>
      <c r="O22" s="918" t="s">
        <v>168</v>
      </c>
      <c r="P22" s="919" t="s">
        <v>168</v>
      </c>
      <c r="Q22" s="919" t="s">
        <v>168</v>
      </c>
      <c r="R22" s="919" t="s">
        <v>168</v>
      </c>
      <c r="S22" s="918" t="s">
        <v>168</v>
      </c>
      <c r="T22" s="918" t="s">
        <v>168</v>
      </c>
      <c r="U22" s="918" t="s">
        <v>168</v>
      </c>
      <c r="V22" s="918" t="s">
        <v>168</v>
      </c>
      <c r="W22" s="918" t="s">
        <v>168</v>
      </c>
      <c r="X22" s="919" t="s">
        <v>168</v>
      </c>
      <c r="Y22" s="918" t="s">
        <v>168</v>
      </c>
      <c r="Z22" s="918" t="s">
        <v>168</v>
      </c>
      <c r="AA22" s="919" t="s">
        <v>168</v>
      </c>
      <c r="AB22" s="919" t="s">
        <v>168</v>
      </c>
      <c r="AC22" s="919" t="s">
        <v>168</v>
      </c>
      <c r="AD22" s="919" t="s">
        <v>168</v>
      </c>
      <c r="AE22" s="919" t="s">
        <v>168</v>
      </c>
      <c r="AF22" s="916"/>
      <c r="AG22" s="916"/>
      <c r="AH22" s="916"/>
    </row>
    <row r="23" spans="1:34" ht="57">
      <c r="A23" s="914">
        <v>16</v>
      </c>
      <c r="B23" s="914" t="s">
        <v>228</v>
      </c>
      <c r="C23" s="914" t="s">
        <v>1241</v>
      </c>
      <c r="D23" s="914" t="s">
        <v>1257</v>
      </c>
      <c r="E23" s="914" t="s">
        <v>1258</v>
      </c>
      <c r="F23" s="915" t="s">
        <v>1248</v>
      </c>
      <c r="G23" s="915" t="s">
        <v>1259</v>
      </c>
      <c r="H23" s="915" t="s">
        <v>1210</v>
      </c>
      <c r="I23" s="916" t="s">
        <v>1260</v>
      </c>
      <c r="J23" s="916" t="s">
        <v>1264</v>
      </c>
      <c r="K23" s="916" t="s">
        <v>1239</v>
      </c>
      <c r="L23" s="914">
        <v>2016</v>
      </c>
      <c r="M23" s="918" t="s">
        <v>168</v>
      </c>
      <c r="N23" s="918" t="s">
        <v>168</v>
      </c>
      <c r="O23" s="918" t="s">
        <v>168</v>
      </c>
      <c r="P23" s="919" t="s">
        <v>168</v>
      </c>
      <c r="Q23" s="919" t="s">
        <v>168</v>
      </c>
      <c r="R23" s="919" t="s">
        <v>168</v>
      </c>
      <c r="S23" s="918" t="s">
        <v>168</v>
      </c>
      <c r="T23" s="918" t="s">
        <v>168</v>
      </c>
      <c r="U23" s="918" t="s">
        <v>168</v>
      </c>
      <c r="V23" s="918" t="s">
        <v>168</v>
      </c>
      <c r="W23" s="918" t="s">
        <v>168</v>
      </c>
      <c r="X23" s="919" t="s">
        <v>168</v>
      </c>
      <c r="Y23" s="918" t="s">
        <v>168</v>
      </c>
      <c r="Z23" s="918" t="s">
        <v>168</v>
      </c>
      <c r="AA23" s="919" t="s">
        <v>168</v>
      </c>
      <c r="AB23" s="919" t="s">
        <v>168</v>
      </c>
      <c r="AC23" s="919" t="s">
        <v>168</v>
      </c>
      <c r="AD23" s="919" t="s">
        <v>168</v>
      </c>
      <c r="AE23" s="919" t="s">
        <v>168</v>
      </c>
      <c r="AF23" s="916"/>
      <c r="AG23" s="916"/>
      <c r="AH23" s="916"/>
    </row>
    <row r="24" spans="1:34" ht="57">
      <c r="A24" s="914">
        <v>17</v>
      </c>
      <c r="B24" s="914" t="s">
        <v>228</v>
      </c>
      <c r="C24" s="914" t="s">
        <v>1241</v>
      </c>
      <c r="D24" s="914" t="s">
        <v>1257</v>
      </c>
      <c r="E24" s="914" t="s">
        <v>1258</v>
      </c>
      <c r="F24" s="915" t="s">
        <v>1249</v>
      </c>
      <c r="G24" s="921" t="s">
        <v>1259</v>
      </c>
      <c r="H24" s="915" t="s">
        <v>1210</v>
      </c>
      <c r="I24" s="916" t="s">
        <v>1260</v>
      </c>
      <c r="J24" s="916" t="s">
        <v>1265</v>
      </c>
      <c r="K24" s="916" t="s">
        <v>1239</v>
      </c>
      <c r="L24" s="914">
        <v>2016</v>
      </c>
      <c r="M24" s="918">
        <v>4336520.2299999995</v>
      </c>
      <c r="N24" s="918" t="s">
        <v>168</v>
      </c>
      <c r="O24" s="918" t="s">
        <v>168</v>
      </c>
      <c r="P24" s="919">
        <v>2496126.91</v>
      </c>
      <c r="Q24" s="919">
        <v>14281204.710000001</v>
      </c>
      <c r="R24" s="919">
        <v>16098013.210000001</v>
      </c>
      <c r="S24" s="918">
        <v>7220540.1486532129</v>
      </c>
      <c r="T24" s="918">
        <v>8053679.3965747375</v>
      </c>
      <c r="U24" s="918">
        <v>8627942.8870961815</v>
      </c>
      <c r="V24" s="918">
        <v>30532582.246450331</v>
      </c>
      <c r="W24" s="918">
        <v>22353103.680464335</v>
      </c>
      <c r="X24" s="919">
        <v>16670766.42</v>
      </c>
      <c r="Y24" s="918" t="s">
        <v>168</v>
      </c>
      <c r="Z24" s="918" t="s">
        <v>168</v>
      </c>
      <c r="AA24" s="919">
        <v>30532582.246450331</v>
      </c>
      <c r="AB24" s="919">
        <v>25373599</v>
      </c>
      <c r="AC24" s="919">
        <v>27149752</v>
      </c>
      <c r="AD24" s="919">
        <v>28507239</v>
      </c>
      <c r="AE24" s="919">
        <v>29647529</v>
      </c>
      <c r="AF24" s="916" t="s">
        <v>168</v>
      </c>
      <c r="AG24" s="916" t="s">
        <v>1266</v>
      </c>
      <c r="AH24" s="916"/>
    </row>
    <row r="25" spans="1:34" ht="57">
      <c r="A25" s="914">
        <v>18</v>
      </c>
      <c r="B25" s="914" t="s">
        <v>228</v>
      </c>
      <c r="C25" s="914" t="s">
        <v>1241</v>
      </c>
      <c r="D25" s="914" t="s">
        <v>1257</v>
      </c>
      <c r="E25" s="914" t="s">
        <v>1258</v>
      </c>
      <c r="F25" s="915" t="s">
        <v>1250</v>
      </c>
      <c r="G25" s="921" t="s">
        <v>1259</v>
      </c>
      <c r="H25" s="915" t="s">
        <v>1210</v>
      </c>
      <c r="I25" s="916" t="s">
        <v>1260</v>
      </c>
      <c r="J25" s="916" t="s">
        <v>1267</v>
      </c>
      <c r="K25" s="916" t="s">
        <v>1239</v>
      </c>
      <c r="L25" s="914">
        <v>2016</v>
      </c>
      <c r="M25" s="918">
        <v>2665823.7000000002</v>
      </c>
      <c r="N25" s="918" t="s">
        <v>168</v>
      </c>
      <c r="O25" s="918" t="s">
        <v>168</v>
      </c>
      <c r="P25" s="919">
        <v>1580861.6700000002</v>
      </c>
      <c r="Q25" s="919">
        <v>11506144.199999999</v>
      </c>
      <c r="R25" s="919">
        <v>15694810.039999999</v>
      </c>
      <c r="S25" s="918">
        <v>5395056.7023408478</v>
      </c>
      <c r="T25" s="918">
        <v>5934562.3725749329</v>
      </c>
      <c r="U25" s="918">
        <v>6488233.7565959869</v>
      </c>
      <c r="V25" s="918">
        <v>22942524.355390593</v>
      </c>
      <c r="W25" s="918">
        <v>16569977.261388183</v>
      </c>
      <c r="X25" s="919">
        <v>14830765</v>
      </c>
      <c r="Y25" s="918" t="s">
        <v>168</v>
      </c>
      <c r="Z25" s="918" t="s">
        <v>168</v>
      </c>
      <c r="AA25" s="919">
        <v>22942524.355390593</v>
      </c>
      <c r="AB25" s="919">
        <v>18801837</v>
      </c>
      <c r="AC25" s="919">
        <v>20117966</v>
      </c>
      <c r="AD25" s="919">
        <v>21123864</v>
      </c>
      <c r="AE25" s="919">
        <v>21968819</v>
      </c>
      <c r="AF25" s="916" t="s">
        <v>168</v>
      </c>
      <c r="AG25" s="916" t="s">
        <v>1266</v>
      </c>
      <c r="AH25" s="916"/>
    </row>
    <row r="26" spans="1:34" ht="57">
      <c r="A26" s="914">
        <v>19</v>
      </c>
      <c r="B26" s="914" t="s">
        <v>228</v>
      </c>
      <c r="C26" s="914" t="s">
        <v>1241</v>
      </c>
      <c r="D26" s="914" t="s">
        <v>1257</v>
      </c>
      <c r="E26" s="914" t="s">
        <v>1258</v>
      </c>
      <c r="F26" s="915" t="s">
        <v>1251</v>
      </c>
      <c r="G26" s="915" t="s">
        <v>1259</v>
      </c>
      <c r="H26" s="915" t="s">
        <v>1210</v>
      </c>
      <c r="I26" s="916" t="s">
        <v>1260</v>
      </c>
      <c r="J26" s="916" t="s">
        <v>1268</v>
      </c>
      <c r="K26" s="916" t="s">
        <v>1239</v>
      </c>
      <c r="L26" s="914">
        <v>2016</v>
      </c>
      <c r="M26" s="918" t="s">
        <v>168</v>
      </c>
      <c r="N26" s="918" t="s">
        <v>168</v>
      </c>
      <c r="O26" s="918" t="s">
        <v>168</v>
      </c>
      <c r="P26" s="919" t="s">
        <v>168</v>
      </c>
      <c r="Q26" s="919" t="s">
        <v>168</v>
      </c>
      <c r="R26" s="919" t="s">
        <v>168</v>
      </c>
      <c r="S26" s="918" t="s">
        <v>168</v>
      </c>
      <c r="T26" s="918" t="s">
        <v>168</v>
      </c>
      <c r="U26" s="918" t="s">
        <v>168</v>
      </c>
      <c r="V26" s="918" t="s">
        <v>168</v>
      </c>
      <c r="W26" s="918" t="s">
        <v>168</v>
      </c>
      <c r="X26" s="919" t="s">
        <v>168</v>
      </c>
      <c r="Y26" s="918" t="s">
        <v>168</v>
      </c>
      <c r="Z26" s="918" t="s">
        <v>168</v>
      </c>
      <c r="AA26" s="919" t="s">
        <v>168</v>
      </c>
      <c r="AB26" s="919" t="s">
        <v>168</v>
      </c>
      <c r="AC26" s="919" t="s">
        <v>168</v>
      </c>
      <c r="AD26" s="919" t="s">
        <v>168</v>
      </c>
      <c r="AE26" s="919" t="s">
        <v>168</v>
      </c>
      <c r="AF26" s="916"/>
      <c r="AG26" s="916"/>
      <c r="AH26" s="916"/>
    </row>
    <row r="27" spans="1:34" ht="57">
      <c r="A27" s="914">
        <v>20</v>
      </c>
      <c r="B27" s="914" t="s">
        <v>228</v>
      </c>
      <c r="C27" s="914" t="s">
        <v>1241</v>
      </c>
      <c r="D27" s="914" t="s">
        <v>1257</v>
      </c>
      <c r="E27" s="914" t="s">
        <v>1258</v>
      </c>
      <c r="F27" s="915" t="s">
        <v>1252</v>
      </c>
      <c r="G27" s="915" t="s">
        <v>1259</v>
      </c>
      <c r="H27" s="915" t="s">
        <v>1210</v>
      </c>
      <c r="I27" s="916" t="s">
        <v>1260</v>
      </c>
      <c r="J27" s="916" t="s">
        <v>1269</v>
      </c>
      <c r="K27" s="916" t="s">
        <v>1239</v>
      </c>
      <c r="L27" s="914">
        <v>2016</v>
      </c>
      <c r="M27" s="918" t="s">
        <v>168</v>
      </c>
      <c r="N27" s="918" t="s">
        <v>168</v>
      </c>
      <c r="O27" s="918" t="s">
        <v>168</v>
      </c>
      <c r="P27" s="919" t="s">
        <v>168</v>
      </c>
      <c r="Q27" s="919" t="s">
        <v>168</v>
      </c>
      <c r="R27" s="919" t="s">
        <v>168</v>
      </c>
      <c r="S27" s="918" t="s">
        <v>168</v>
      </c>
      <c r="T27" s="918" t="s">
        <v>168</v>
      </c>
      <c r="U27" s="918" t="s">
        <v>168</v>
      </c>
      <c r="V27" s="918" t="s">
        <v>168</v>
      </c>
      <c r="W27" s="918" t="s">
        <v>168</v>
      </c>
      <c r="X27" s="919" t="s">
        <v>168</v>
      </c>
      <c r="Y27" s="918" t="s">
        <v>168</v>
      </c>
      <c r="Z27" s="918" t="s">
        <v>168</v>
      </c>
      <c r="AA27" s="919" t="s">
        <v>168</v>
      </c>
      <c r="AB27" s="919" t="s">
        <v>168</v>
      </c>
      <c r="AC27" s="919" t="s">
        <v>168</v>
      </c>
      <c r="AD27" s="919" t="s">
        <v>168</v>
      </c>
      <c r="AE27" s="919" t="s">
        <v>168</v>
      </c>
      <c r="AF27" s="916"/>
      <c r="AG27" s="916"/>
      <c r="AH27" s="916"/>
    </row>
    <row r="28" spans="1:34" ht="57">
      <c r="A28" s="914">
        <v>21</v>
      </c>
      <c r="B28" s="914" t="s">
        <v>228</v>
      </c>
      <c r="C28" s="914" t="s">
        <v>1241</v>
      </c>
      <c r="D28" s="914" t="s">
        <v>1257</v>
      </c>
      <c r="E28" s="914" t="s">
        <v>1258</v>
      </c>
      <c r="F28" s="915" t="s">
        <v>1253</v>
      </c>
      <c r="G28" s="915" t="s">
        <v>1259</v>
      </c>
      <c r="H28" s="915" t="s">
        <v>1210</v>
      </c>
      <c r="I28" s="916" t="s">
        <v>1260</v>
      </c>
      <c r="J28" s="916" t="s">
        <v>1270</v>
      </c>
      <c r="K28" s="916" t="s">
        <v>1239</v>
      </c>
      <c r="L28" s="914">
        <v>2016</v>
      </c>
      <c r="M28" s="918" t="s">
        <v>168</v>
      </c>
      <c r="N28" s="918" t="s">
        <v>168</v>
      </c>
      <c r="O28" s="918" t="s">
        <v>168</v>
      </c>
      <c r="P28" s="919" t="s">
        <v>168</v>
      </c>
      <c r="Q28" s="919" t="s">
        <v>168</v>
      </c>
      <c r="R28" s="919" t="s">
        <v>168</v>
      </c>
      <c r="S28" s="918" t="s">
        <v>168</v>
      </c>
      <c r="T28" s="918" t="s">
        <v>168</v>
      </c>
      <c r="U28" s="918" t="s">
        <v>168</v>
      </c>
      <c r="V28" s="918" t="s">
        <v>168</v>
      </c>
      <c r="W28" s="918" t="s">
        <v>168</v>
      </c>
      <c r="X28" s="919" t="s">
        <v>168</v>
      </c>
      <c r="Y28" s="918" t="s">
        <v>168</v>
      </c>
      <c r="Z28" s="918" t="s">
        <v>168</v>
      </c>
      <c r="AA28" s="919" t="s">
        <v>168</v>
      </c>
      <c r="AB28" s="919" t="s">
        <v>168</v>
      </c>
      <c r="AC28" s="919" t="s">
        <v>168</v>
      </c>
      <c r="AD28" s="919" t="s">
        <v>168</v>
      </c>
      <c r="AE28" s="919" t="s">
        <v>168</v>
      </c>
      <c r="AF28" s="916"/>
      <c r="AG28" s="916"/>
      <c r="AH28" s="916"/>
    </row>
    <row r="29" spans="1:34" ht="57">
      <c r="A29" s="914">
        <v>22</v>
      </c>
      <c r="B29" s="914" t="s">
        <v>228</v>
      </c>
      <c r="C29" s="914" t="s">
        <v>1241</v>
      </c>
      <c r="D29" s="914" t="s">
        <v>1257</v>
      </c>
      <c r="E29" s="914" t="s">
        <v>1258</v>
      </c>
      <c r="F29" s="915" t="s">
        <v>1254</v>
      </c>
      <c r="G29" s="915" t="s">
        <v>1259</v>
      </c>
      <c r="H29" s="915" t="s">
        <v>1210</v>
      </c>
      <c r="I29" s="916" t="s">
        <v>1260</v>
      </c>
      <c r="J29" s="916" t="s">
        <v>1271</v>
      </c>
      <c r="K29" s="916" t="s">
        <v>1239</v>
      </c>
      <c r="L29" s="914">
        <v>2016</v>
      </c>
      <c r="M29" s="918" t="s">
        <v>168</v>
      </c>
      <c r="N29" s="918" t="s">
        <v>168</v>
      </c>
      <c r="O29" s="918" t="s">
        <v>168</v>
      </c>
      <c r="P29" s="919" t="s">
        <v>168</v>
      </c>
      <c r="Q29" s="919" t="s">
        <v>168</v>
      </c>
      <c r="R29" s="919" t="s">
        <v>168</v>
      </c>
      <c r="S29" s="918" t="s">
        <v>168</v>
      </c>
      <c r="T29" s="918" t="s">
        <v>168</v>
      </c>
      <c r="U29" s="918" t="s">
        <v>168</v>
      </c>
      <c r="V29" s="918" t="s">
        <v>168</v>
      </c>
      <c r="W29" s="918" t="s">
        <v>168</v>
      </c>
      <c r="X29" s="919" t="s">
        <v>168</v>
      </c>
      <c r="Y29" s="918" t="s">
        <v>168</v>
      </c>
      <c r="Z29" s="918" t="s">
        <v>168</v>
      </c>
      <c r="AA29" s="919" t="s">
        <v>168</v>
      </c>
      <c r="AB29" s="919" t="s">
        <v>168</v>
      </c>
      <c r="AC29" s="919" t="s">
        <v>168</v>
      </c>
      <c r="AD29" s="919" t="s">
        <v>168</v>
      </c>
      <c r="AE29" s="919" t="s">
        <v>168</v>
      </c>
      <c r="AF29" s="916"/>
      <c r="AG29" s="916"/>
      <c r="AH29" s="916"/>
    </row>
    <row r="30" spans="1:34" ht="57">
      <c r="A30" s="914">
        <v>23</v>
      </c>
      <c r="B30" s="914" t="s">
        <v>228</v>
      </c>
      <c r="C30" s="914" t="s">
        <v>1241</v>
      </c>
      <c r="D30" s="914" t="s">
        <v>1257</v>
      </c>
      <c r="E30" s="914" t="s">
        <v>1258</v>
      </c>
      <c r="F30" s="915" t="s">
        <v>1255</v>
      </c>
      <c r="G30" s="921" t="s">
        <v>1259</v>
      </c>
      <c r="H30" s="915" t="s">
        <v>1210</v>
      </c>
      <c r="I30" s="916" t="s">
        <v>1260</v>
      </c>
      <c r="J30" s="917" t="s">
        <v>1272</v>
      </c>
      <c r="K30" s="916" t="s">
        <v>1239</v>
      </c>
      <c r="L30" s="914">
        <v>2016</v>
      </c>
      <c r="M30" s="918">
        <v>56204868.689999998</v>
      </c>
      <c r="N30" s="918" t="s">
        <v>168</v>
      </c>
      <c r="O30" s="918" t="s">
        <v>168</v>
      </c>
      <c r="P30" s="919">
        <v>28735741.640000001</v>
      </c>
      <c r="Q30" s="919">
        <v>75508723.790000007</v>
      </c>
      <c r="R30" s="919">
        <v>49283463.149999999</v>
      </c>
      <c r="S30" s="918">
        <v>113746626.80438012</v>
      </c>
      <c r="T30" s="918">
        <v>125121289.48481812</v>
      </c>
      <c r="U30" s="918">
        <v>136794614.85750267</v>
      </c>
      <c r="V30" s="918">
        <v>483708494.60594678</v>
      </c>
      <c r="W30" s="918">
        <v>349352958.40179092</v>
      </c>
      <c r="X30" s="919">
        <v>81885559.930000007</v>
      </c>
      <c r="Y30" s="918" t="s">
        <v>168</v>
      </c>
      <c r="Z30" s="918" t="s">
        <v>168</v>
      </c>
      <c r="AA30" s="919">
        <v>483708494.60594678</v>
      </c>
      <c r="AB30" s="919">
        <v>103926945</v>
      </c>
      <c r="AC30" s="919">
        <v>111201831</v>
      </c>
      <c r="AD30" s="919">
        <v>116761921</v>
      </c>
      <c r="AE30" s="919">
        <v>121432398</v>
      </c>
      <c r="AF30" s="916" t="s">
        <v>168</v>
      </c>
      <c r="AG30" s="916" t="s">
        <v>1266</v>
      </c>
      <c r="AH30" s="916"/>
    </row>
    <row r="31" spans="1:34" ht="57">
      <c r="A31" s="914">
        <v>24</v>
      </c>
      <c r="B31" s="914" t="s">
        <v>228</v>
      </c>
      <c r="C31" s="914" t="s">
        <v>1241</v>
      </c>
      <c r="D31" s="914" t="s">
        <v>1257</v>
      </c>
      <c r="E31" s="914" t="s">
        <v>1258</v>
      </c>
      <c r="F31" s="915" t="s">
        <v>1256</v>
      </c>
      <c r="G31" s="921" t="s">
        <v>1259</v>
      </c>
      <c r="H31" s="915" t="s">
        <v>1210</v>
      </c>
      <c r="I31" s="916" t="s">
        <v>1260</v>
      </c>
      <c r="J31" s="917" t="s">
        <v>1273</v>
      </c>
      <c r="K31" s="916" t="s">
        <v>1239</v>
      </c>
      <c r="L31" s="914">
        <v>2016</v>
      </c>
      <c r="M31" s="918">
        <v>33996507.910000004</v>
      </c>
      <c r="N31" s="918" t="s">
        <v>168</v>
      </c>
      <c r="O31" s="918" t="s">
        <v>168</v>
      </c>
      <c r="P31" s="919">
        <v>17940390.550000001</v>
      </c>
      <c r="Q31" s="919">
        <v>50636472.979999997</v>
      </c>
      <c r="R31" s="919">
        <v>38770505.140000001</v>
      </c>
      <c r="S31" s="918">
        <v>45255194.696111523</v>
      </c>
      <c r="T31" s="918">
        <v>49780714.165722668</v>
      </c>
      <c r="U31" s="918">
        <v>54425059.473653652</v>
      </c>
      <c r="V31" s="918">
        <v>192448099.02980074</v>
      </c>
      <c r="W31" s="918">
        <v>138993450.56909233</v>
      </c>
      <c r="X31" s="919">
        <v>55175858.049999997</v>
      </c>
      <c r="Y31" s="918" t="s">
        <v>168</v>
      </c>
      <c r="Z31" s="918" t="s">
        <v>168</v>
      </c>
      <c r="AA31" s="919">
        <v>192448099.02980074</v>
      </c>
      <c r="AB31" s="919">
        <v>69942834</v>
      </c>
      <c r="AC31" s="919">
        <v>74838832</v>
      </c>
      <c r="AD31" s="919">
        <v>78580773</v>
      </c>
      <c r="AE31" s="919">
        <v>81724004</v>
      </c>
      <c r="AF31" s="916" t="s">
        <v>168</v>
      </c>
      <c r="AG31" s="916" t="s">
        <v>1266</v>
      </c>
      <c r="AH31" s="916"/>
    </row>
    <row r="32" spans="1:34" ht="57">
      <c r="A32" s="914">
        <v>25</v>
      </c>
      <c r="B32" s="914" t="s">
        <v>228</v>
      </c>
      <c r="C32" s="914" t="s">
        <v>1241</v>
      </c>
      <c r="D32" s="914" t="s">
        <v>1274</v>
      </c>
      <c r="E32" s="914" t="s">
        <v>1275</v>
      </c>
      <c r="F32" s="915" t="s">
        <v>1243</v>
      </c>
      <c r="G32" s="915" t="s">
        <v>1276</v>
      </c>
      <c r="H32" s="915" t="s">
        <v>1210</v>
      </c>
      <c r="I32" s="916" t="s">
        <v>1277</v>
      </c>
      <c r="J32" s="916" t="s">
        <v>1278</v>
      </c>
      <c r="K32" s="916" t="s">
        <v>1239</v>
      </c>
      <c r="L32" s="914">
        <v>2016</v>
      </c>
      <c r="M32" s="918" t="s">
        <v>168</v>
      </c>
      <c r="N32" s="918" t="s">
        <v>168</v>
      </c>
      <c r="O32" s="918" t="s">
        <v>168</v>
      </c>
      <c r="P32" s="919" t="s">
        <v>168</v>
      </c>
      <c r="Q32" s="919" t="s">
        <v>168</v>
      </c>
      <c r="R32" s="919" t="s">
        <v>168</v>
      </c>
      <c r="S32" s="918" t="s">
        <v>168</v>
      </c>
      <c r="T32" s="918" t="s">
        <v>168</v>
      </c>
      <c r="U32" s="918" t="s">
        <v>168</v>
      </c>
      <c r="V32" s="918" t="s">
        <v>168</v>
      </c>
      <c r="W32" s="918" t="s">
        <v>168</v>
      </c>
      <c r="X32" s="919" t="s">
        <v>168</v>
      </c>
      <c r="Y32" s="918" t="s">
        <v>168</v>
      </c>
      <c r="Z32" s="918" t="s">
        <v>168</v>
      </c>
      <c r="AA32" s="919" t="s">
        <v>168</v>
      </c>
      <c r="AB32" s="919" t="s">
        <v>168</v>
      </c>
      <c r="AC32" s="919" t="s">
        <v>168</v>
      </c>
      <c r="AD32" s="919" t="s">
        <v>168</v>
      </c>
      <c r="AE32" s="919" t="s">
        <v>168</v>
      </c>
      <c r="AF32" s="916"/>
      <c r="AG32" s="916"/>
      <c r="AH32" s="916"/>
    </row>
    <row r="33" spans="1:34" ht="57">
      <c r="A33" s="914">
        <v>26</v>
      </c>
      <c r="B33" s="914" t="s">
        <v>228</v>
      </c>
      <c r="C33" s="914" t="s">
        <v>1241</v>
      </c>
      <c r="D33" s="914" t="s">
        <v>1274</v>
      </c>
      <c r="E33" s="914" t="s">
        <v>1275</v>
      </c>
      <c r="F33" s="915" t="s">
        <v>1246</v>
      </c>
      <c r="G33" s="915" t="s">
        <v>1276</v>
      </c>
      <c r="H33" s="915" t="s">
        <v>1210</v>
      </c>
      <c r="I33" s="916" t="s">
        <v>1277</v>
      </c>
      <c r="J33" s="916" t="s">
        <v>1279</v>
      </c>
      <c r="K33" s="916" t="s">
        <v>1239</v>
      </c>
      <c r="L33" s="914">
        <v>2016</v>
      </c>
      <c r="M33" s="918" t="s">
        <v>168</v>
      </c>
      <c r="N33" s="918" t="s">
        <v>168</v>
      </c>
      <c r="O33" s="918" t="s">
        <v>168</v>
      </c>
      <c r="P33" s="919" t="s">
        <v>168</v>
      </c>
      <c r="Q33" s="919" t="s">
        <v>168</v>
      </c>
      <c r="R33" s="919" t="s">
        <v>168</v>
      </c>
      <c r="S33" s="918" t="s">
        <v>168</v>
      </c>
      <c r="T33" s="918" t="s">
        <v>168</v>
      </c>
      <c r="U33" s="918" t="s">
        <v>168</v>
      </c>
      <c r="V33" s="918" t="s">
        <v>168</v>
      </c>
      <c r="W33" s="918" t="s">
        <v>168</v>
      </c>
      <c r="X33" s="919" t="s">
        <v>168</v>
      </c>
      <c r="Y33" s="918" t="s">
        <v>168</v>
      </c>
      <c r="Z33" s="918" t="s">
        <v>168</v>
      </c>
      <c r="AA33" s="919" t="s">
        <v>168</v>
      </c>
      <c r="AB33" s="919" t="s">
        <v>168</v>
      </c>
      <c r="AC33" s="919" t="s">
        <v>168</v>
      </c>
      <c r="AD33" s="919" t="s">
        <v>168</v>
      </c>
      <c r="AE33" s="919" t="s">
        <v>168</v>
      </c>
      <c r="AF33" s="916"/>
      <c r="AG33" s="916"/>
      <c r="AH33" s="916"/>
    </row>
    <row r="34" spans="1:34" ht="57">
      <c r="A34" s="914">
        <v>27</v>
      </c>
      <c r="B34" s="914" t="s">
        <v>228</v>
      </c>
      <c r="C34" s="914" t="s">
        <v>1241</v>
      </c>
      <c r="D34" s="914" t="s">
        <v>1274</v>
      </c>
      <c r="E34" s="914" t="s">
        <v>1275</v>
      </c>
      <c r="F34" s="915" t="s">
        <v>1247</v>
      </c>
      <c r="G34" s="915" t="s">
        <v>1276</v>
      </c>
      <c r="H34" s="915" t="s">
        <v>1210</v>
      </c>
      <c r="I34" s="916" t="s">
        <v>1277</v>
      </c>
      <c r="J34" s="916" t="s">
        <v>1280</v>
      </c>
      <c r="K34" s="916" t="s">
        <v>1239</v>
      </c>
      <c r="L34" s="914">
        <v>2016</v>
      </c>
      <c r="M34" s="918" t="s">
        <v>168</v>
      </c>
      <c r="N34" s="918" t="s">
        <v>168</v>
      </c>
      <c r="O34" s="918" t="s">
        <v>168</v>
      </c>
      <c r="P34" s="919" t="s">
        <v>168</v>
      </c>
      <c r="Q34" s="919" t="s">
        <v>168</v>
      </c>
      <c r="R34" s="919" t="s">
        <v>168</v>
      </c>
      <c r="S34" s="918" t="s">
        <v>168</v>
      </c>
      <c r="T34" s="918" t="s">
        <v>168</v>
      </c>
      <c r="U34" s="918" t="s">
        <v>168</v>
      </c>
      <c r="V34" s="918" t="s">
        <v>168</v>
      </c>
      <c r="W34" s="918" t="s">
        <v>168</v>
      </c>
      <c r="X34" s="919" t="s">
        <v>168</v>
      </c>
      <c r="Y34" s="918" t="s">
        <v>168</v>
      </c>
      <c r="Z34" s="918" t="s">
        <v>168</v>
      </c>
      <c r="AA34" s="919" t="s">
        <v>168</v>
      </c>
      <c r="AB34" s="919" t="s">
        <v>168</v>
      </c>
      <c r="AC34" s="919" t="s">
        <v>168</v>
      </c>
      <c r="AD34" s="919" t="s">
        <v>168</v>
      </c>
      <c r="AE34" s="919" t="s">
        <v>168</v>
      </c>
      <c r="AF34" s="916"/>
      <c r="AG34" s="916"/>
      <c r="AH34" s="916"/>
    </row>
    <row r="35" spans="1:34" ht="57">
      <c r="A35" s="914">
        <v>28</v>
      </c>
      <c r="B35" s="914" t="s">
        <v>228</v>
      </c>
      <c r="C35" s="914" t="s">
        <v>1241</v>
      </c>
      <c r="D35" s="914" t="s">
        <v>1274</v>
      </c>
      <c r="E35" s="914" t="s">
        <v>1275</v>
      </c>
      <c r="F35" s="915" t="s">
        <v>1248</v>
      </c>
      <c r="G35" s="915" t="s">
        <v>1276</v>
      </c>
      <c r="H35" s="915" t="s">
        <v>1210</v>
      </c>
      <c r="I35" s="916" t="s">
        <v>1277</v>
      </c>
      <c r="J35" s="916" t="s">
        <v>1248</v>
      </c>
      <c r="K35" s="916" t="s">
        <v>1239</v>
      </c>
      <c r="L35" s="914">
        <v>2016</v>
      </c>
      <c r="M35" s="918" t="s">
        <v>168</v>
      </c>
      <c r="N35" s="918" t="s">
        <v>168</v>
      </c>
      <c r="O35" s="918" t="s">
        <v>168</v>
      </c>
      <c r="P35" s="919" t="s">
        <v>168</v>
      </c>
      <c r="Q35" s="919" t="s">
        <v>168</v>
      </c>
      <c r="R35" s="919" t="s">
        <v>168</v>
      </c>
      <c r="S35" s="918" t="s">
        <v>168</v>
      </c>
      <c r="T35" s="918" t="s">
        <v>168</v>
      </c>
      <c r="U35" s="918" t="s">
        <v>168</v>
      </c>
      <c r="V35" s="918" t="s">
        <v>168</v>
      </c>
      <c r="W35" s="918" t="s">
        <v>168</v>
      </c>
      <c r="X35" s="919" t="s">
        <v>168</v>
      </c>
      <c r="Y35" s="918" t="s">
        <v>168</v>
      </c>
      <c r="Z35" s="918" t="s">
        <v>168</v>
      </c>
      <c r="AA35" s="919" t="s">
        <v>168</v>
      </c>
      <c r="AB35" s="919" t="s">
        <v>168</v>
      </c>
      <c r="AC35" s="919" t="s">
        <v>168</v>
      </c>
      <c r="AD35" s="919" t="s">
        <v>168</v>
      </c>
      <c r="AE35" s="919" t="s">
        <v>168</v>
      </c>
      <c r="AF35" s="916"/>
      <c r="AG35" s="916"/>
      <c r="AH35" s="916"/>
    </row>
    <row r="36" spans="1:34" ht="71.25">
      <c r="A36" s="914">
        <v>29</v>
      </c>
      <c r="B36" s="914" t="s">
        <v>228</v>
      </c>
      <c r="C36" s="914" t="s">
        <v>1241</v>
      </c>
      <c r="D36" s="914" t="s">
        <v>1274</v>
      </c>
      <c r="E36" s="914" t="s">
        <v>1275</v>
      </c>
      <c r="F36" s="915" t="s">
        <v>1249</v>
      </c>
      <c r="G36" s="921" t="s">
        <v>1276</v>
      </c>
      <c r="H36" s="921" t="s">
        <v>1210</v>
      </c>
      <c r="I36" s="917" t="s">
        <v>1277</v>
      </c>
      <c r="J36" s="917" t="s">
        <v>1249</v>
      </c>
      <c r="K36" s="916" t="s">
        <v>1239</v>
      </c>
      <c r="L36" s="914">
        <v>2016</v>
      </c>
      <c r="M36" s="918">
        <v>5427643.9399999995</v>
      </c>
      <c r="N36" s="918" t="s">
        <v>168</v>
      </c>
      <c r="O36" s="918" t="s">
        <v>168</v>
      </c>
      <c r="P36" s="919">
        <v>4382279.3099999996</v>
      </c>
      <c r="Q36" s="919">
        <v>15684662.49</v>
      </c>
      <c r="R36" s="919">
        <v>17096574.34</v>
      </c>
      <c r="S36" s="918">
        <v>8969955.5362721365</v>
      </c>
      <c r="T36" s="918">
        <v>10004950.405841997</v>
      </c>
      <c r="U36" s="918">
        <v>10715031.884226376</v>
      </c>
      <c r="V36" s="918">
        <v>37737334.447556324</v>
      </c>
      <c r="W36" s="918">
        <v>27549360.741141073</v>
      </c>
      <c r="X36" s="919">
        <v>17909675.41</v>
      </c>
      <c r="Y36" s="918" t="s">
        <v>168</v>
      </c>
      <c r="Z36" s="918" t="s">
        <v>168</v>
      </c>
      <c r="AA36" s="919">
        <v>37737334.447556324</v>
      </c>
      <c r="AB36" s="919">
        <v>20178880</v>
      </c>
      <c r="AC36" s="919">
        <v>21595029</v>
      </c>
      <c r="AD36" s="919">
        <v>22674780</v>
      </c>
      <c r="AE36" s="919">
        <v>23581772</v>
      </c>
      <c r="AF36" s="916" t="s">
        <v>168</v>
      </c>
      <c r="AG36" s="916" t="s">
        <v>1281</v>
      </c>
      <c r="AH36" s="916"/>
    </row>
    <row r="37" spans="1:34" ht="71.25">
      <c r="A37" s="914">
        <v>30</v>
      </c>
      <c r="B37" s="914" t="s">
        <v>228</v>
      </c>
      <c r="C37" s="914" t="s">
        <v>1241</v>
      </c>
      <c r="D37" s="914" t="s">
        <v>1274</v>
      </c>
      <c r="E37" s="914" t="s">
        <v>1275</v>
      </c>
      <c r="F37" s="915" t="s">
        <v>1250</v>
      </c>
      <c r="G37" s="921" t="s">
        <v>1276</v>
      </c>
      <c r="H37" s="921" t="s">
        <v>1210</v>
      </c>
      <c r="I37" s="917" t="s">
        <v>1277</v>
      </c>
      <c r="J37" s="917" t="s">
        <v>1250</v>
      </c>
      <c r="K37" s="916" t="s">
        <v>1239</v>
      </c>
      <c r="L37" s="914">
        <v>2016</v>
      </c>
      <c r="M37" s="918">
        <v>3331000.1100000003</v>
      </c>
      <c r="N37" s="918" t="s">
        <v>168</v>
      </c>
      <c r="O37" s="918" t="s">
        <v>168</v>
      </c>
      <c r="P37" s="919">
        <v>2781629.32</v>
      </c>
      <c r="Q37" s="919">
        <v>12468382.01</v>
      </c>
      <c r="R37" s="919">
        <v>16412116.460000001</v>
      </c>
      <c r="S37" s="918">
        <v>6690982.0692547923</v>
      </c>
      <c r="T37" s="918">
        <v>7360080.2761802711</v>
      </c>
      <c r="U37" s="918">
        <v>8044257.1213134462</v>
      </c>
      <c r="V37" s="918">
        <v>46127385.409668982</v>
      </c>
      <c r="W37" s="918">
        <v>33220453.582693268</v>
      </c>
      <c r="X37" s="919">
        <v>15688736.77</v>
      </c>
      <c r="Y37" s="918" t="s">
        <v>168</v>
      </c>
      <c r="Z37" s="918" t="s">
        <v>168</v>
      </c>
      <c r="AA37" s="919">
        <v>46127385.409668982</v>
      </c>
      <c r="AB37" s="919">
        <v>17679669</v>
      </c>
      <c r="AC37" s="919">
        <v>18917246</v>
      </c>
      <c r="AD37" s="919">
        <v>19863108</v>
      </c>
      <c r="AE37" s="919">
        <v>20657632</v>
      </c>
      <c r="AF37" s="916" t="s">
        <v>168</v>
      </c>
      <c r="AG37" s="916" t="s">
        <v>1281</v>
      </c>
      <c r="AH37" s="916"/>
    </row>
    <row r="38" spans="1:34" ht="57">
      <c r="A38" s="914">
        <v>31</v>
      </c>
      <c r="B38" s="914" t="s">
        <v>228</v>
      </c>
      <c r="C38" s="914" t="s">
        <v>1241</v>
      </c>
      <c r="D38" s="914" t="s">
        <v>1274</v>
      </c>
      <c r="E38" s="914" t="s">
        <v>1275</v>
      </c>
      <c r="F38" s="915" t="s">
        <v>1251</v>
      </c>
      <c r="G38" s="915" t="s">
        <v>1276</v>
      </c>
      <c r="H38" s="915" t="s">
        <v>1210</v>
      </c>
      <c r="I38" s="916" t="s">
        <v>1277</v>
      </c>
      <c r="J38" s="916" t="s">
        <v>1251</v>
      </c>
      <c r="K38" s="916" t="s">
        <v>1239</v>
      </c>
      <c r="L38" s="914">
        <v>2016</v>
      </c>
      <c r="M38" s="918" t="s">
        <v>168</v>
      </c>
      <c r="N38" s="918" t="s">
        <v>168</v>
      </c>
      <c r="O38" s="918" t="s">
        <v>168</v>
      </c>
      <c r="P38" s="919" t="s">
        <v>168</v>
      </c>
      <c r="Q38" s="919" t="s">
        <v>168</v>
      </c>
      <c r="R38" s="919" t="s">
        <v>168</v>
      </c>
      <c r="S38" s="918" t="s">
        <v>168</v>
      </c>
      <c r="T38" s="918" t="s">
        <v>168</v>
      </c>
      <c r="U38" s="918" t="s">
        <v>168</v>
      </c>
      <c r="V38" s="918" t="s">
        <v>168</v>
      </c>
      <c r="W38" s="918" t="s">
        <v>168</v>
      </c>
      <c r="X38" s="919" t="s">
        <v>168</v>
      </c>
      <c r="Y38" s="918" t="s">
        <v>168</v>
      </c>
      <c r="Z38" s="918" t="s">
        <v>168</v>
      </c>
      <c r="AA38" s="919" t="s">
        <v>168</v>
      </c>
      <c r="AB38" s="919" t="s">
        <v>168</v>
      </c>
      <c r="AC38" s="919" t="s">
        <v>168</v>
      </c>
      <c r="AD38" s="919" t="s">
        <v>168</v>
      </c>
      <c r="AE38" s="919" t="s">
        <v>168</v>
      </c>
      <c r="AF38" s="916"/>
      <c r="AG38" s="916"/>
      <c r="AH38" s="916"/>
    </row>
    <row r="39" spans="1:34" ht="57">
      <c r="A39" s="914">
        <v>32</v>
      </c>
      <c r="B39" s="914" t="s">
        <v>228</v>
      </c>
      <c r="C39" s="914" t="s">
        <v>1241</v>
      </c>
      <c r="D39" s="914" t="s">
        <v>1274</v>
      </c>
      <c r="E39" s="914" t="s">
        <v>1275</v>
      </c>
      <c r="F39" s="915" t="s">
        <v>1252</v>
      </c>
      <c r="G39" s="915" t="s">
        <v>1276</v>
      </c>
      <c r="H39" s="915" t="s">
        <v>1210</v>
      </c>
      <c r="I39" s="916" t="s">
        <v>1277</v>
      </c>
      <c r="J39" s="916" t="s">
        <v>1252</v>
      </c>
      <c r="K39" s="916" t="s">
        <v>1239</v>
      </c>
      <c r="L39" s="914">
        <v>2016</v>
      </c>
      <c r="M39" s="918" t="s">
        <v>168</v>
      </c>
      <c r="N39" s="918" t="s">
        <v>168</v>
      </c>
      <c r="O39" s="918" t="s">
        <v>168</v>
      </c>
      <c r="P39" s="919" t="s">
        <v>168</v>
      </c>
      <c r="Q39" s="919" t="s">
        <v>168</v>
      </c>
      <c r="R39" s="919" t="s">
        <v>168</v>
      </c>
      <c r="S39" s="918" t="s">
        <v>168</v>
      </c>
      <c r="T39" s="918" t="s">
        <v>168</v>
      </c>
      <c r="U39" s="918" t="s">
        <v>168</v>
      </c>
      <c r="V39" s="918" t="s">
        <v>168</v>
      </c>
      <c r="W39" s="918" t="s">
        <v>168</v>
      </c>
      <c r="X39" s="919" t="s">
        <v>168</v>
      </c>
      <c r="Y39" s="918" t="s">
        <v>168</v>
      </c>
      <c r="Z39" s="918" t="s">
        <v>168</v>
      </c>
      <c r="AA39" s="919" t="s">
        <v>168</v>
      </c>
      <c r="AB39" s="919" t="s">
        <v>168</v>
      </c>
      <c r="AC39" s="919" t="s">
        <v>168</v>
      </c>
      <c r="AD39" s="919" t="s">
        <v>168</v>
      </c>
      <c r="AE39" s="919" t="s">
        <v>168</v>
      </c>
      <c r="AF39" s="916"/>
      <c r="AG39" s="916"/>
      <c r="AH39" s="916"/>
    </row>
    <row r="40" spans="1:34" ht="57">
      <c r="A40" s="914">
        <v>33</v>
      </c>
      <c r="B40" s="914" t="s">
        <v>228</v>
      </c>
      <c r="C40" s="914" t="s">
        <v>1241</v>
      </c>
      <c r="D40" s="914" t="s">
        <v>1274</v>
      </c>
      <c r="E40" s="914" t="s">
        <v>1275</v>
      </c>
      <c r="F40" s="915" t="s">
        <v>1253</v>
      </c>
      <c r="G40" s="915" t="s">
        <v>1276</v>
      </c>
      <c r="H40" s="915" t="s">
        <v>1210</v>
      </c>
      <c r="I40" s="916" t="s">
        <v>1277</v>
      </c>
      <c r="J40" s="916" t="s">
        <v>1253</v>
      </c>
      <c r="K40" s="916" t="s">
        <v>1239</v>
      </c>
      <c r="L40" s="914">
        <v>2016</v>
      </c>
      <c r="M40" s="918" t="s">
        <v>168</v>
      </c>
      <c r="N40" s="918" t="s">
        <v>168</v>
      </c>
      <c r="O40" s="918" t="s">
        <v>168</v>
      </c>
      <c r="P40" s="919" t="s">
        <v>168</v>
      </c>
      <c r="Q40" s="919" t="s">
        <v>168</v>
      </c>
      <c r="R40" s="919" t="s">
        <v>168</v>
      </c>
      <c r="S40" s="918" t="s">
        <v>168</v>
      </c>
      <c r="T40" s="918" t="s">
        <v>168</v>
      </c>
      <c r="U40" s="918" t="s">
        <v>168</v>
      </c>
      <c r="V40" s="918" t="s">
        <v>168</v>
      </c>
      <c r="W40" s="918" t="s">
        <v>168</v>
      </c>
      <c r="X40" s="919" t="s">
        <v>168</v>
      </c>
      <c r="Y40" s="918" t="s">
        <v>168</v>
      </c>
      <c r="Z40" s="918" t="s">
        <v>168</v>
      </c>
      <c r="AA40" s="919" t="s">
        <v>168</v>
      </c>
      <c r="AB40" s="919" t="s">
        <v>168</v>
      </c>
      <c r="AC40" s="919" t="s">
        <v>168</v>
      </c>
      <c r="AD40" s="919" t="s">
        <v>168</v>
      </c>
      <c r="AE40" s="919" t="s">
        <v>168</v>
      </c>
      <c r="AF40" s="916"/>
      <c r="AG40" s="916"/>
      <c r="AH40" s="916"/>
    </row>
    <row r="41" spans="1:34" ht="57">
      <c r="A41" s="914">
        <v>34</v>
      </c>
      <c r="B41" s="914" t="s">
        <v>228</v>
      </c>
      <c r="C41" s="914" t="s">
        <v>1241</v>
      </c>
      <c r="D41" s="914" t="s">
        <v>1274</v>
      </c>
      <c r="E41" s="914" t="s">
        <v>1275</v>
      </c>
      <c r="F41" s="915" t="s">
        <v>1254</v>
      </c>
      <c r="G41" s="915" t="s">
        <v>1276</v>
      </c>
      <c r="H41" s="915" t="s">
        <v>1210</v>
      </c>
      <c r="I41" s="916" t="s">
        <v>1277</v>
      </c>
      <c r="J41" s="916" t="s">
        <v>1254</v>
      </c>
      <c r="K41" s="916" t="s">
        <v>1239</v>
      </c>
      <c r="L41" s="914">
        <v>2016</v>
      </c>
      <c r="M41" s="918" t="s">
        <v>168</v>
      </c>
      <c r="N41" s="918" t="s">
        <v>168</v>
      </c>
      <c r="O41" s="918" t="s">
        <v>168</v>
      </c>
      <c r="P41" s="919" t="s">
        <v>168</v>
      </c>
      <c r="Q41" s="919" t="s">
        <v>168</v>
      </c>
      <c r="R41" s="919" t="s">
        <v>168</v>
      </c>
      <c r="S41" s="918" t="s">
        <v>168</v>
      </c>
      <c r="T41" s="918" t="s">
        <v>168</v>
      </c>
      <c r="U41" s="918" t="s">
        <v>168</v>
      </c>
      <c r="V41" s="918" t="s">
        <v>168</v>
      </c>
      <c r="W41" s="918" t="s">
        <v>168</v>
      </c>
      <c r="X41" s="919" t="s">
        <v>168</v>
      </c>
      <c r="Y41" s="918" t="s">
        <v>168</v>
      </c>
      <c r="Z41" s="918" t="s">
        <v>168</v>
      </c>
      <c r="AA41" s="919" t="s">
        <v>168</v>
      </c>
      <c r="AB41" s="919" t="s">
        <v>168</v>
      </c>
      <c r="AC41" s="919" t="s">
        <v>168</v>
      </c>
      <c r="AD41" s="919" t="s">
        <v>168</v>
      </c>
      <c r="AE41" s="919" t="s">
        <v>168</v>
      </c>
      <c r="AF41" s="916"/>
      <c r="AG41" s="916"/>
      <c r="AH41" s="916"/>
    </row>
    <row r="42" spans="1:34" ht="71.25">
      <c r="A42" s="914">
        <v>35</v>
      </c>
      <c r="B42" s="914" t="s">
        <v>228</v>
      </c>
      <c r="C42" s="914" t="s">
        <v>1241</v>
      </c>
      <c r="D42" s="914" t="s">
        <v>1274</v>
      </c>
      <c r="E42" s="914" t="s">
        <v>1275</v>
      </c>
      <c r="F42" s="915" t="s">
        <v>1255</v>
      </c>
      <c r="G42" s="921" t="s">
        <v>1276</v>
      </c>
      <c r="H42" s="921" t="s">
        <v>1210</v>
      </c>
      <c r="I42" s="917" t="s">
        <v>1277</v>
      </c>
      <c r="J42" s="917" t="s">
        <v>1255</v>
      </c>
      <c r="K42" s="916" t="s">
        <v>1239</v>
      </c>
      <c r="L42" s="914">
        <v>2016</v>
      </c>
      <c r="M42" s="918">
        <v>66223534.469999999</v>
      </c>
      <c r="N42" s="918" t="s">
        <v>168</v>
      </c>
      <c r="O42" s="918" t="s">
        <v>168</v>
      </c>
      <c r="P42" s="919">
        <v>46307997.829999998</v>
      </c>
      <c r="Q42" s="919">
        <v>86159057.859999999</v>
      </c>
      <c r="R42" s="919">
        <v>58937258.469999999</v>
      </c>
      <c r="S42" s="918">
        <v>133023256.40014663</v>
      </c>
      <c r="T42" s="918">
        <v>146325582.04016128</v>
      </c>
      <c r="U42" s="918">
        <v>159927685.73005056</v>
      </c>
      <c r="V42" s="918">
        <v>562807459.63748491</v>
      </c>
      <c r="W42" s="918">
        <v>405327961.31474364</v>
      </c>
      <c r="X42" s="919">
        <v>91150331.700000003</v>
      </c>
      <c r="Y42" s="918" t="s">
        <v>168</v>
      </c>
      <c r="Z42" s="918" t="s">
        <v>168</v>
      </c>
      <c r="AA42" s="919">
        <v>562807459.63748491</v>
      </c>
      <c r="AB42" s="919">
        <v>95751212</v>
      </c>
      <c r="AC42" s="919">
        <v>102453797</v>
      </c>
      <c r="AD42" s="919">
        <v>107576487</v>
      </c>
      <c r="AE42" s="919">
        <v>111879546</v>
      </c>
      <c r="AF42" s="916" t="s">
        <v>168</v>
      </c>
      <c r="AG42" s="916" t="s">
        <v>1281</v>
      </c>
      <c r="AH42" s="916"/>
    </row>
    <row r="43" spans="1:34" ht="71.25">
      <c r="A43" s="914">
        <v>36</v>
      </c>
      <c r="B43" s="914" t="s">
        <v>228</v>
      </c>
      <c r="C43" s="914" t="s">
        <v>1241</v>
      </c>
      <c r="D43" s="914" t="s">
        <v>1274</v>
      </c>
      <c r="E43" s="914" t="s">
        <v>1275</v>
      </c>
      <c r="F43" s="915" t="s">
        <v>1256</v>
      </c>
      <c r="G43" s="921" t="s">
        <v>1276</v>
      </c>
      <c r="H43" s="921" t="s">
        <v>1210</v>
      </c>
      <c r="I43" s="917" t="s">
        <v>1277</v>
      </c>
      <c r="J43" s="917" t="s">
        <v>1256</v>
      </c>
      <c r="K43" s="916" t="s">
        <v>1239</v>
      </c>
      <c r="L43" s="914">
        <v>2016</v>
      </c>
      <c r="M43" s="918">
        <v>40097051.109999999</v>
      </c>
      <c r="N43" s="918" t="s">
        <v>168</v>
      </c>
      <c r="O43" s="918" t="s">
        <v>168</v>
      </c>
      <c r="P43" s="919">
        <v>28839246.670000002</v>
      </c>
      <c r="Q43" s="919">
        <v>57871675.990000002</v>
      </c>
      <c r="R43" s="919">
        <v>45605947.700000003</v>
      </c>
      <c r="S43" s="918">
        <v>52978199.318246782</v>
      </c>
      <c r="T43" s="918">
        <v>58276019.250071459</v>
      </c>
      <c r="U43" s="918">
        <v>63693229.593071453</v>
      </c>
      <c r="V43" s="918">
        <v>224145210.25391123</v>
      </c>
      <c r="W43" s="918">
        <v>161427002.35210481</v>
      </c>
      <c r="X43" s="919">
        <v>61463042.640000001</v>
      </c>
      <c r="Y43" s="918" t="s">
        <v>168</v>
      </c>
      <c r="Z43" s="918" t="s">
        <v>168</v>
      </c>
      <c r="AA43" s="919">
        <v>224145210.25391123</v>
      </c>
      <c r="AB43" s="919">
        <v>64536317</v>
      </c>
      <c r="AC43" s="919">
        <v>68897342</v>
      </c>
      <c r="AD43" s="919">
        <v>72466227</v>
      </c>
      <c r="AE43" s="919">
        <v>75147472</v>
      </c>
      <c r="AF43" s="916" t="s">
        <v>168</v>
      </c>
      <c r="AG43" s="916" t="s">
        <v>1281</v>
      </c>
      <c r="AH43" s="916"/>
    </row>
    <row r="44" spans="1:34" ht="28.5">
      <c r="A44" s="914">
        <v>37</v>
      </c>
      <c r="B44" s="914" t="s">
        <v>228</v>
      </c>
      <c r="C44" s="914" t="s">
        <v>1241</v>
      </c>
      <c r="D44" s="914" t="s">
        <v>1282</v>
      </c>
      <c r="E44" s="914" t="s">
        <v>1283</v>
      </c>
      <c r="F44" s="915" t="s">
        <v>1284</v>
      </c>
      <c r="G44" s="915" t="s">
        <v>1285</v>
      </c>
      <c r="H44" s="915" t="s">
        <v>1210</v>
      </c>
      <c r="I44" s="916" t="s">
        <v>1286</v>
      </c>
      <c r="J44" s="916" t="s">
        <v>1284</v>
      </c>
      <c r="K44" s="916" t="s">
        <v>1239</v>
      </c>
      <c r="L44" s="914">
        <v>2016</v>
      </c>
      <c r="M44" s="918" t="s">
        <v>168</v>
      </c>
      <c r="N44" s="918" t="s">
        <v>168</v>
      </c>
      <c r="O44" s="918" t="s">
        <v>168</v>
      </c>
      <c r="P44" s="919" t="s">
        <v>168</v>
      </c>
      <c r="Q44" s="919" t="s">
        <v>168</v>
      </c>
      <c r="R44" s="919" t="s">
        <v>168</v>
      </c>
      <c r="S44" s="918" t="s">
        <v>168</v>
      </c>
      <c r="T44" s="918" t="s">
        <v>168</v>
      </c>
      <c r="U44" s="918" t="s">
        <v>168</v>
      </c>
      <c r="V44" s="918" t="s">
        <v>168</v>
      </c>
      <c r="W44" s="918" t="s">
        <v>168</v>
      </c>
      <c r="X44" s="919" t="s">
        <v>168</v>
      </c>
      <c r="Y44" s="919" t="s">
        <v>168</v>
      </c>
      <c r="Z44" s="919" t="s">
        <v>168</v>
      </c>
      <c r="AA44" s="919" t="s">
        <v>168</v>
      </c>
      <c r="AB44" s="919" t="s">
        <v>168</v>
      </c>
      <c r="AC44" s="919" t="s">
        <v>168</v>
      </c>
      <c r="AD44" s="919" t="s">
        <v>168</v>
      </c>
      <c r="AE44" s="919" t="s">
        <v>168</v>
      </c>
      <c r="AF44" s="916"/>
      <c r="AG44" s="916"/>
      <c r="AH44" s="916"/>
    </row>
    <row r="45" spans="1:34" ht="28.5">
      <c r="A45" s="914">
        <v>38</v>
      </c>
      <c r="B45" s="914" t="s">
        <v>228</v>
      </c>
      <c r="C45" s="914" t="s">
        <v>1241</v>
      </c>
      <c r="D45" s="914" t="s">
        <v>1282</v>
      </c>
      <c r="E45" s="914" t="s">
        <v>1283</v>
      </c>
      <c r="F45" s="915" t="s">
        <v>1287</v>
      </c>
      <c r="G45" s="915" t="s">
        <v>1285</v>
      </c>
      <c r="H45" s="915" t="s">
        <v>1210</v>
      </c>
      <c r="I45" s="916" t="s">
        <v>1286</v>
      </c>
      <c r="J45" s="916" t="s">
        <v>1287</v>
      </c>
      <c r="K45" s="916" t="s">
        <v>1239</v>
      </c>
      <c r="L45" s="914">
        <v>2016</v>
      </c>
      <c r="M45" s="918" t="s">
        <v>168</v>
      </c>
      <c r="N45" s="918" t="s">
        <v>168</v>
      </c>
      <c r="O45" s="918" t="s">
        <v>168</v>
      </c>
      <c r="P45" s="919" t="s">
        <v>168</v>
      </c>
      <c r="Q45" s="919" t="s">
        <v>168</v>
      </c>
      <c r="R45" s="919" t="s">
        <v>168</v>
      </c>
      <c r="S45" s="918" t="s">
        <v>168</v>
      </c>
      <c r="T45" s="918" t="s">
        <v>168</v>
      </c>
      <c r="U45" s="918" t="s">
        <v>168</v>
      </c>
      <c r="V45" s="918" t="s">
        <v>168</v>
      </c>
      <c r="W45" s="918" t="s">
        <v>168</v>
      </c>
      <c r="X45" s="919" t="s">
        <v>168</v>
      </c>
      <c r="Y45" s="919" t="s">
        <v>168</v>
      </c>
      <c r="Z45" s="919" t="s">
        <v>168</v>
      </c>
      <c r="AA45" s="919" t="s">
        <v>168</v>
      </c>
      <c r="AB45" s="919" t="s">
        <v>168</v>
      </c>
      <c r="AC45" s="919" t="s">
        <v>168</v>
      </c>
      <c r="AD45" s="919" t="s">
        <v>168</v>
      </c>
      <c r="AE45" s="919" t="s">
        <v>168</v>
      </c>
      <c r="AF45" s="916"/>
      <c r="AG45" s="916"/>
      <c r="AH45" s="916"/>
    </row>
    <row r="46" spans="1:34" ht="28.5">
      <c r="A46" s="914">
        <v>39</v>
      </c>
      <c r="B46" s="914" t="s">
        <v>228</v>
      </c>
      <c r="C46" s="914" t="s">
        <v>1241</v>
      </c>
      <c r="D46" s="914" t="s">
        <v>1282</v>
      </c>
      <c r="E46" s="914" t="s">
        <v>1283</v>
      </c>
      <c r="F46" s="915" t="s">
        <v>1288</v>
      </c>
      <c r="G46" s="915" t="s">
        <v>1285</v>
      </c>
      <c r="H46" s="915" t="s">
        <v>1210</v>
      </c>
      <c r="I46" s="916" t="s">
        <v>1286</v>
      </c>
      <c r="J46" s="917" t="s">
        <v>1288</v>
      </c>
      <c r="K46" s="916" t="s">
        <v>1239</v>
      </c>
      <c r="L46" s="914">
        <v>2016</v>
      </c>
      <c r="M46" s="922">
        <v>0.43240054931275301</v>
      </c>
      <c r="N46" s="918">
        <v>48394326.689999998</v>
      </c>
      <c r="O46" s="918">
        <v>111920132.31</v>
      </c>
      <c r="P46" s="923">
        <v>0.42114679860051374</v>
      </c>
      <c r="Q46" s="923">
        <v>0.51079086281954023</v>
      </c>
      <c r="R46" s="923">
        <v>0.6796528144110745</v>
      </c>
      <c r="S46" s="922">
        <v>0.43</v>
      </c>
      <c r="T46" s="922">
        <v>0.43</v>
      </c>
      <c r="U46" s="922">
        <v>0.43</v>
      </c>
      <c r="V46" s="922">
        <v>0.43</v>
      </c>
      <c r="W46" s="922">
        <v>0.43</v>
      </c>
      <c r="X46" s="923">
        <v>0.5990942570082185</v>
      </c>
      <c r="Y46" s="918">
        <v>89518252.409999996</v>
      </c>
      <c r="Z46" s="918">
        <v>120887877.68000001</v>
      </c>
      <c r="AA46" s="923">
        <v>0.43</v>
      </c>
      <c r="AB46" s="923">
        <v>0.66</v>
      </c>
      <c r="AC46" s="923">
        <v>0.67</v>
      </c>
      <c r="AD46" s="923">
        <v>0.69</v>
      </c>
      <c r="AE46" s="923">
        <v>0.69</v>
      </c>
      <c r="AF46" s="916" t="s">
        <v>1240</v>
      </c>
      <c r="AG46" s="916" t="s">
        <v>1289</v>
      </c>
      <c r="AH46" s="916"/>
    </row>
    <row r="47" spans="1:34" ht="28.5">
      <c r="A47" s="914">
        <v>40</v>
      </c>
      <c r="B47" s="914" t="s">
        <v>228</v>
      </c>
      <c r="C47" s="914" t="s">
        <v>1241</v>
      </c>
      <c r="D47" s="914" t="s">
        <v>1282</v>
      </c>
      <c r="E47" s="914" t="s">
        <v>1283</v>
      </c>
      <c r="F47" s="915" t="s">
        <v>1290</v>
      </c>
      <c r="G47" s="915" t="s">
        <v>1285</v>
      </c>
      <c r="H47" s="915" t="s">
        <v>1210</v>
      </c>
      <c r="I47" s="916" t="s">
        <v>1286</v>
      </c>
      <c r="J47" s="916" t="s">
        <v>1290</v>
      </c>
      <c r="K47" s="916" t="s">
        <v>1239</v>
      </c>
      <c r="L47" s="914">
        <v>2016</v>
      </c>
      <c r="M47" s="918" t="s">
        <v>168</v>
      </c>
      <c r="N47" s="918" t="s">
        <v>168</v>
      </c>
      <c r="O47" s="918" t="s">
        <v>168</v>
      </c>
      <c r="P47" s="923" t="s">
        <v>168</v>
      </c>
      <c r="Q47" s="919" t="s">
        <v>168</v>
      </c>
      <c r="R47" s="919" t="s">
        <v>168</v>
      </c>
      <c r="S47" s="918" t="s">
        <v>168</v>
      </c>
      <c r="T47" s="918" t="s">
        <v>168</v>
      </c>
      <c r="U47" s="918" t="s">
        <v>168</v>
      </c>
      <c r="V47" s="918" t="s">
        <v>168</v>
      </c>
      <c r="W47" s="918" t="s">
        <v>168</v>
      </c>
      <c r="X47" s="919" t="s">
        <v>168</v>
      </c>
      <c r="Y47" s="919" t="s">
        <v>168</v>
      </c>
      <c r="Z47" s="919" t="s">
        <v>168</v>
      </c>
      <c r="AA47" s="919" t="s">
        <v>168</v>
      </c>
      <c r="AB47" s="919" t="s">
        <v>168</v>
      </c>
      <c r="AC47" s="919" t="s">
        <v>168</v>
      </c>
      <c r="AD47" s="919" t="s">
        <v>168</v>
      </c>
      <c r="AE47" s="919" t="s">
        <v>168</v>
      </c>
      <c r="AF47" s="916"/>
      <c r="AG47" s="916"/>
      <c r="AH47" s="916"/>
    </row>
    <row r="48" spans="1:34" ht="28.5">
      <c r="A48" s="914">
        <v>41</v>
      </c>
      <c r="B48" s="914" t="s">
        <v>228</v>
      </c>
      <c r="C48" s="914" t="s">
        <v>1241</v>
      </c>
      <c r="D48" s="914" t="s">
        <v>1282</v>
      </c>
      <c r="E48" s="914" t="s">
        <v>1283</v>
      </c>
      <c r="F48" s="915" t="s">
        <v>1291</v>
      </c>
      <c r="G48" s="915" t="s">
        <v>1285</v>
      </c>
      <c r="H48" s="915" t="s">
        <v>1210</v>
      </c>
      <c r="I48" s="916" t="s">
        <v>1286</v>
      </c>
      <c r="J48" s="916" t="s">
        <v>1291</v>
      </c>
      <c r="K48" s="916" t="s">
        <v>1239</v>
      </c>
      <c r="L48" s="914">
        <v>2016</v>
      </c>
      <c r="M48" s="918" t="s">
        <v>168</v>
      </c>
      <c r="N48" s="918" t="s">
        <v>168</v>
      </c>
      <c r="O48" s="918" t="s">
        <v>168</v>
      </c>
      <c r="P48" s="923" t="s">
        <v>168</v>
      </c>
      <c r="Q48" s="919" t="s">
        <v>168</v>
      </c>
      <c r="R48" s="919" t="s">
        <v>168</v>
      </c>
      <c r="S48" s="918" t="s">
        <v>168</v>
      </c>
      <c r="T48" s="918" t="s">
        <v>168</v>
      </c>
      <c r="U48" s="918" t="s">
        <v>168</v>
      </c>
      <c r="V48" s="918" t="s">
        <v>168</v>
      </c>
      <c r="W48" s="918" t="s">
        <v>168</v>
      </c>
      <c r="X48" s="919" t="s">
        <v>168</v>
      </c>
      <c r="Y48" s="919" t="s">
        <v>168</v>
      </c>
      <c r="Z48" s="919" t="s">
        <v>168</v>
      </c>
      <c r="AA48" s="919" t="s">
        <v>168</v>
      </c>
      <c r="AB48" s="919" t="s">
        <v>168</v>
      </c>
      <c r="AC48" s="919" t="s">
        <v>168</v>
      </c>
      <c r="AD48" s="919" t="s">
        <v>168</v>
      </c>
      <c r="AE48" s="919" t="s">
        <v>168</v>
      </c>
      <c r="AF48" s="916"/>
      <c r="AG48" s="916"/>
      <c r="AH48" s="916"/>
    </row>
    <row r="49" spans="1:34" ht="28.5">
      <c r="A49" s="914">
        <v>42</v>
      </c>
      <c r="B49" s="914" t="s">
        <v>228</v>
      </c>
      <c r="C49" s="914" t="s">
        <v>1241</v>
      </c>
      <c r="D49" s="914" t="s">
        <v>1282</v>
      </c>
      <c r="E49" s="914" t="s">
        <v>1283</v>
      </c>
      <c r="F49" s="915" t="s">
        <v>1292</v>
      </c>
      <c r="G49" s="915" t="s">
        <v>1285</v>
      </c>
      <c r="H49" s="915" t="s">
        <v>1210</v>
      </c>
      <c r="I49" s="916" t="s">
        <v>1286</v>
      </c>
      <c r="J49" s="917" t="s">
        <v>1292</v>
      </c>
      <c r="K49" s="916" t="s">
        <v>1239</v>
      </c>
      <c r="L49" s="914">
        <v>2016</v>
      </c>
      <c r="M49" s="922">
        <v>0.70741160357729382</v>
      </c>
      <c r="N49" s="918">
        <v>79173600.269999996</v>
      </c>
      <c r="O49" s="918">
        <v>111920132.31</v>
      </c>
      <c r="P49" s="923">
        <v>0.63713237431614633</v>
      </c>
      <c r="Q49" s="923">
        <v>0.62057096544846779</v>
      </c>
      <c r="R49" s="923">
        <v>0.8735249928851998</v>
      </c>
      <c r="S49" s="922">
        <v>0.71</v>
      </c>
      <c r="T49" s="922">
        <v>0.71</v>
      </c>
      <c r="U49" s="922">
        <v>0.71</v>
      </c>
      <c r="V49" s="922">
        <v>0.71</v>
      </c>
      <c r="W49" s="922">
        <v>0.71</v>
      </c>
      <c r="X49" s="923">
        <v>0.74050644388812958</v>
      </c>
      <c r="Y49" s="918">
        <v>72423233.260000005</v>
      </c>
      <c r="Z49" s="918">
        <v>120887877.68000001</v>
      </c>
      <c r="AA49" s="924">
        <v>0.71</v>
      </c>
      <c r="AB49" s="923">
        <v>0.85</v>
      </c>
      <c r="AC49" s="923">
        <v>0.85</v>
      </c>
      <c r="AD49" s="923">
        <v>0.88</v>
      </c>
      <c r="AE49" s="923">
        <v>0.88</v>
      </c>
      <c r="AF49" s="916" t="s">
        <v>1240</v>
      </c>
      <c r="AG49" s="718" t="s">
        <v>1293</v>
      </c>
      <c r="AH49" s="916"/>
    </row>
    <row r="50" spans="1:34" ht="57">
      <c r="A50" s="914">
        <v>43</v>
      </c>
      <c r="B50" s="914" t="s">
        <v>228</v>
      </c>
      <c r="C50" s="914" t="s">
        <v>1241</v>
      </c>
      <c r="D50" s="914" t="s">
        <v>1294</v>
      </c>
      <c r="E50" s="914" t="s">
        <v>1242</v>
      </c>
      <c r="F50" s="915" t="s">
        <v>1243</v>
      </c>
      <c r="G50" s="915" t="s">
        <v>1244</v>
      </c>
      <c r="H50" s="915" t="s">
        <v>1210</v>
      </c>
      <c r="I50" s="916" t="s">
        <v>1295</v>
      </c>
      <c r="J50" s="916" t="s">
        <v>1243</v>
      </c>
      <c r="K50" s="916" t="s">
        <v>1296</v>
      </c>
      <c r="L50" s="914">
        <v>2016</v>
      </c>
      <c r="M50" s="918" t="s">
        <v>168</v>
      </c>
      <c r="N50" s="918" t="s">
        <v>168</v>
      </c>
      <c r="O50" s="918" t="s">
        <v>168</v>
      </c>
      <c r="P50" s="919" t="s">
        <v>168</v>
      </c>
      <c r="Q50" s="919" t="s">
        <v>168</v>
      </c>
      <c r="R50" s="919" t="s">
        <v>168</v>
      </c>
      <c r="S50" s="918" t="s">
        <v>168</v>
      </c>
      <c r="T50" s="918" t="s">
        <v>168</v>
      </c>
      <c r="U50" s="918" t="s">
        <v>168</v>
      </c>
      <c r="V50" s="918" t="s">
        <v>168</v>
      </c>
      <c r="W50" s="918" t="s">
        <v>168</v>
      </c>
      <c r="X50" s="919" t="s">
        <v>168</v>
      </c>
      <c r="Y50" s="919" t="s">
        <v>168</v>
      </c>
      <c r="Z50" s="919" t="s">
        <v>168</v>
      </c>
      <c r="AA50" s="919" t="s">
        <v>168</v>
      </c>
      <c r="AB50" s="919" t="s">
        <v>168</v>
      </c>
      <c r="AC50" s="919" t="s">
        <v>168</v>
      </c>
      <c r="AD50" s="919" t="s">
        <v>168</v>
      </c>
      <c r="AE50" s="919" t="s">
        <v>168</v>
      </c>
      <c r="AF50" s="916"/>
      <c r="AG50" s="916"/>
      <c r="AH50" s="916"/>
    </row>
    <row r="51" spans="1:34" ht="57">
      <c r="A51" s="914">
        <v>44</v>
      </c>
      <c r="B51" s="914" t="s">
        <v>228</v>
      </c>
      <c r="C51" s="914" t="s">
        <v>1241</v>
      </c>
      <c r="D51" s="914" t="s">
        <v>1294</v>
      </c>
      <c r="E51" s="914" t="s">
        <v>1242</v>
      </c>
      <c r="F51" s="915" t="s">
        <v>1246</v>
      </c>
      <c r="G51" s="915" t="s">
        <v>1244</v>
      </c>
      <c r="H51" s="915" t="s">
        <v>1210</v>
      </c>
      <c r="I51" s="916" t="s">
        <v>1295</v>
      </c>
      <c r="J51" s="916" t="s">
        <v>1246</v>
      </c>
      <c r="K51" s="916" t="s">
        <v>1296</v>
      </c>
      <c r="L51" s="914">
        <v>2016</v>
      </c>
      <c r="M51" s="918" t="s">
        <v>168</v>
      </c>
      <c r="N51" s="918" t="s">
        <v>168</v>
      </c>
      <c r="O51" s="918" t="s">
        <v>168</v>
      </c>
      <c r="P51" s="919" t="s">
        <v>168</v>
      </c>
      <c r="Q51" s="919" t="s">
        <v>168</v>
      </c>
      <c r="R51" s="919" t="s">
        <v>168</v>
      </c>
      <c r="S51" s="918" t="s">
        <v>168</v>
      </c>
      <c r="T51" s="918" t="s">
        <v>168</v>
      </c>
      <c r="U51" s="918" t="s">
        <v>168</v>
      </c>
      <c r="V51" s="918" t="s">
        <v>168</v>
      </c>
      <c r="W51" s="918" t="s">
        <v>168</v>
      </c>
      <c r="X51" s="919" t="s">
        <v>168</v>
      </c>
      <c r="Y51" s="919" t="s">
        <v>168</v>
      </c>
      <c r="Z51" s="919" t="s">
        <v>168</v>
      </c>
      <c r="AA51" s="919" t="s">
        <v>168</v>
      </c>
      <c r="AB51" s="919" t="s">
        <v>168</v>
      </c>
      <c r="AC51" s="919" t="s">
        <v>168</v>
      </c>
      <c r="AD51" s="919" t="s">
        <v>168</v>
      </c>
      <c r="AE51" s="919" t="s">
        <v>168</v>
      </c>
      <c r="AF51" s="916"/>
      <c r="AG51" s="916"/>
      <c r="AH51" s="916"/>
    </row>
    <row r="52" spans="1:34" ht="57">
      <c r="A52" s="914">
        <v>45</v>
      </c>
      <c r="B52" s="914" t="s">
        <v>228</v>
      </c>
      <c r="C52" s="914" t="s">
        <v>1241</v>
      </c>
      <c r="D52" s="914" t="s">
        <v>1294</v>
      </c>
      <c r="E52" s="914" t="s">
        <v>1242</v>
      </c>
      <c r="F52" s="915" t="s">
        <v>1247</v>
      </c>
      <c r="G52" s="915" t="s">
        <v>1244</v>
      </c>
      <c r="H52" s="915" t="s">
        <v>1210</v>
      </c>
      <c r="I52" s="916" t="s">
        <v>1295</v>
      </c>
      <c r="J52" s="916" t="s">
        <v>1247</v>
      </c>
      <c r="K52" s="916" t="s">
        <v>1296</v>
      </c>
      <c r="L52" s="914">
        <v>2016</v>
      </c>
      <c r="M52" s="918" t="s">
        <v>168</v>
      </c>
      <c r="N52" s="918" t="s">
        <v>168</v>
      </c>
      <c r="O52" s="918" t="s">
        <v>168</v>
      </c>
      <c r="P52" s="919" t="s">
        <v>168</v>
      </c>
      <c r="Q52" s="919" t="s">
        <v>168</v>
      </c>
      <c r="R52" s="919" t="s">
        <v>168</v>
      </c>
      <c r="S52" s="918" t="s">
        <v>168</v>
      </c>
      <c r="T52" s="918" t="s">
        <v>168</v>
      </c>
      <c r="U52" s="918" t="s">
        <v>168</v>
      </c>
      <c r="V52" s="918" t="s">
        <v>168</v>
      </c>
      <c r="W52" s="918" t="s">
        <v>168</v>
      </c>
      <c r="X52" s="919" t="s">
        <v>168</v>
      </c>
      <c r="Y52" s="919" t="s">
        <v>168</v>
      </c>
      <c r="Z52" s="919" t="s">
        <v>168</v>
      </c>
      <c r="AA52" s="919" t="s">
        <v>168</v>
      </c>
      <c r="AB52" s="919" t="s">
        <v>168</v>
      </c>
      <c r="AC52" s="919" t="s">
        <v>168</v>
      </c>
      <c r="AD52" s="919" t="s">
        <v>168</v>
      </c>
      <c r="AE52" s="919" t="s">
        <v>168</v>
      </c>
      <c r="AF52" s="916"/>
      <c r="AG52" s="916"/>
      <c r="AH52" s="916"/>
    </row>
    <row r="53" spans="1:34" ht="57">
      <c r="A53" s="914">
        <v>46</v>
      </c>
      <c r="B53" s="914" t="s">
        <v>228</v>
      </c>
      <c r="C53" s="914" t="s">
        <v>1241</v>
      </c>
      <c r="D53" s="914" t="s">
        <v>1294</v>
      </c>
      <c r="E53" s="914" t="s">
        <v>1242</v>
      </c>
      <c r="F53" s="915" t="s">
        <v>1248</v>
      </c>
      <c r="G53" s="915" t="s">
        <v>1244</v>
      </c>
      <c r="H53" s="915" t="s">
        <v>1210</v>
      </c>
      <c r="I53" s="916" t="s">
        <v>1295</v>
      </c>
      <c r="J53" s="916" t="s">
        <v>1248</v>
      </c>
      <c r="K53" s="916" t="s">
        <v>1296</v>
      </c>
      <c r="L53" s="914">
        <v>2016</v>
      </c>
      <c r="M53" s="918" t="s">
        <v>168</v>
      </c>
      <c r="N53" s="918" t="s">
        <v>168</v>
      </c>
      <c r="O53" s="918" t="s">
        <v>168</v>
      </c>
      <c r="P53" s="919" t="s">
        <v>168</v>
      </c>
      <c r="Q53" s="919" t="s">
        <v>168</v>
      </c>
      <c r="R53" s="919" t="s">
        <v>168</v>
      </c>
      <c r="S53" s="918" t="s">
        <v>168</v>
      </c>
      <c r="T53" s="918" t="s">
        <v>168</v>
      </c>
      <c r="U53" s="918" t="s">
        <v>168</v>
      </c>
      <c r="V53" s="918" t="s">
        <v>168</v>
      </c>
      <c r="W53" s="918" t="s">
        <v>168</v>
      </c>
      <c r="X53" s="919" t="s">
        <v>168</v>
      </c>
      <c r="Y53" s="919" t="s">
        <v>168</v>
      </c>
      <c r="Z53" s="919" t="s">
        <v>168</v>
      </c>
      <c r="AA53" s="919" t="s">
        <v>168</v>
      </c>
      <c r="AB53" s="919" t="s">
        <v>168</v>
      </c>
      <c r="AC53" s="919" t="s">
        <v>168</v>
      </c>
      <c r="AD53" s="919" t="s">
        <v>168</v>
      </c>
      <c r="AE53" s="919" t="s">
        <v>168</v>
      </c>
      <c r="AF53" s="916"/>
      <c r="AG53" s="916"/>
      <c r="AH53" s="916"/>
    </row>
    <row r="54" spans="1:34" ht="57">
      <c r="A54" s="914">
        <v>47</v>
      </c>
      <c r="B54" s="914" t="s">
        <v>228</v>
      </c>
      <c r="C54" s="914" t="s">
        <v>1241</v>
      </c>
      <c r="D54" s="914" t="s">
        <v>1294</v>
      </c>
      <c r="E54" s="914" t="s">
        <v>1242</v>
      </c>
      <c r="F54" s="915" t="s">
        <v>1249</v>
      </c>
      <c r="G54" s="915" t="s">
        <v>1244</v>
      </c>
      <c r="H54" s="915" t="s">
        <v>1210</v>
      </c>
      <c r="I54" s="916" t="s">
        <v>1295</v>
      </c>
      <c r="J54" s="917" t="s">
        <v>1249</v>
      </c>
      <c r="K54" s="916" t="s">
        <v>1296</v>
      </c>
      <c r="L54" s="914">
        <v>2016</v>
      </c>
      <c r="M54" s="918">
        <v>1963544.2090880501</v>
      </c>
      <c r="N54" s="918" t="s">
        <v>168</v>
      </c>
      <c r="O54" s="918" t="s">
        <v>168</v>
      </c>
      <c r="P54" s="919">
        <v>2469179.46</v>
      </c>
      <c r="Q54" s="919">
        <v>13518599.029999999</v>
      </c>
      <c r="R54" s="919">
        <v>15076543.92</v>
      </c>
      <c r="S54" s="918">
        <v>1145400.7886346958</v>
      </c>
      <c r="T54" s="918">
        <v>1145400.7886346958</v>
      </c>
      <c r="U54" s="918">
        <v>1145400.7886346958</v>
      </c>
      <c r="V54" s="918">
        <v>6636779.4267176092</v>
      </c>
      <c r="W54" s="918">
        <v>6970581.9422625778</v>
      </c>
      <c r="X54" s="919">
        <v>18319854.5</v>
      </c>
      <c r="Y54" s="918" t="s">
        <v>168</v>
      </c>
      <c r="Z54" s="918" t="s">
        <v>168</v>
      </c>
      <c r="AA54" s="919">
        <v>6636779.4267176092</v>
      </c>
      <c r="AB54" s="919">
        <v>19088278</v>
      </c>
      <c r="AC54" s="919">
        <v>18830943</v>
      </c>
      <c r="AD54" s="919">
        <v>18763743</v>
      </c>
      <c r="AE54" s="919">
        <v>18752240</v>
      </c>
      <c r="AF54" s="916" t="s">
        <v>1240</v>
      </c>
      <c r="AG54" s="916" t="s">
        <v>802</v>
      </c>
      <c r="AH54" s="916"/>
    </row>
    <row r="55" spans="1:34" ht="57">
      <c r="A55" s="914">
        <v>48</v>
      </c>
      <c r="B55" s="914" t="s">
        <v>228</v>
      </c>
      <c r="C55" s="914" t="s">
        <v>1241</v>
      </c>
      <c r="D55" s="914" t="s">
        <v>1294</v>
      </c>
      <c r="E55" s="914" t="s">
        <v>1242</v>
      </c>
      <c r="F55" s="915" t="s">
        <v>1250</v>
      </c>
      <c r="G55" s="915" t="s">
        <v>1244</v>
      </c>
      <c r="H55" s="915" t="s">
        <v>1210</v>
      </c>
      <c r="I55" s="916" t="s">
        <v>1295</v>
      </c>
      <c r="J55" s="917" t="s">
        <v>1250</v>
      </c>
      <c r="K55" s="916" t="s">
        <v>1296</v>
      </c>
      <c r="L55" s="914">
        <v>2016</v>
      </c>
      <c r="M55" s="918">
        <v>1266928.7799717099</v>
      </c>
      <c r="N55" s="918" t="s">
        <v>168</v>
      </c>
      <c r="O55" s="918" t="s">
        <v>168</v>
      </c>
      <c r="P55" s="919">
        <v>1608285.47</v>
      </c>
      <c r="Q55" s="919">
        <v>10751506.390000001</v>
      </c>
      <c r="R55" s="919">
        <v>14712775.189999999</v>
      </c>
      <c r="S55" s="918">
        <v>739041.78831683088</v>
      </c>
      <c r="T55" s="918">
        <v>739041.78831683088</v>
      </c>
      <c r="U55" s="918">
        <v>739041.78831683088</v>
      </c>
      <c r="V55" s="918">
        <v>4282219.2763043791</v>
      </c>
      <c r="W55" s="918">
        <v>4497597.1688995697</v>
      </c>
      <c r="X55" s="919">
        <v>17211246.949999999</v>
      </c>
      <c r="Y55" s="918" t="s">
        <v>168</v>
      </c>
      <c r="Z55" s="918" t="s">
        <v>168</v>
      </c>
      <c r="AA55" s="919">
        <v>4282219.2763043791</v>
      </c>
      <c r="AB55" s="919">
        <v>16869888</v>
      </c>
      <c r="AC55" s="919">
        <v>16716328</v>
      </c>
      <c r="AD55" s="919">
        <v>16678883</v>
      </c>
      <c r="AE55" s="919">
        <v>16671622</v>
      </c>
      <c r="AF55" s="916" t="s">
        <v>1240</v>
      </c>
      <c r="AG55" s="916" t="s">
        <v>802</v>
      </c>
      <c r="AH55" s="916"/>
    </row>
    <row r="56" spans="1:34" ht="57">
      <c r="A56" s="914">
        <v>49</v>
      </c>
      <c r="B56" s="914" t="s">
        <v>228</v>
      </c>
      <c r="C56" s="914" t="s">
        <v>1241</v>
      </c>
      <c r="D56" s="914" t="s">
        <v>1294</v>
      </c>
      <c r="E56" s="914" t="s">
        <v>1242</v>
      </c>
      <c r="F56" s="915" t="s">
        <v>1251</v>
      </c>
      <c r="G56" s="915" t="s">
        <v>1244</v>
      </c>
      <c r="H56" s="915" t="s">
        <v>1210</v>
      </c>
      <c r="I56" s="916" t="s">
        <v>1295</v>
      </c>
      <c r="J56" s="916" t="s">
        <v>1251</v>
      </c>
      <c r="K56" s="916" t="s">
        <v>1296</v>
      </c>
      <c r="L56" s="914">
        <v>2016</v>
      </c>
      <c r="M56" s="918" t="s">
        <v>168</v>
      </c>
      <c r="N56" s="918" t="s">
        <v>168</v>
      </c>
      <c r="O56" s="918" t="s">
        <v>168</v>
      </c>
      <c r="P56" s="919" t="s">
        <v>168</v>
      </c>
      <c r="Q56" s="919" t="s">
        <v>168</v>
      </c>
      <c r="R56" s="919" t="s">
        <v>168</v>
      </c>
      <c r="S56" s="918" t="s">
        <v>168</v>
      </c>
      <c r="T56" s="918" t="s">
        <v>168</v>
      </c>
      <c r="U56" s="918" t="s">
        <v>168</v>
      </c>
      <c r="V56" s="918" t="s">
        <v>168</v>
      </c>
      <c r="W56" s="918" t="s">
        <v>168</v>
      </c>
      <c r="X56" s="919" t="s">
        <v>168</v>
      </c>
      <c r="Y56" s="918" t="s">
        <v>168</v>
      </c>
      <c r="Z56" s="918" t="s">
        <v>168</v>
      </c>
      <c r="AA56" s="919" t="s">
        <v>168</v>
      </c>
      <c r="AB56" s="919" t="s">
        <v>168</v>
      </c>
      <c r="AC56" s="919" t="s">
        <v>168</v>
      </c>
      <c r="AD56" s="919" t="s">
        <v>168</v>
      </c>
      <c r="AE56" s="919" t="s">
        <v>168</v>
      </c>
      <c r="AF56" s="916"/>
      <c r="AG56" s="916"/>
      <c r="AH56" s="916"/>
    </row>
    <row r="57" spans="1:34" ht="57">
      <c r="A57" s="914">
        <v>50</v>
      </c>
      <c r="B57" s="914" t="s">
        <v>228</v>
      </c>
      <c r="C57" s="914" t="s">
        <v>1241</v>
      </c>
      <c r="D57" s="914" t="s">
        <v>1294</v>
      </c>
      <c r="E57" s="914" t="s">
        <v>1242</v>
      </c>
      <c r="F57" s="915" t="s">
        <v>1252</v>
      </c>
      <c r="G57" s="915" t="s">
        <v>1244</v>
      </c>
      <c r="H57" s="915" t="s">
        <v>1210</v>
      </c>
      <c r="I57" s="916" t="s">
        <v>1295</v>
      </c>
      <c r="J57" s="916" t="s">
        <v>1252</v>
      </c>
      <c r="K57" s="916" t="s">
        <v>1296</v>
      </c>
      <c r="L57" s="914">
        <v>2016</v>
      </c>
      <c r="M57" s="918" t="s">
        <v>168</v>
      </c>
      <c r="N57" s="918" t="s">
        <v>168</v>
      </c>
      <c r="O57" s="918" t="s">
        <v>168</v>
      </c>
      <c r="P57" s="919" t="s">
        <v>168</v>
      </c>
      <c r="Q57" s="919" t="s">
        <v>168</v>
      </c>
      <c r="R57" s="919" t="s">
        <v>168</v>
      </c>
      <c r="S57" s="918" t="s">
        <v>168</v>
      </c>
      <c r="T57" s="918" t="s">
        <v>168</v>
      </c>
      <c r="U57" s="918" t="s">
        <v>168</v>
      </c>
      <c r="V57" s="918" t="s">
        <v>168</v>
      </c>
      <c r="W57" s="918" t="s">
        <v>168</v>
      </c>
      <c r="X57" s="919" t="s">
        <v>168</v>
      </c>
      <c r="Y57" s="918" t="s">
        <v>168</v>
      </c>
      <c r="Z57" s="918" t="s">
        <v>168</v>
      </c>
      <c r="AA57" s="919" t="s">
        <v>168</v>
      </c>
      <c r="AB57" s="919" t="s">
        <v>168</v>
      </c>
      <c r="AC57" s="919" t="s">
        <v>168</v>
      </c>
      <c r="AD57" s="919" t="s">
        <v>168</v>
      </c>
      <c r="AE57" s="919" t="s">
        <v>168</v>
      </c>
      <c r="AF57" s="916"/>
      <c r="AG57" s="916"/>
      <c r="AH57" s="916"/>
    </row>
    <row r="58" spans="1:34" ht="57">
      <c r="A58" s="914">
        <v>51</v>
      </c>
      <c r="B58" s="914" t="s">
        <v>228</v>
      </c>
      <c r="C58" s="914" t="s">
        <v>1241</v>
      </c>
      <c r="D58" s="914" t="s">
        <v>1294</v>
      </c>
      <c r="E58" s="914" t="s">
        <v>1242</v>
      </c>
      <c r="F58" s="915" t="s">
        <v>1253</v>
      </c>
      <c r="G58" s="915" t="s">
        <v>1244</v>
      </c>
      <c r="H58" s="915" t="s">
        <v>1210</v>
      </c>
      <c r="I58" s="916" t="s">
        <v>1295</v>
      </c>
      <c r="J58" s="916" t="s">
        <v>1253</v>
      </c>
      <c r="K58" s="916" t="s">
        <v>1296</v>
      </c>
      <c r="L58" s="914">
        <v>2016</v>
      </c>
      <c r="M58" s="918" t="s">
        <v>168</v>
      </c>
      <c r="N58" s="918" t="s">
        <v>168</v>
      </c>
      <c r="O58" s="918" t="s">
        <v>168</v>
      </c>
      <c r="P58" s="919" t="s">
        <v>168</v>
      </c>
      <c r="Q58" s="919" t="s">
        <v>168</v>
      </c>
      <c r="R58" s="919" t="s">
        <v>168</v>
      </c>
      <c r="S58" s="918" t="s">
        <v>168</v>
      </c>
      <c r="T58" s="918" t="s">
        <v>168</v>
      </c>
      <c r="U58" s="918" t="s">
        <v>168</v>
      </c>
      <c r="V58" s="918" t="s">
        <v>168</v>
      </c>
      <c r="W58" s="918" t="s">
        <v>168</v>
      </c>
      <c r="X58" s="919" t="s">
        <v>168</v>
      </c>
      <c r="Y58" s="918" t="s">
        <v>168</v>
      </c>
      <c r="Z58" s="918" t="s">
        <v>168</v>
      </c>
      <c r="AA58" s="919" t="s">
        <v>168</v>
      </c>
      <c r="AB58" s="919" t="s">
        <v>168</v>
      </c>
      <c r="AC58" s="919" t="s">
        <v>168</v>
      </c>
      <c r="AD58" s="919" t="s">
        <v>168</v>
      </c>
      <c r="AE58" s="919" t="s">
        <v>168</v>
      </c>
      <c r="AF58" s="916"/>
      <c r="AG58" s="916"/>
      <c r="AH58" s="916"/>
    </row>
    <row r="59" spans="1:34" ht="57">
      <c r="A59" s="914">
        <v>52</v>
      </c>
      <c r="B59" s="914" t="s">
        <v>228</v>
      </c>
      <c r="C59" s="914" t="s">
        <v>1241</v>
      </c>
      <c r="D59" s="914" t="s">
        <v>1294</v>
      </c>
      <c r="E59" s="914" t="s">
        <v>1242</v>
      </c>
      <c r="F59" s="915" t="s">
        <v>1254</v>
      </c>
      <c r="G59" s="915" t="s">
        <v>1244</v>
      </c>
      <c r="H59" s="915" t="s">
        <v>1210</v>
      </c>
      <c r="I59" s="916" t="s">
        <v>1295</v>
      </c>
      <c r="J59" s="916" t="s">
        <v>1254</v>
      </c>
      <c r="K59" s="916" t="s">
        <v>1296</v>
      </c>
      <c r="L59" s="914">
        <v>2016</v>
      </c>
      <c r="M59" s="918" t="s">
        <v>168</v>
      </c>
      <c r="N59" s="918" t="s">
        <v>168</v>
      </c>
      <c r="O59" s="918" t="s">
        <v>168</v>
      </c>
      <c r="P59" s="919" t="s">
        <v>168</v>
      </c>
      <c r="Q59" s="919" t="s">
        <v>168</v>
      </c>
      <c r="R59" s="919" t="s">
        <v>168</v>
      </c>
      <c r="S59" s="918" t="s">
        <v>168</v>
      </c>
      <c r="T59" s="918" t="s">
        <v>168</v>
      </c>
      <c r="U59" s="918" t="s">
        <v>168</v>
      </c>
      <c r="V59" s="918" t="s">
        <v>168</v>
      </c>
      <c r="W59" s="918" t="s">
        <v>168</v>
      </c>
      <c r="X59" s="919" t="s">
        <v>168</v>
      </c>
      <c r="Y59" s="918" t="s">
        <v>168</v>
      </c>
      <c r="Z59" s="918" t="s">
        <v>168</v>
      </c>
      <c r="AA59" s="919" t="s">
        <v>168</v>
      </c>
      <c r="AB59" s="919" t="s">
        <v>168</v>
      </c>
      <c r="AC59" s="919" t="s">
        <v>168</v>
      </c>
      <c r="AD59" s="919" t="s">
        <v>168</v>
      </c>
      <c r="AE59" s="919" t="s">
        <v>168</v>
      </c>
      <c r="AF59" s="916"/>
      <c r="AG59" s="916"/>
      <c r="AH59" s="916"/>
    </row>
    <row r="60" spans="1:34" ht="57">
      <c r="A60" s="914">
        <v>53</v>
      </c>
      <c r="B60" s="914" t="s">
        <v>228</v>
      </c>
      <c r="C60" s="914" t="s">
        <v>1241</v>
      </c>
      <c r="D60" s="914" t="s">
        <v>1294</v>
      </c>
      <c r="E60" s="914" t="s">
        <v>1242</v>
      </c>
      <c r="F60" s="915" t="s">
        <v>1255</v>
      </c>
      <c r="G60" s="915" t="s">
        <v>1244</v>
      </c>
      <c r="H60" s="915" t="s">
        <v>1210</v>
      </c>
      <c r="I60" s="916" t="s">
        <v>1295</v>
      </c>
      <c r="J60" s="917" t="s">
        <v>1255</v>
      </c>
      <c r="K60" s="916" t="s">
        <v>1296</v>
      </c>
      <c r="L60" s="914">
        <v>2016</v>
      </c>
      <c r="M60" s="918">
        <v>25538463.947003901</v>
      </c>
      <c r="N60" s="918" t="s">
        <v>168</v>
      </c>
      <c r="O60" s="918" t="s">
        <v>168</v>
      </c>
      <c r="P60" s="919">
        <v>30293952.550000001</v>
      </c>
      <c r="Q60" s="919">
        <v>68232268.060000002</v>
      </c>
      <c r="R60" s="919">
        <v>43108037.109999999</v>
      </c>
      <c r="S60" s="918">
        <v>26815387.144354098</v>
      </c>
      <c r="T60" s="918">
        <v>27070771.783824135</v>
      </c>
      <c r="U60" s="918">
        <v>27836925.702234253</v>
      </c>
      <c r="V60" s="918">
        <v>95769239.801264629</v>
      </c>
      <c r="W60" s="918">
        <v>66400006.262210146</v>
      </c>
      <c r="X60" s="919">
        <v>59519421.229999997</v>
      </c>
      <c r="Y60" s="918" t="s">
        <v>168</v>
      </c>
      <c r="Z60" s="918" t="s">
        <v>168</v>
      </c>
      <c r="AA60" s="919">
        <v>95769239.801264629</v>
      </c>
      <c r="AB60" s="919">
        <v>104930393</v>
      </c>
      <c r="AC60" s="919">
        <v>100998605</v>
      </c>
      <c r="AD60" s="919">
        <v>100207408</v>
      </c>
      <c r="AE60" s="919">
        <v>100263590</v>
      </c>
      <c r="AF60" s="916" t="s">
        <v>1240</v>
      </c>
      <c r="AG60" s="916" t="s">
        <v>802</v>
      </c>
      <c r="AH60" s="916"/>
    </row>
    <row r="61" spans="1:34" ht="57">
      <c r="A61" s="914">
        <v>54</v>
      </c>
      <c r="B61" s="914" t="s">
        <v>228</v>
      </c>
      <c r="C61" s="914" t="s">
        <v>1241</v>
      </c>
      <c r="D61" s="914" t="s">
        <v>1294</v>
      </c>
      <c r="E61" s="914" t="s">
        <v>1242</v>
      </c>
      <c r="F61" s="915" t="s">
        <v>1256</v>
      </c>
      <c r="G61" s="915" t="s">
        <v>1244</v>
      </c>
      <c r="H61" s="915" t="s">
        <v>1210</v>
      </c>
      <c r="I61" s="916" t="s">
        <v>1295</v>
      </c>
      <c r="J61" s="917" t="s">
        <v>1256</v>
      </c>
      <c r="K61" s="916" t="s">
        <v>1296</v>
      </c>
      <c r="L61" s="914">
        <v>2016</v>
      </c>
      <c r="M61" s="918">
        <v>16610077.810000001</v>
      </c>
      <c r="N61" s="918" t="s">
        <v>168</v>
      </c>
      <c r="O61" s="918" t="s">
        <v>168</v>
      </c>
      <c r="P61" s="919">
        <v>18746836.440000001</v>
      </c>
      <c r="Q61" s="919">
        <v>44266451.789999999</v>
      </c>
      <c r="R61" s="919">
        <v>31628605.899999999</v>
      </c>
      <c r="S61" s="918">
        <v>17440581.7005</v>
      </c>
      <c r="T61" s="918">
        <v>17606682.478600003</v>
      </c>
      <c r="U61" s="918">
        <v>18104984.812900003</v>
      </c>
      <c r="V61" s="918">
        <v>62287791.787499994</v>
      </c>
      <c r="W61" s="918">
        <v>43186202.306000002</v>
      </c>
      <c r="X61" s="919">
        <v>42396410.619999997</v>
      </c>
      <c r="Y61" s="918" t="s">
        <v>168</v>
      </c>
      <c r="Z61" s="918" t="s">
        <v>168</v>
      </c>
      <c r="AA61" s="919">
        <v>62287791.787499994</v>
      </c>
      <c r="AB61" s="919">
        <v>75530361</v>
      </c>
      <c r="AC61" s="919">
        <v>73255103</v>
      </c>
      <c r="AD61" s="919">
        <v>72820033</v>
      </c>
      <c r="AE61" s="919">
        <v>72846919</v>
      </c>
      <c r="AF61" s="916" t="s">
        <v>1240</v>
      </c>
      <c r="AG61" s="916" t="s">
        <v>802</v>
      </c>
      <c r="AH61" s="916"/>
    </row>
    <row r="62" spans="1:34" ht="28.5">
      <c r="A62" s="914">
        <v>55</v>
      </c>
      <c r="B62" s="914" t="s">
        <v>228</v>
      </c>
      <c r="C62" s="914" t="s">
        <v>1232</v>
      </c>
      <c r="D62" s="914" t="s">
        <v>1297</v>
      </c>
      <c r="E62" s="914" t="s">
        <v>1234</v>
      </c>
      <c r="F62" s="915" t="s">
        <v>1235</v>
      </c>
      <c r="G62" s="915" t="s">
        <v>1236</v>
      </c>
      <c r="H62" s="915" t="s">
        <v>1210</v>
      </c>
      <c r="I62" s="916" t="s">
        <v>1298</v>
      </c>
      <c r="J62" s="916" t="s">
        <v>1299</v>
      </c>
      <c r="K62" s="916" t="s">
        <v>1296</v>
      </c>
      <c r="L62" s="914">
        <v>2016</v>
      </c>
      <c r="M62" s="918">
        <v>16999.63</v>
      </c>
      <c r="N62" s="918" t="s">
        <v>168</v>
      </c>
      <c r="O62" s="918" t="s">
        <v>168</v>
      </c>
      <c r="P62" s="919">
        <v>17521</v>
      </c>
      <c r="Q62" s="919">
        <v>65309.91</v>
      </c>
      <c r="R62" s="919">
        <v>82780</v>
      </c>
      <c r="S62" s="918">
        <v>29749.352500000001</v>
      </c>
      <c r="T62" s="918">
        <v>29749.352500000001</v>
      </c>
      <c r="U62" s="918">
        <v>29749.352500000001</v>
      </c>
      <c r="V62" s="918">
        <v>57458.749400000001</v>
      </c>
      <c r="W62" s="918">
        <v>60348.686500000003</v>
      </c>
      <c r="X62" s="919">
        <v>97781.71</v>
      </c>
      <c r="Y62" s="918" t="s">
        <v>168</v>
      </c>
      <c r="Z62" s="918" t="s">
        <v>168</v>
      </c>
      <c r="AA62" s="919">
        <v>57458.749400000001</v>
      </c>
      <c r="AB62" s="919">
        <v>85441</v>
      </c>
      <c r="AC62" s="919">
        <v>84543</v>
      </c>
      <c r="AD62" s="919">
        <v>84323</v>
      </c>
      <c r="AE62" s="919">
        <v>84281</v>
      </c>
      <c r="AF62" s="916" t="s">
        <v>1240</v>
      </c>
      <c r="AG62" s="916" t="s">
        <v>1300</v>
      </c>
      <c r="AH62" s="916"/>
    </row>
    <row r="63" spans="1:34" ht="71.25">
      <c r="A63" s="914">
        <v>56</v>
      </c>
      <c r="B63" s="914" t="s">
        <v>228</v>
      </c>
      <c r="C63" s="914" t="s">
        <v>1232</v>
      </c>
      <c r="D63" s="914" t="s">
        <v>1301</v>
      </c>
      <c r="E63" s="914" t="s">
        <v>1302</v>
      </c>
      <c r="F63" s="915" t="s">
        <v>1303</v>
      </c>
      <c r="G63" s="915" t="s">
        <v>1304</v>
      </c>
      <c r="H63" s="915" t="s">
        <v>1210</v>
      </c>
      <c r="I63" s="916" t="s">
        <v>1305</v>
      </c>
      <c r="J63" s="916" t="s">
        <v>1306</v>
      </c>
      <c r="K63" s="916" t="s">
        <v>1296</v>
      </c>
      <c r="L63" s="925">
        <v>2016</v>
      </c>
      <c r="M63" s="918" t="s">
        <v>168</v>
      </c>
      <c r="N63" s="918" t="s">
        <v>168</v>
      </c>
      <c r="O63" s="918" t="s">
        <v>168</v>
      </c>
      <c r="P63" s="919" t="s">
        <v>168</v>
      </c>
      <c r="Q63" s="919" t="s">
        <v>168</v>
      </c>
      <c r="R63" s="919" t="s">
        <v>168</v>
      </c>
      <c r="S63" s="918" t="s">
        <v>168</v>
      </c>
      <c r="T63" s="918" t="s">
        <v>168</v>
      </c>
      <c r="U63" s="918" t="s">
        <v>168</v>
      </c>
      <c r="V63" s="918" t="s">
        <v>168</v>
      </c>
      <c r="W63" s="918" t="s">
        <v>168</v>
      </c>
      <c r="X63" s="919" t="s">
        <v>168</v>
      </c>
      <c r="Y63" s="918" t="s">
        <v>168</v>
      </c>
      <c r="Z63" s="918" t="s">
        <v>168</v>
      </c>
      <c r="AA63" s="919" t="s">
        <v>168</v>
      </c>
      <c r="AB63" s="919" t="s">
        <v>168</v>
      </c>
      <c r="AC63" s="919" t="s">
        <v>168</v>
      </c>
      <c r="AD63" s="919" t="s">
        <v>168</v>
      </c>
      <c r="AE63" s="919" t="s">
        <v>168</v>
      </c>
      <c r="AF63" s="916"/>
      <c r="AG63" s="916"/>
      <c r="AH63" s="916"/>
    </row>
    <row r="64" spans="1:34" ht="71.25">
      <c r="A64" s="914">
        <v>57</v>
      </c>
      <c r="B64" s="914" t="s">
        <v>228</v>
      </c>
      <c r="C64" s="914" t="s">
        <v>1232</v>
      </c>
      <c r="D64" s="914" t="s">
        <v>1301</v>
      </c>
      <c r="E64" s="914" t="s">
        <v>1302</v>
      </c>
      <c r="F64" s="915" t="s">
        <v>1307</v>
      </c>
      <c r="G64" s="915" t="s">
        <v>1304</v>
      </c>
      <c r="H64" s="915" t="s">
        <v>1210</v>
      </c>
      <c r="I64" s="916" t="s">
        <v>1305</v>
      </c>
      <c r="J64" s="916" t="s">
        <v>1308</v>
      </c>
      <c r="K64" s="916" t="s">
        <v>1296</v>
      </c>
      <c r="L64" s="925">
        <v>2016</v>
      </c>
      <c r="M64" s="918" t="s">
        <v>168</v>
      </c>
      <c r="N64" s="918" t="s">
        <v>168</v>
      </c>
      <c r="O64" s="918" t="s">
        <v>168</v>
      </c>
      <c r="P64" s="919" t="s">
        <v>168</v>
      </c>
      <c r="Q64" s="919" t="s">
        <v>168</v>
      </c>
      <c r="R64" s="919" t="s">
        <v>168</v>
      </c>
      <c r="S64" s="918" t="s">
        <v>168</v>
      </c>
      <c r="T64" s="918" t="s">
        <v>168</v>
      </c>
      <c r="U64" s="918" t="s">
        <v>168</v>
      </c>
      <c r="V64" s="918" t="s">
        <v>168</v>
      </c>
      <c r="W64" s="918" t="s">
        <v>168</v>
      </c>
      <c r="X64" s="919" t="s">
        <v>168</v>
      </c>
      <c r="Y64" s="918" t="s">
        <v>168</v>
      </c>
      <c r="Z64" s="918" t="s">
        <v>168</v>
      </c>
      <c r="AA64" s="919" t="s">
        <v>168</v>
      </c>
      <c r="AB64" s="919" t="s">
        <v>168</v>
      </c>
      <c r="AC64" s="919" t="s">
        <v>168</v>
      </c>
      <c r="AD64" s="919" t="s">
        <v>168</v>
      </c>
      <c r="AE64" s="919" t="s">
        <v>168</v>
      </c>
      <c r="AF64" s="916"/>
      <c r="AG64" s="916"/>
      <c r="AH64" s="916"/>
    </row>
    <row r="65" spans="1:34" ht="71.25">
      <c r="A65" s="914">
        <v>58</v>
      </c>
      <c r="B65" s="914" t="s">
        <v>228</v>
      </c>
      <c r="C65" s="914" t="s">
        <v>1232</v>
      </c>
      <c r="D65" s="914" t="s">
        <v>1301</v>
      </c>
      <c r="E65" s="914" t="s">
        <v>1302</v>
      </c>
      <c r="F65" s="915" t="s">
        <v>1309</v>
      </c>
      <c r="G65" s="921" t="s">
        <v>1304</v>
      </c>
      <c r="H65" s="921" t="s">
        <v>1210</v>
      </c>
      <c r="I65" s="917" t="s">
        <v>1305</v>
      </c>
      <c r="J65" s="917" t="s">
        <v>1310</v>
      </c>
      <c r="K65" s="916" t="s">
        <v>1296</v>
      </c>
      <c r="L65" s="925">
        <v>2016</v>
      </c>
      <c r="M65" s="918">
        <v>173.30313726041652</v>
      </c>
      <c r="N65" s="918">
        <v>12324106</v>
      </c>
      <c r="O65" s="918">
        <v>71113</v>
      </c>
      <c r="P65" s="919">
        <v>154.28500401709303</v>
      </c>
      <c r="Q65" s="919">
        <v>62.149594270922378</v>
      </c>
      <c r="R65" s="919">
        <v>153.28363395421525</v>
      </c>
      <c r="S65" s="918">
        <v>175.03616863302068</v>
      </c>
      <c r="T65" s="918">
        <v>176.76920000562487</v>
      </c>
      <c r="U65" s="918">
        <v>178.50223137822903</v>
      </c>
      <c r="V65" s="918">
        <v>183.70132549604153</v>
      </c>
      <c r="W65" s="918">
        <v>187.16738824124985</v>
      </c>
      <c r="X65" s="919">
        <v>86.476108771608608</v>
      </c>
      <c r="Y65" s="918">
        <v>22670922.579999998</v>
      </c>
      <c r="Z65" s="918">
        <v>262164</v>
      </c>
      <c r="AA65" s="919">
        <v>183.70132549604153</v>
      </c>
      <c r="AB65" s="919">
        <v>187</v>
      </c>
      <c r="AC65" s="919">
        <v>187</v>
      </c>
      <c r="AD65" s="919">
        <v>187</v>
      </c>
      <c r="AE65" s="919">
        <v>187</v>
      </c>
      <c r="AF65" s="916" t="s">
        <v>1311</v>
      </c>
      <c r="AG65" s="916" t="s">
        <v>1312</v>
      </c>
      <c r="AH65" s="916"/>
    </row>
    <row r="66" spans="1:34" ht="57">
      <c r="A66" s="914">
        <v>59</v>
      </c>
      <c r="B66" s="914" t="s">
        <v>228</v>
      </c>
      <c r="C66" s="914" t="s">
        <v>1232</v>
      </c>
      <c r="D66" s="914" t="s">
        <v>1301</v>
      </c>
      <c r="E66" s="914" t="s">
        <v>1313</v>
      </c>
      <c r="F66" s="915" t="s">
        <v>1303</v>
      </c>
      <c r="G66" s="915" t="s">
        <v>1314</v>
      </c>
      <c r="H66" s="915" t="s">
        <v>1210</v>
      </c>
      <c r="I66" s="916" t="s">
        <v>1315</v>
      </c>
      <c r="J66" s="916" t="s">
        <v>1316</v>
      </c>
      <c r="K66" s="916" t="s">
        <v>1296</v>
      </c>
      <c r="L66" s="925">
        <v>2016</v>
      </c>
      <c r="M66" s="918" t="s">
        <v>168</v>
      </c>
      <c r="N66" s="918" t="s">
        <v>168</v>
      </c>
      <c r="O66" s="918" t="s">
        <v>168</v>
      </c>
      <c r="P66" s="919" t="s">
        <v>168</v>
      </c>
      <c r="Q66" s="919" t="s">
        <v>168</v>
      </c>
      <c r="R66" s="919" t="s">
        <v>168</v>
      </c>
      <c r="S66" s="918" t="s">
        <v>168</v>
      </c>
      <c r="T66" s="918" t="s">
        <v>168</v>
      </c>
      <c r="U66" s="918" t="s">
        <v>168</v>
      </c>
      <c r="V66" s="918" t="s">
        <v>168</v>
      </c>
      <c r="W66" s="918" t="s">
        <v>168</v>
      </c>
      <c r="X66" s="919" t="s">
        <v>168</v>
      </c>
      <c r="Y66" s="918" t="s">
        <v>168</v>
      </c>
      <c r="Z66" s="918" t="s">
        <v>168</v>
      </c>
      <c r="AA66" s="919" t="s">
        <v>168</v>
      </c>
      <c r="AB66" s="919" t="s">
        <v>168</v>
      </c>
      <c r="AC66" s="919" t="s">
        <v>168</v>
      </c>
      <c r="AD66" s="919" t="s">
        <v>168</v>
      </c>
      <c r="AE66" s="919" t="s">
        <v>168</v>
      </c>
      <c r="AF66" s="916"/>
      <c r="AG66" s="916"/>
      <c r="AH66" s="916"/>
    </row>
    <row r="67" spans="1:34" ht="57">
      <c r="A67" s="914">
        <v>60</v>
      </c>
      <c r="B67" s="914" t="s">
        <v>228</v>
      </c>
      <c r="C67" s="914" t="s">
        <v>1232</v>
      </c>
      <c r="D67" s="914" t="s">
        <v>1301</v>
      </c>
      <c r="E67" s="914" t="s">
        <v>1313</v>
      </c>
      <c r="F67" s="915" t="s">
        <v>1307</v>
      </c>
      <c r="G67" s="915" t="s">
        <v>1314</v>
      </c>
      <c r="H67" s="915" t="s">
        <v>1210</v>
      </c>
      <c r="I67" s="916" t="s">
        <v>1315</v>
      </c>
      <c r="J67" s="916" t="s">
        <v>1317</v>
      </c>
      <c r="K67" s="916" t="s">
        <v>1296</v>
      </c>
      <c r="L67" s="925">
        <v>2016</v>
      </c>
      <c r="M67" s="918" t="s">
        <v>168</v>
      </c>
      <c r="N67" s="918" t="s">
        <v>168</v>
      </c>
      <c r="O67" s="918" t="s">
        <v>168</v>
      </c>
      <c r="P67" s="919" t="s">
        <v>168</v>
      </c>
      <c r="Q67" s="919" t="s">
        <v>168</v>
      </c>
      <c r="R67" s="919" t="s">
        <v>168</v>
      </c>
      <c r="S67" s="918" t="s">
        <v>168</v>
      </c>
      <c r="T67" s="918" t="s">
        <v>168</v>
      </c>
      <c r="U67" s="918" t="s">
        <v>168</v>
      </c>
      <c r="V67" s="918" t="s">
        <v>168</v>
      </c>
      <c r="W67" s="918" t="s">
        <v>168</v>
      </c>
      <c r="X67" s="919" t="s">
        <v>168</v>
      </c>
      <c r="Y67" s="918" t="s">
        <v>168</v>
      </c>
      <c r="Z67" s="918" t="s">
        <v>168</v>
      </c>
      <c r="AA67" s="919" t="s">
        <v>168</v>
      </c>
      <c r="AB67" s="919" t="s">
        <v>168</v>
      </c>
      <c r="AC67" s="919" t="s">
        <v>168</v>
      </c>
      <c r="AD67" s="919" t="s">
        <v>168</v>
      </c>
      <c r="AE67" s="919" t="s">
        <v>168</v>
      </c>
      <c r="AF67" s="916"/>
      <c r="AG67" s="916"/>
      <c r="AH67" s="916"/>
    </row>
    <row r="68" spans="1:34" ht="85.5">
      <c r="A68" s="914">
        <v>61</v>
      </c>
      <c r="B68" s="914" t="s">
        <v>228</v>
      </c>
      <c r="C68" s="914" t="s">
        <v>1232</v>
      </c>
      <c r="D68" s="914" t="s">
        <v>1301</v>
      </c>
      <c r="E68" s="914" t="s">
        <v>1313</v>
      </c>
      <c r="F68" s="915" t="s">
        <v>1309</v>
      </c>
      <c r="G68" s="921" t="s">
        <v>1314</v>
      </c>
      <c r="H68" s="921" t="s">
        <v>1210</v>
      </c>
      <c r="I68" s="917" t="s">
        <v>1315</v>
      </c>
      <c r="J68" s="917" t="s">
        <v>1318</v>
      </c>
      <c r="K68" s="916" t="s">
        <v>1296</v>
      </c>
      <c r="L68" s="925">
        <v>2016</v>
      </c>
      <c r="M68" s="918">
        <v>63.580786925770788</v>
      </c>
      <c r="N68" s="918">
        <v>1851854</v>
      </c>
      <c r="O68" s="918">
        <v>29126</v>
      </c>
      <c r="P68" s="919">
        <v>48.427215674269092</v>
      </c>
      <c r="Q68" s="919">
        <v>31.560373027259683</v>
      </c>
      <c r="R68" s="919">
        <v>114.34389270325299</v>
      </c>
      <c r="S68" s="918">
        <v>64.216594795028499</v>
      </c>
      <c r="T68" s="918">
        <v>64.852402664286203</v>
      </c>
      <c r="U68" s="918">
        <v>65.488210533543906</v>
      </c>
      <c r="V68" s="918">
        <v>67.395634141317032</v>
      </c>
      <c r="W68" s="918">
        <v>68.667249879832454</v>
      </c>
      <c r="X68" s="919">
        <v>153.76493762230919</v>
      </c>
      <c r="Y68" s="918">
        <v>3771546.39</v>
      </c>
      <c r="Z68" s="918">
        <v>24528</v>
      </c>
      <c r="AA68" s="919">
        <v>67.395634141317032</v>
      </c>
      <c r="AB68" s="919">
        <v>69</v>
      </c>
      <c r="AC68" s="919">
        <v>73</v>
      </c>
      <c r="AD68" s="919">
        <v>78</v>
      </c>
      <c r="AE68" s="919">
        <v>81</v>
      </c>
      <c r="AF68" s="916" t="s">
        <v>1319</v>
      </c>
      <c r="AG68" s="916" t="s">
        <v>1320</v>
      </c>
      <c r="AH68" s="916"/>
    </row>
    <row r="69" spans="1:34" ht="57">
      <c r="A69" s="914">
        <v>62</v>
      </c>
      <c r="B69" s="914" t="s">
        <v>228</v>
      </c>
      <c r="C69" s="914" t="s">
        <v>1232</v>
      </c>
      <c r="D69" s="914" t="s">
        <v>1301</v>
      </c>
      <c r="E69" s="914" t="s">
        <v>1321</v>
      </c>
      <c r="F69" s="915" t="s">
        <v>1303</v>
      </c>
      <c r="G69" s="915" t="s">
        <v>1322</v>
      </c>
      <c r="H69" s="915" t="s">
        <v>1210</v>
      </c>
      <c r="I69" s="916" t="s">
        <v>1323</v>
      </c>
      <c r="J69" s="916" t="s">
        <v>1324</v>
      </c>
      <c r="K69" s="916" t="s">
        <v>1296</v>
      </c>
      <c r="L69" s="925">
        <v>2016</v>
      </c>
      <c r="M69" s="918" t="s">
        <v>168</v>
      </c>
      <c r="N69" s="918" t="s">
        <v>168</v>
      </c>
      <c r="O69" s="918" t="s">
        <v>168</v>
      </c>
      <c r="P69" s="919" t="s">
        <v>168</v>
      </c>
      <c r="Q69" s="919" t="s">
        <v>168</v>
      </c>
      <c r="R69" s="919" t="s">
        <v>168</v>
      </c>
      <c r="S69" s="918" t="s">
        <v>168</v>
      </c>
      <c r="T69" s="918" t="s">
        <v>168</v>
      </c>
      <c r="U69" s="918" t="s">
        <v>168</v>
      </c>
      <c r="V69" s="918" t="s">
        <v>168</v>
      </c>
      <c r="W69" s="918" t="s">
        <v>168</v>
      </c>
      <c r="X69" s="919" t="s">
        <v>168</v>
      </c>
      <c r="Y69" s="918" t="s">
        <v>168</v>
      </c>
      <c r="Z69" s="918" t="s">
        <v>168</v>
      </c>
      <c r="AA69" s="919" t="s">
        <v>168</v>
      </c>
      <c r="AB69" s="919" t="s">
        <v>168</v>
      </c>
      <c r="AC69" s="919" t="s">
        <v>168</v>
      </c>
      <c r="AD69" s="919" t="s">
        <v>168</v>
      </c>
      <c r="AE69" s="919" t="s">
        <v>168</v>
      </c>
      <c r="AF69" s="916"/>
      <c r="AG69" s="916"/>
      <c r="AH69" s="916"/>
    </row>
    <row r="70" spans="1:34" ht="57">
      <c r="A70" s="914">
        <v>63</v>
      </c>
      <c r="B70" s="914" t="s">
        <v>228</v>
      </c>
      <c r="C70" s="914" t="s">
        <v>1232</v>
      </c>
      <c r="D70" s="914" t="s">
        <v>1301</v>
      </c>
      <c r="E70" s="914" t="s">
        <v>1321</v>
      </c>
      <c r="F70" s="915" t="s">
        <v>1307</v>
      </c>
      <c r="G70" s="915" t="s">
        <v>1322</v>
      </c>
      <c r="H70" s="915" t="s">
        <v>1210</v>
      </c>
      <c r="I70" s="916" t="s">
        <v>1323</v>
      </c>
      <c r="J70" s="916" t="s">
        <v>1325</v>
      </c>
      <c r="K70" s="916" t="s">
        <v>1296</v>
      </c>
      <c r="L70" s="925">
        <v>2016</v>
      </c>
      <c r="M70" s="918" t="s">
        <v>168</v>
      </c>
      <c r="N70" s="918" t="s">
        <v>168</v>
      </c>
      <c r="O70" s="918" t="s">
        <v>168</v>
      </c>
      <c r="P70" s="919" t="s">
        <v>168</v>
      </c>
      <c r="Q70" s="919" t="s">
        <v>168</v>
      </c>
      <c r="R70" s="919" t="s">
        <v>168</v>
      </c>
      <c r="S70" s="918" t="s">
        <v>168</v>
      </c>
      <c r="T70" s="918" t="s">
        <v>168</v>
      </c>
      <c r="U70" s="918" t="s">
        <v>168</v>
      </c>
      <c r="V70" s="918" t="s">
        <v>168</v>
      </c>
      <c r="W70" s="918" t="s">
        <v>168</v>
      </c>
      <c r="X70" s="919" t="s">
        <v>168</v>
      </c>
      <c r="Y70" s="918" t="s">
        <v>168</v>
      </c>
      <c r="Z70" s="918" t="s">
        <v>168</v>
      </c>
      <c r="AA70" s="919" t="s">
        <v>168</v>
      </c>
      <c r="AB70" s="919" t="s">
        <v>168</v>
      </c>
      <c r="AC70" s="919" t="s">
        <v>168</v>
      </c>
      <c r="AD70" s="919" t="s">
        <v>168</v>
      </c>
      <c r="AE70" s="919" t="s">
        <v>168</v>
      </c>
      <c r="AF70" s="916"/>
      <c r="AG70" s="916"/>
      <c r="AH70" s="916"/>
    </row>
    <row r="71" spans="1:34" ht="57">
      <c r="A71" s="914">
        <v>64</v>
      </c>
      <c r="B71" s="914" t="s">
        <v>228</v>
      </c>
      <c r="C71" s="914" t="s">
        <v>1232</v>
      </c>
      <c r="D71" s="914" t="s">
        <v>1301</v>
      </c>
      <c r="E71" s="914" t="s">
        <v>1321</v>
      </c>
      <c r="F71" s="915" t="s">
        <v>1309</v>
      </c>
      <c r="G71" s="921" t="s">
        <v>1322</v>
      </c>
      <c r="H71" s="921" t="s">
        <v>1210</v>
      </c>
      <c r="I71" s="917" t="s">
        <v>1323</v>
      </c>
      <c r="J71" s="917" t="s">
        <v>1326</v>
      </c>
      <c r="K71" s="916" t="s">
        <v>1296</v>
      </c>
      <c r="L71" s="914">
        <v>2016</v>
      </c>
      <c r="M71" s="918">
        <v>0</v>
      </c>
      <c r="N71" s="918">
        <v>0</v>
      </c>
      <c r="O71" s="918">
        <v>0</v>
      </c>
      <c r="P71" s="919">
        <v>0</v>
      </c>
      <c r="Q71" s="919">
        <v>6.9448215219883576</v>
      </c>
      <c r="R71" s="919">
        <v>9.3897951789886278</v>
      </c>
      <c r="S71" s="918">
        <v>4</v>
      </c>
      <c r="T71" s="918">
        <v>4</v>
      </c>
      <c r="U71" s="918">
        <v>4</v>
      </c>
      <c r="V71" s="918">
        <v>4</v>
      </c>
      <c r="W71" s="918">
        <v>4</v>
      </c>
      <c r="X71" s="919">
        <v>6.9111126201923074</v>
      </c>
      <c r="Y71" s="918">
        <v>14375114.25</v>
      </c>
      <c r="Z71" s="918">
        <v>2080000</v>
      </c>
      <c r="AA71" s="919">
        <v>4</v>
      </c>
      <c r="AB71" s="919">
        <v>4</v>
      </c>
      <c r="AC71" s="919">
        <v>4</v>
      </c>
      <c r="AD71" s="919">
        <v>4</v>
      </c>
      <c r="AE71" s="919">
        <v>8</v>
      </c>
      <c r="AF71" s="916" t="s">
        <v>1327</v>
      </c>
      <c r="AG71" s="916" t="s">
        <v>1328</v>
      </c>
      <c r="AH71" s="916"/>
    </row>
    <row r="72" spans="1:34" ht="57">
      <c r="A72" s="914">
        <v>65</v>
      </c>
      <c r="B72" s="914" t="s">
        <v>228</v>
      </c>
      <c r="C72" s="914" t="s">
        <v>1232</v>
      </c>
      <c r="D72" s="914" t="s">
        <v>1301</v>
      </c>
      <c r="E72" s="914" t="s">
        <v>1329</v>
      </c>
      <c r="F72" s="915" t="s">
        <v>1303</v>
      </c>
      <c r="G72" s="915" t="s">
        <v>1330</v>
      </c>
      <c r="H72" s="915" t="s">
        <v>1210</v>
      </c>
      <c r="I72" s="916" t="s">
        <v>1331</v>
      </c>
      <c r="J72" s="916" t="s">
        <v>1332</v>
      </c>
      <c r="K72" s="916" t="s">
        <v>1296</v>
      </c>
      <c r="L72" s="914">
        <v>2016</v>
      </c>
      <c r="M72" s="918" t="s">
        <v>168</v>
      </c>
      <c r="N72" s="918" t="s">
        <v>168</v>
      </c>
      <c r="O72" s="918" t="s">
        <v>168</v>
      </c>
      <c r="P72" s="919" t="s">
        <v>168</v>
      </c>
      <c r="Q72" s="919" t="s">
        <v>168</v>
      </c>
      <c r="R72" s="919" t="s">
        <v>168</v>
      </c>
      <c r="S72" s="918" t="s">
        <v>168</v>
      </c>
      <c r="T72" s="918" t="s">
        <v>168</v>
      </c>
      <c r="U72" s="918" t="s">
        <v>168</v>
      </c>
      <c r="V72" s="918" t="s">
        <v>168</v>
      </c>
      <c r="W72" s="918" t="s">
        <v>168</v>
      </c>
      <c r="X72" s="919" t="s">
        <v>168</v>
      </c>
      <c r="Y72" s="919" t="s">
        <v>168</v>
      </c>
      <c r="Z72" s="919" t="s">
        <v>168</v>
      </c>
      <c r="AA72" s="919" t="s">
        <v>168</v>
      </c>
      <c r="AB72" s="919" t="s">
        <v>168</v>
      </c>
      <c r="AC72" s="919" t="s">
        <v>168</v>
      </c>
      <c r="AD72" s="919" t="s">
        <v>168</v>
      </c>
      <c r="AE72" s="919" t="s">
        <v>168</v>
      </c>
      <c r="AF72" s="916"/>
      <c r="AG72" s="916"/>
      <c r="AH72" s="916"/>
    </row>
    <row r="73" spans="1:34" ht="57">
      <c r="A73" s="914">
        <v>66</v>
      </c>
      <c r="B73" s="914" t="s">
        <v>228</v>
      </c>
      <c r="C73" s="914" t="s">
        <v>1232</v>
      </c>
      <c r="D73" s="914" t="s">
        <v>1301</v>
      </c>
      <c r="E73" s="914" t="s">
        <v>1329</v>
      </c>
      <c r="F73" s="915" t="s">
        <v>1307</v>
      </c>
      <c r="G73" s="915" t="s">
        <v>1330</v>
      </c>
      <c r="H73" s="915" t="s">
        <v>1210</v>
      </c>
      <c r="I73" s="916" t="s">
        <v>1331</v>
      </c>
      <c r="J73" s="916" t="s">
        <v>1333</v>
      </c>
      <c r="K73" s="916" t="s">
        <v>1296</v>
      </c>
      <c r="L73" s="914">
        <v>2016</v>
      </c>
      <c r="M73" s="918" t="s">
        <v>168</v>
      </c>
      <c r="N73" s="918" t="s">
        <v>168</v>
      </c>
      <c r="O73" s="918" t="s">
        <v>168</v>
      </c>
      <c r="P73" s="919" t="s">
        <v>168</v>
      </c>
      <c r="Q73" s="919" t="s">
        <v>168</v>
      </c>
      <c r="R73" s="919" t="s">
        <v>168</v>
      </c>
      <c r="S73" s="918" t="s">
        <v>168</v>
      </c>
      <c r="T73" s="918" t="s">
        <v>168</v>
      </c>
      <c r="U73" s="918" t="s">
        <v>168</v>
      </c>
      <c r="V73" s="918" t="s">
        <v>168</v>
      </c>
      <c r="W73" s="918" t="s">
        <v>168</v>
      </c>
      <c r="X73" s="919" t="s">
        <v>168</v>
      </c>
      <c r="Y73" s="919" t="s">
        <v>168</v>
      </c>
      <c r="Z73" s="919" t="s">
        <v>168</v>
      </c>
      <c r="AA73" s="919" t="s">
        <v>168</v>
      </c>
      <c r="AB73" s="919" t="s">
        <v>168</v>
      </c>
      <c r="AC73" s="919" t="s">
        <v>168</v>
      </c>
      <c r="AD73" s="919" t="s">
        <v>168</v>
      </c>
      <c r="AE73" s="919" t="s">
        <v>168</v>
      </c>
      <c r="AF73" s="916"/>
      <c r="AG73" s="916"/>
      <c r="AH73" s="916"/>
    </row>
    <row r="74" spans="1:34" ht="85.5">
      <c r="A74" s="914">
        <v>67</v>
      </c>
      <c r="B74" s="914" t="s">
        <v>228</v>
      </c>
      <c r="C74" s="914" t="s">
        <v>1232</v>
      </c>
      <c r="D74" s="914" t="s">
        <v>1301</v>
      </c>
      <c r="E74" s="914" t="s">
        <v>1329</v>
      </c>
      <c r="F74" s="915" t="s">
        <v>1309</v>
      </c>
      <c r="G74" s="921" t="s">
        <v>1330</v>
      </c>
      <c r="H74" s="921" t="s">
        <v>1210</v>
      </c>
      <c r="I74" s="917" t="s">
        <v>1331</v>
      </c>
      <c r="J74" s="917" t="s">
        <v>1334</v>
      </c>
      <c r="K74" s="916" t="s">
        <v>1296</v>
      </c>
      <c r="L74" s="914">
        <v>2016</v>
      </c>
      <c r="M74" s="918">
        <v>843.13051957048845</v>
      </c>
      <c r="N74" s="918">
        <v>2434117.81</v>
      </c>
      <c r="O74" s="918">
        <v>2887</v>
      </c>
      <c r="P74" s="919">
        <v>750.7676332949751</v>
      </c>
      <c r="Q74" s="919">
        <v>1421.8447495120363</v>
      </c>
      <c r="R74" s="919">
        <v>1015.8763566289824</v>
      </c>
      <c r="S74" s="918">
        <v>834.69921437478354</v>
      </c>
      <c r="T74" s="918">
        <v>826.26790917907863</v>
      </c>
      <c r="U74" s="918">
        <v>817.83660398337372</v>
      </c>
      <c r="V74" s="918">
        <v>792.54268839625911</v>
      </c>
      <c r="W74" s="918">
        <v>775.68007800484941</v>
      </c>
      <c r="X74" s="919">
        <v>884.00190929451287</v>
      </c>
      <c r="Y74" s="918">
        <v>1578827.41</v>
      </c>
      <c r="Z74" s="918">
        <v>1786</v>
      </c>
      <c r="AA74" s="919">
        <v>792.54268839625911</v>
      </c>
      <c r="AB74" s="919">
        <v>776</v>
      </c>
      <c r="AC74" s="919">
        <v>830</v>
      </c>
      <c r="AD74" s="919">
        <v>872</v>
      </c>
      <c r="AE74" s="919">
        <v>906</v>
      </c>
      <c r="AF74" s="916" t="s">
        <v>1335</v>
      </c>
      <c r="AG74" s="916" t="s">
        <v>1320</v>
      </c>
      <c r="AH74" s="916"/>
    </row>
    <row r="75" spans="1:34" ht="128.25">
      <c r="A75" s="914">
        <v>68</v>
      </c>
      <c r="B75" s="914" t="s">
        <v>228</v>
      </c>
      <c r="C75" s="914" t="s">
        <v>1232</v>
      </c>
      <c r="D75" s="914" t="s">
        <v>1336</v>
      </c>
      <c r="E75" s="914" t="s">
        <v>1337</v>
      </c>
      <c r="F75" s="915" t="s">
        <v>1338</v>
      </c>
      <c r="G75" s="915" t="s">
        <v>1339</v>
      </c>
      <c r="H75" s="915" t="s">
        <v>1210</v>
      </c>
      <c r="I75" s="916" t="s">
        <v>1340</v>
      </c>
      <c r="J75" s="916" t="s">
        <v>1341</v>
      </c>
      <c r="K75" s="916" t="s">
        <v>1296</v>
      </c>
      <c r="L75" s="914">
        <v>2016</v>
      </c>
      <c r="M75" s="926">
        <v>2.8140527451381101E-2</v>
      </c>
      <c r="N75" s="918">
        <v>103126</v>
      </c>
      <c r="O75" s="918">
        <v>3664679</v>
      </c>
      <c r="P75" s="927">
        <v>3.3602835885815197E-2</v>
      </c>
      <c r="Q75" s="927">
        <v>0.16531480207122953</v>
      </c>
      <c r="R75" s="927">
        <v>3.1422126786703392E-2</v>
      </c>
      <c r="S75" s="926">
        <v>8.4421582354143432E-2</v>
      </c>
      <c r="T75" s="926">
        <v>8.4421582354143432E-2</v>
      </c>
      <c r="U75" s="926">
        <v>8.4421582354143432E-2</v>
      </c>
      <c r="V75" s="926">
        <v>0.19839071853223705</v>
      </c>
      <c r="W75" s="926">
        <v>0.19979774490480609</v>
      </c>
      <c r="X75" s="927">
        <v>7.6424835806534253E-2</v>
      </c>
      <c r="Y75" s="918">
        <v>288478</v>
      </c>
      <c r="Z75" s="918">
        <v>3774663</v>
      </c>
      <c r="AA75" s="927">
        <v>0.19839071853223705</v>
      </c>
      <c r="AB75" s="927">
        <v>0.19839071853223705</v>
      </c>
      <c r="AC75" s="927">
        <v>0.19839071853223705</v>
      </c>
      <c r="AD75" s="927">
        <v>0.19839071853223705</v>
      </c>
      <c r="AE75" s="927">
        <v>0.19839071853223705</v>
      </c>
      <c r="AF75" s="916" t="s">
        <v>1342</v>
      </c>
      <c r="AG75" s="916" t="s">
        <v>1343</v>
      </c>
      <c r="AH75" s="916"/>
    </row>
    <row r="76" spans="1:34" ht="99.75">
      <c r="A76" s="914">
        <v>69</v>
      </c>
      <c r="B76" s="914" t="s">
        <v>228</v>
      </c>
      <c r="C76" s="914" t="s">
        <v>1232</v>
      </c>
      <c r="D76" s="914" t="s">
        <v>1336</v>
      </c>
      <c r="E76" s="914" t="s">
        <v>1344</v>
      </c>
      <c r="F76" s="915" t="s">
        <v>1338</v>
      </c>
      <c r="G76" s="915" t="s">
        <v>1345</v>
      </c>
      <c r="H76" s="915" t="s">
        <v>1210</v>
      </c>
      <c r="I76" s="916" t="s">
        <v>1346</v>
      </c>
      <c r="J76" s="916" t="s">
        <v>1347</v>
      </c>
      <c r="K76" s="916" t="s">
        <v>1296</v>
      </c>
      <c r="L76" s="914">
        <v>2016</v>
      </c>
      <c r="M76" s="926">
        <v>4.6080424579987372E-2</v>
      </c>
      <c r="N76" s="918">
        <v>42475</v>
      </c>
      <c r="O76" s="918">
        <v>921758</v>
      </c>
      <c r="P76" s="927">
        <v>4.4236600174957369E-2</v>
      </c>
      <c r="Q76" s="927">
        <v>0.52653815033491935</v>
      </c>
      <c r="R76" s="927">
        <v>4.4232268951968599E-2</v>
      </c>
      <c r="S76" s="926">
        <v>5.2992488266985473E-2</v>
      </c>
      <c r="T76" s="926">
        <v>5.2992488266985473E-2</v>
      </c>
      <c r="U76" s="926">
        <v>5.5296509495984844E-2</v>
      </c>
      <c r="V76" s="926">
        <v>9.2160849159974745E-2</v>
      </c>
      <c r="W76" s="926">
        <v>0.11520106144996843</v>
      </c>
      <c r="X76" s="927">
        <v>9.2926455996367369E-2</v>
      </c>
      <c r="Y76" s="918">
        <v>88408</v>
      </c>
      <c r="Z76" s="918">
        <v>951376</v>
      </c>
      <c r="AA76" s="927">
        <v>9.2160849159974745E-2</v>
      </c>
      <c r="AB76" s="927">
        <v>0.12</v>
      </c>
      <c r="AC76" s="927">
        <v>0.12</v>
      </c>
      <c r="AD76" s="927">
        <v>0.12</v>
      </c>
      <c r="AE76" s="927">
        <v>0.12</v>
      </c>
      <c r="AF76" s="916" t="s">
        <v>1348</v>
      </c>
      <c r="AG76" s="916" t="s">
        <v>1266</v>
      </c>
      <c r="AH76" s="916"/>
    </row>
    <row r="77" spans="1:34" ht="99.75">
      <c r="A77" s="914">
        <v>70</v>
      </c>
      <c r="B77" s="914" t="s">
        <v>228</v>
      </c>
      <c r="C77" s="914" t="s">
        <v>1232</v>
      </c>
      <c r="D77" s="914" t="s">
        <v>1336</v>
      </c>
      <c r="E77" s="914" t="s">
        <v>1349</v>
      </c>
      <c r="F77" s="915" t="s">
        <v>1338</v>
      </c>
      <c r="G77" s="915" t="s">
        <v>1350</v>
      </c>
      <c r="H77" s="915" t="s">
        <v>1210</v>
      </c>
      <c r="I77" s="916" t="s">
        <v>1351</v>
      </c>
      <c r="J77" s="916" t="s">
        <v>1352</v>
      </c>
      <c r="K77" s="916" t="s">
        <v>1296</v>
      </c>
      <c r="L77" s="914">
        <v>2016</v>
      </c>
      <c r="M77" s="926">
        <v>3.9255174097966992E-2</v>
      </c>
      <c r="N77" s="918">
        <v>48224</v>
      </c>
      <c r="O77" s="918">
        <v>1228475</v>
      </c>
      <c r="P77" s="927">
        <v>3.6224177617202293E-2</v>
      </c>
      <c r="Q77" s="927">
        <v>0.39828694479404392</v>
      </c>
      <c r="R77" s="927">
        <v>3.5892993996679015E-2</v>
      </c>
      <c r="S77" s="926">
        <v>4.5143450212662035E-2</v>
      </c>
      <c r="T77" s="926">
        <v>4.5143450212662035E-2</v>
      </c>
      <c r="U77" s="926">
        <v>4.7106208917560392E-2</v>
      </c>
      <c r="V77" s="926">
        <v>7.8510348195933985E-2</v>
      </c>
      <c r="W77" s="926">
        <v>9.8137935244917485E-2</v>
      </c>
      <c r="X77" s="927">
        <v>9.9847655739743121E-2</v>
      </c>
      <c r="Y77" s="918">
        <v>126887</v>
      </c>
      <c r="Z77" s="918">
        <v>1270806</v>
      </c>
      <c r="AA77" s="927">
        <v>7.8510348195933985E-2</v>
      </c>
      <c r="AB77" s="926">
        <v>9.8137935244917485E-2</v>
      </c>
      <c r="AC77" s="926">
        <v>9.8137935244917485E-2</v>
      </c>
      <c r="AD77" s="926">
        <v>9.8137935244917485E-2</v>
      </c>
      <c r="AE77" s="926">
        <v>9.8137935244917485E-2</v>
      </c>
      <c r="AF77" s="916" t="s">
        <v>1353</v>
      </c>
      <c r="AG77" s="916" t="s">
        <v>1281</v>
      </c>
      <c r="AH77" s="916"/>
    </row>
    <row r="78" spans="1:34" ht="28.5">
      <c r="A78" s="914">
        <v>71</v>
      </c>
      <c r="B78" s="914" t="s">
        <v>228</v>
      </c>
      <c r="C78" s="914" t="s">
        <v>1232</v>
      </c>
      <c r="D78" s="914" t="s">
        <v>1354</v>
      </c>
      <c r="E78" s="914" t="s">
        <v>1283</v>
      </c>
      <c r="F78" s="915" t="s">
        <v>1284</v>
      </c>
      <c r="G78" s="915" t="s">
        <v>1285</v>
      </c>
      <c r="H78" s="915" t="s">
        <v>1210</v>
      </c>
      <c r="I78" s="916" t="s">
        <v>1355</v>
      </c>
      <c r="J78" s="916" t="s">
        <v>1284</v>
      </c>
      <c r="K78" s="916" t="s">
        <v>1296</v>
      </c>
      <c r="L78" s="914">
        <v>2016</v>
      </c>
      <c r="M78" s="918" t="s">
        <v>168</v>
      </c>
      <c r="N78" s="918" t="s">
        <v>168</v>
      </c>
      <c r="O78" s="918" t="s">
        <v>168</v>
      </c>
      <c r="P78" s="919" t="s">
        <v>168</v>
      </c>
      <c r="Q78" s="919" t="s">
        <v>168</v>
      </c>
      <c r="R78" s="919" t="s">
        <v>168</v>
      </c>
      <c r="S78" s="918" t="s">
        <v>168</v>
      </c>
      <c r="T78" s="918" t="s">
        <v>168</v>
      </c>
      <c r="U78" s="918" t="s">
        <v>168</v>
      </c>
      <c r="V78" s="918" t="s">
        <v>168</v>
      </c>
      <c r="W78" s="918" t="s">
        <v>168</v>
      </c>
      <c r="X78" s="919" t="s">
        <v>168</v>
      </c>
      <c r="Y78" s="918" t="s">
        <v>168</v>
      </c>
      <c r="Z78" s="919" t="s">
        <v>168</v>
      </c>
      <c r="AA78" s="919" t="s">
        <v>168</v>
      </c>
      <c r="AB78" s="919" t="s">
        <v>168</v>
      </c>
      <c r="AC78" s="919" t="s">
        <v>168</v>
      </c>
      <c r="AD78" s="919" t="s">
        <v>168</v>
      </c>
      <c r="AE78" s="919" t="s">
        <v>168</v>
      </c>
      <c r="AF78" s="916"/>
      <c r="AG78" s="916"/>
      <c r="AH78" s="916"/>
    </row>
    <row r="79" spans="1:34" ht="28.5">
      <c r="A79" s="914">
        <v>72</v>
      </c>
      <c r="B79" s="914" t="s">
        <v>228</v>
      </c>
      <c r="C79" s="914" t="s">
        <v>1232</v>
      </c>
      <c r="D79" s="914" t="s">
        <v>1354</v>
      </c>
      <c r="E79" s="914" t="s">
        <v>1283</v>
      </c>
      <c r="F79" s="915" t="s">
        <v>1287</v>
      </c>
      <c r="G79" s="915" t="s">
        <v>1285</v>
      </c>
      <c r="H79" s="915" t="s">
        <v>1210</v>
      </c>
      <c r="I79" s="916" t="s">
        <v>1355</v>
      </c>
      <c r="J79" s="916" t="s">
        <v>1287</v>
      </c>
      <c r="K79" s="916" t="s">
        <v>1296</v>
      </c>
      <c r="L79" s="914">
        <v>2016</v>
      </c>
      <c r="M79" s="918" t="s">
        <v>168</v>
      </c>
      <c r="N79" s="918" t="s">
        <v>168</v>
      </c>
      <c r="O79" s="918" t="s">
        <v>168</v>
      </c>
      <c r="P79" s="919" t="s">
        <v>168</v>
      </c>
      <c r="Q79" s="919" t="s">
        <v>168</v>
      </c>
      <c r="R79" s="919" t="s">
        <v>168</v>
      </c>
      <c r="S79" s="918" t="s">
        <v>168</v>
      </c>
      <c r="T79" s="918" t="s">
        <v>168</v>
      </c>
      <c r="U79" s="918" t="s">
        <v>168</v>
      </c>
      <c r="V79" s="918" t="s">
        <v>168</v>
      </c>
      <c r="W79" s="918" t="s">
        <v>168</v>
      </c>
      <c r="X79" s="919" t="s">
        <v>168</v>
      </c>
      <c r="Y79" s="918" t="s">
        <v>168</v>
      </c>
      <c r="Z79" s="919" t="s">
        <v>168</v>
      </c>
      <c r="AA79" s="919" t="s">
        <v>168</v>
      </c>
      <c r="AB79" s="919" t="s">
        <v>168</v>
      </c>
      <c r="AC79" s="919" t="s">
        <v>168</v>
      </c>
      <c r="AD79" s="919" t="s">
        <v>168</v>
      </c>
      <c r="AE79" s="919" t="s">
        <v>168</v>
      </c>
      <c r="AF79" s="916"/>
      <c r="AG79" s="916"/>
      <c r="AH79" s="916"/>
    </row>
    <row r="80" spans="1:34" ht="28.5">
      <c r="A80" s="914">
        <v>73</v>
      </c>
      <c r="B80" s="914" t="s">
        <v>228</v>
      </c>
      <c r="C80" s="914" t="s">
        <v>1232</v>
      </c>
      <c r="D80" s="914" t="s">
        <v>1354</v>
      </c>
      <c r="E80" s="914" t="s">
        <v>1283</v>
      </c>
      <c r="F80" s="915" t="s">
        <v>1288</v>
      </c>
      <c r="G80" s="921" t="s">
        <v>1285</v>
      </c>
      <c r="H80" s="921" t="s">
        <v>1210</v>
      </c>
      <c r="I80" s="917" t="s">
        <v>1355</v>
      </c>
      <c r="J80" s="917" t="s">
        <v>1288</v>
      </c>
      <c r="K80" s="916" t="s">
        <v>1296</v>
      </c>
      <c r="L80" s="914">
        <v>2016</v>
      </c>
      <c r="M80" s="922">
        <v>0.73996788820581683</v>
      </c>
      <c r="N80" s="918">
        <v>12290924.199999999</v>
      </c>
      <c r="O80" s="918">
        <v>16610077.810000001</v>
      </c>
      <c r="P80" s="923">
        <v>0.93541082710806434</v>
      </c>
      <c r="Q80" s="923">
        <v>0.64660676680813323</v>
      </c>
      <c r="R80" s="923">
        <v>0.7661301486576112</v>
      </c>
      <c r="S80" s="922">
        <v>0.74</v>
      </c>
      <c r="T80" s="922">
        <v>0.74</v>
      </c>
      <c r="U80" s="922">
        <v>0.74</v>
      </c>
      <c r="V80" s="922">
        <v>0.74</v>
      </c>
      <c r="W80" s="922">
        <v>0.74</v>
      </c>
      <c r="X80" s="923">
        <v>0.85323435618710874</v>
      </c>
      <c r="Y80" s="918">
        <v>36174074.119999997</v>
      </c>
      <c r="Z80" s="918">
        <v>42396410.619999997</v>
      </c>
      <c r="AA80" s="923">
        <v>0.74</v>
      </c>
      <c r="AB80" s="923">
        <v>1.1299999999999999</v>
      </c>
      <c r="AC80" s="923">
        <v>1.18</v>
      </c>
      <c r="AD80" s="923">
        <v>1.2</v>
      </c>
      <c r="AE80" s="923">
        <v>1.21</v>
      </c>
      <c r="AF80" s="916" t="s">
        <v>1240</v>
      </c>
      <c r="AG80" s="916" t="s">
        <v>802</v>
      </c>
      <c r="AH80" s="916"/>
    </row>
    <row r="81" spans="1:34" ht="28.5">
      <c r="A81" s="914">
        <v>74</v>
      </c>
      <c r="B81" s="914" t="s">
        <v>228</v>
      </c>
      <c r="C81" s="914" t="s">
        <v>1232</v>
      </c>
      <c r="D81" s="914" t="s">
        <v>1354</v>
      </c>
      <c r="E81" s="914" t="s">
        <v>1283</v>
      </c>
      <c r="F81" s="915" t="s">
        <v>1290</v>
      </c>
      <c r="G81" s="915" t="s">
        <v>1285</v>
      </c>
      <c r="H81" s="915" t="s">
        <v>1210</v>
      </c>
      <c r="I81" s="916" t="s">
        <v>1355</v>
      </c>
      <c r="J81" s="916" t="s">
        <v>1290</v>
      </c>
      <c r="K81" s="916" t="s">
        <v>1296</v>
      </c>
      <c r="L81" s="914">
        <v>2016</v>
      </c>
      <c r="M81" s="918" t="s">
        <v>168</v>
      </c>
      <c r="N81" s="918" t="s">
        <v>168</v>
      </c>
      <c r="O81" s="918" t="s">
        <v>168</v>
      </c>
      <c r="P81" s="919" t="s">
        <v>168</v>
      </c>
      <c r="Q81" s="919" t="s">
        <v>168</v>
      </c>
      <c r="R81" s="919" t="s">
        <v>168</v>
      </c>
      <c r="S81" s="918" t="s">
        <v>168</v>
      </c>
      <c r="T81" s="918" t="s">
        <v>168</v>
      </c>
      <c r="U81" s="918" t="s">
        <v>168</v>
      </c>
      <c r="V81" s="918" t="s">
        <v>168</v>
      </c>
      <c r="W81" s="918" t="s">
        <v>168</v>
      </c>
      <c r="X81" s="919" t="s">
        <v>168</v>
      </c>
      <c r="Y81" s="918" t="s">
        <v>168</v>
      </c>
      <c r="Z81" s="919" t="s">
        <v>168</v>
      </c>
      <c r="AA81" s="919" t="s">
        <v>168</v>
      </c>
      <c r="AB81" s="919" t="s">
        <v>168</v>
      </c>
      <c r="AC81" s="919" t="s">
        <v>168</v>
      </c>
      <c r="AD81" s="919" t="s">
        <v>168</v>
      </c>
      <c r="AE81" s="919" t="s">
        <v>168</v>
      </c>
      <c r="AF81" s="916"/>
      <c r="AG81" s="916"/>
      <c r="AH81" s="916"/>
    </row>
    <row r="82" spans="1:34" ht="28.5">
      <c r="A82" s="914">
        <v>75</v>
      </c>
      <c r="B82" s="914" t="s">
        <v>228</v>
      </c>
      <c r="C82" s="914" t="s">
        <v>1232</v>
      </c>
      <c r="D82" s="914" t="s">
        <v>1354</v>
      </c>
      <c r="E82" s="914" t="s">
        <v>1283</v>
      </c>
      <c r="F82" s="915" t="s">
        <v>1291</v>
      </c>
      <c r="G82" s="915" t="s">
        <v>1285</v>
      </c>
      <c r="H82" s="915" t="s">
        <v>1210</v>
      </c>
      <c r="I82" s="916" t="s">
        <v>1355</v>
      </c>
      <c r="J82" s="916" t="s">
        <v>1291</v>
      </c>
      <c r="K82" s="916" t="s">
        <v>1296</v>
      </c>
      <c r="L82" s="914">
        <v>2016</v>
      </c>
      <c r="M82" s="918" t="s">
        <v>168</v>
      </c>
      <c r="N82" s="918" t="s">
        <v>168</v>
      </c>
      <c r="O82" s="918" t="s">
        <v>168</v>
      </c>
      <c r="P82" s="919" t="s">
        <v>168</v>
      </c>
      <c r="Q82" s="919" t="s">
        <v>168</v>
      </c>
      <c r="R82" s="919" t="s">
        <v>168</v>
      </c>
      <c r="S82" s="918" t="s">
        <v>168</v>
      </c>
      <c r="T82" s="918" t="s">
        <v>168</v>
      </c>
      <c r="U82" s="918" t="s">
        <v>168</v>
      </c>
      <c r="V82" s="918" t="s">
        <v>168</v>
      </c>
      <c r="W82" s="918" t="s">
        <v>168</v>
      </c>
      <c r="X82" s="919" t="s">
        <v>168</v>
      </c>
      <c r="Y82" s="918" t="s">
        <v>168</v>
      </c>
      <c r="Z82" s="918" t="s">
        <v>168</v>
      </c>
      <c r="AA82" s="919" t="s">
        <v>168</v>
      </c>
      <c r="AB82" s="919" t="s">
        <v>168</v>
      </c>
      <c r="AC82" s="919" t="s">
        <v>168</v>
      </c>
      <c r="AD82" s="919" t="s">
        <v>168</v>
      </c>
      <c r="AE82" s="919" t="s">
        <v>168</v>
      </c>
      <c r="AF82" s="916"/>
      <c r="AG82" s="916"/>
      <c r="AH82" s="916"/>
    </row>
    <row r="83" spans="1:34" ht="28.5">
      <c r="A83" s="914">
        <v>76</v>
      </c>
      <c r="B83" s="914" t="s">
        <v>228</v>
      </c>
      <c r="C83" s="914" t="s">
        <v>1232</v>
      </c>
      <c r="D83" s="914" t="s">
        <v>1354</v>
      </c>
      <c r="E83" s="914" t="s">
        <v>1283</v>
      </c>
      <c r="F83" s="915" t="s">
        <v>1292</v>
      </c>
      <c r="G83" s="921" t="s">
        <v>1285</v>
      </c>
      <c r="H83" s="921" t="s">
        <v>1210</v>
      </c>
      <c r="I83" s="917" t="s">
        <v>1355</v>
      </c>
      <c r="J83" s="917" t="s">
        <v>1292</v>
      </c>
      <c r="K83" s="916" t="s">
        <v>1296</v>
      </c>
      <c r="L83" s="914">
        <v>2016</v>
      </c>
      <c r="M83" s="922">
        <v>1.7026858864546162</v>
      </c>
      <c r="N83" s="918">
        <v>28281745.059999999</v>
      </c>
      <c r="O83" s="918">
        <v>16610077.810000001</v>
      </c>
      <c r="P83" s="923">
        <v>1.5230362776878208</v>
      </c>
      <c r="Q83" s="923">
        <v>0.77278310790041294</v>
      </c>
      <c r="R83" s="923">
        <v>1.0715705911021518</v>
      </c>
      <c r="S83" s="922">
        <v>1.7</v>
      </c>
      <c r="T83" s="922">
        <v>1.7</v>
      </c>
      <c r="U83" s="922">
        <v>1.7</v>
      </c>
      <c r="V83" s="922">
        <v>1.7</v>
      </c>
      <c r="W83" s="922">
        <v>1.7</v>
      </c>
      <c r="X83" s="923">
        <v>1.0710503633668222</v>
      </c>
      <c r="Y83" s="918">
        <v>45408691</v>
      </c>
      <c r="Z83" s="918">
        <v>42396410.619999997</v>
      </c>
      <c r="AA83" s="923">
        <v>1.7</v>
      </c>
      <c r="AB83" s="923">
        <v>1.48</v>
      </c>
      <c r="AC83" s="923">
        <v>1.55</v>
      </c>
      <c r="AD83" s="923">
        <v>1.57</v>
      </c>
      <c r="AE83" s="923">
        <v>1.6</v>
      </c>
      <c r="AF83" s="916" t="s">
        <v>1240</v>
      </c>
      <c r="AG83" s="916" t="s">
        <v>802</v>
      </c>
      <c r="AH83" s="916"/>
    </row>
    <row r="84" spans="1:34" ht="42.75">
      <c r="A84" s="914">
        <v>77</v>
      </c>
      <c r="B84" s="914" t="s">
        <v>228</v>
      </c>
      <c r="C84" s="914" t="s">
        <v>1232</v>
      </c>
      <c r="D84" s="914" t="s">
        <v>1356</v>
      </c>
      <c r="E84" s="914" t="s">
        <v>1357</v>
      </c>
      <c r="F84" s="915" t="s">
        <v>1358</v>
      </c>
      <c r="G84" s="915" t="s">
        <v>1359</v>
      </c>
      <c r="H84" s="915" t="s">
        <v>1360</v>
      </c>
      <c r="I84" s="916" t="s">
        <v>1361</v>
      </c>
      <c r="J84" s="916" t="s">
        <v>1362</v>
      </c>
      <c r="K84" s="916" t="s">
        <v>1296</v>
      </c>
      <c r="L84" s="914" t="s">
        <v>1363</v>
      </c>
      <c r="M84" s="918" t="s">
        <v>1363</v>
      </c>
      <c r="N84" s="918" t="s">
        <v>1363</v>
      </c>
      <c r="O84" s="918" t="s">
        <v>1363</v>
      </c>
      <c r="P84" s="919" t="s">
        <v>1364</v>
      </c>
      <c r="Q84" s="919" t="s">
        <v>1364</v>
      </c>
      <c r="R84" s="919" t="s">
        <v>1364</v>
      </c>
      <c r="S84" s="918" t="s">
        <v>1363</v>
      </c>
      <c r="T84" s="918" t="s">
        <v>1363</v>
      </c>
      <c r="U84" s="918" t="s">
        <v>1363</v>
      </c>
      <c r="V84" s="918" t="s">
        <v>1363</v>
      </c>
      <c r="W84" s="918" t="s">
        <v>1363</v>
      </c>
      <c r="X84" s="919" t="s">
        <v>1364</v>
      </c>
      <c r="Y84" s="918" t="s">
        <v>168</v>
      </c>
      <c r="Z84" s="918" t="s">
        <v>168</v>
      </c>
      <c r="AA84" s="919" t="s">
        <v>1363</v>
      </c>
      <c r="AB84" s="918" t="s">
        <v>168</v>
      </c>
      <c r="AC84" s="918" t="s">
        <v>168</v>
      </c>
      <c r="AD84" s="918" t="s">
        <v>168</v>
      </c>
      <c r="AE84" s="918" t="s">
        <v>168</v>
      </c>
      <c r="AF84" s="916" t="s">
        <v>1365</v>
      </c>
      <c r="AG84" s="916" t="s">
        <v>1366</v>
      </c>
      <c r="AH84" s="916"/>
    </row>
    <row r="85" spans="1:34" ht="71.25">
      <c r="A85" s="914">
        <v>78</v>
      </c>
      <c r="B85" s="914" t="s">
        <v>228</v>
      </c>
      <c r="C85" s="914" t="s">
        <v>1232</v>
      </c>
      <c r="D85" s="914" t="s">
        <v>1367</v>
      </c>
      <c r="E85" s="914" t="s">
        <v>1368</v>
      </c>
      <c r="F85" s="915" t="s">
        <v>1243</v>
      </c>
      <c r="G85" s="915" t="s">
        <v>1244</v>
      </c>
      <c r="H85" s="915" t="s">
        <v>1210</v>
      </c>
      <c r="I85" s="916" t="s">
        <v>1369</v>
      </c>
      <c r="J85" s="916" t="s">
        <v>1370</v>
      </c>
      <c r="K85" s="916" t="s">
        <v>1371</v>
      </c>
      <c r="L85" s="914">
        <v>2016</v>
      </c>
      <c r="M85" s="918" t="s">
        <v>168</v>
      </c>
      <c r="N85" s="918" t="s">
        <v>168</v>
      </c>
      <c r="O85" s="918" t="s">
        <v>168</v>
      </c>
      <c r="P85" s="919" t="s">
        <v>168</v>
      </c>
      <c r="Q85" s="919" t="s">
        <v>168</v>
      </c>
      <c r="R85" s="919" t="s">
        <v>168</v>
      </c>
      <c r="S85" s="918" t="s">
        <v>168</v>
      </c>
      <c r="T85" s="918" t="s">
        <v>168</v>
      </c>
      <c r="U85" s="918" t="s">
        <v>168</v>
      </c>
      <c r="V85" s="918" t="s">
        <v>168</v>
      </c>
      <c r="W85" s="918" t="s">
        <v>168</v>
      </c>
      <c r="X85" s="919" t="s">
        <v>168</v>
      </c>
      <c r="Y85" s="918" t="s">
        <v>168</v>
      </c>
      <c r="Z85" s="919" t="s">
        <v>168</v>
      </c>
      <c r="AA85" s="919" t="s">
        <v>168</v>
      </c>
      <c r="AB85" s="919" t="s">
        <v>168</v>
      </c>
      <c r="AC85" s="919" t="s">
        <v>168</v>
      </c>
      <c r="AD85" s="919" t="s">
        <v>168</v>
      </c>
      <c r="AE85" s="919" t="s">
        <v>168</v>
      </c>
      <c r="AF85" s="916"/>
      <c r="AG85" s="916"/>
      <c r="AH85" s="928"/>
    </row>
    <row r="86" spans="1:34" ht="71.25">
      <c r="A86" s="914">
        <v>79</v>
      </c>
      <c r="B86" s="914" t="s">
        <v>228</v>
      </c>
      <c r="C86" s="914" t="s">
        <v>1232</v>
      </c>
      <c r="D86" s="914" t="s">
        <v>1367</v>
      </c>
      <c r="E86" s="914" t="s">
        <v>1368</v>
      </c>
      <c r="F86" s="915" t="s">
        <v>1246</v>
      </c>
      <c r="G86" s="915" t="s">
        <v>1244</v>
      </c>
      <c r="H86" s="915" t="s">
        <v>1210</v>
      </c>
      <c r="I86" s="916" t="s">
        <v>1369</v>
      </c>
      <c r="J86" s="916" t="s">
        <v>1372</v>
      </c>
      <c r="K86" s="916" t="s">
        <v>1371</v>
      </c>
      <c r="L86" s="914">
        <v>2016</v>
      </c>
      <c r="M86" s="918" t="s">
        <v>168</v>
      </c>
      <c r="N86" s="918" t="s">
        <v>168</v>
      </c>
      <c r="O86" s="918" t="s">
        <v>168</v>
      </c>
      <c r="P86" s="919" t="s">
        <v>168</v>
      </c>
      <c r="Q86" s="919" t="s">
        <v>168</v>
      </c>
      <c r="R86" s="919" t="s">
        <v>168</v>
      </c>
      <c r="S86" s="918" t="s">
        <v>168</v>
      </c>
      <c r="T86" s="918" t="s">
        <v>168</v>
      </c>
      <c r="U86" s="918" t="s">
        <v>168</v>
      </c>
      <c r="V86" s="918" t="s">
        <v>168</v>
      </c>
      <c r="W86" s="918" t="s">
        <v>168</v>
      </c>
      <c r="X86" s="919" t="s">
        <v>168</v>
      </c>
      <c r="Y86" s="918" t="s">
        <v>168</v>
      </c>
      <c r="Z86" s="919" t="s">
        <v>168</v>
      </c>
      <c r="AA86" s="919" t="s">
        <v>168</v>
      </c>
      <c r="AB86" s="919" t="s">
        <v>168</v>
      </c>
      <c r="AC86" s="919" t="s">
        <v>168</v>
      </c>
      <c r="AD86" s="919" t="s">
        <v>168</v>
      </c>
      <c r="AE86" s="919" t="s">
        <v>168</v>
      </c>
      <c r="AF86" s="916"/>
      <c r="AG86" s="916"/>
      <c r="AH86" s="916"/>
    </row>
    <row r="87" spans="1:34" ht="71.25">
      <c r="A87" s="914">
        <v>80</v>
      </c>
      <c r="B87" s="914" t="s">
        <v>228</v>
      </c>
      <c r="C87" s="914" t="s">
        <v>1232</v>
      </c>
      <c r="D87" s="914" t="s">
        <v>1367</v>
      </c>
      <c r="E87" s="914" t="s">
        <v>1368</v>
      </c>
      <c r="F87" s="915" t="s">
        <v>1247</v>
      </c>
      <c r="G87" s="915" t="s">
        <v>1244</v>
      </c>
      <c r="H87" s="915" t="s">
        <v>1210</v>
      </c>
      <c r="I87" s="916" t="s">
        <v>1369</v>
      </c>
      <c r="J87" s="916" t="s">
        <v>1373</v>
      </c>
      <c r="K87" s="916" t="s">
        <v>1371</v>
      </c>
      <c r="L87" s="914">
        <v>2016</v>
      </c>
      <c r="M87" s="918" t="s">
        <v>168</v>
      </c>
      <c r="N87" s="918" t="s">
        <v>168</v>
      </c>
      <c r="O87" s="918" t="s">
        <v>168</v>
      </c>
      <c r="P87" s="919" t="s">
        <v>168</v>
      </c>
      <c r="Q87" s="919" t="s">
        <v>168</v>
      </c>
      <c r="R87" s="919" t="s">
        <v>168</v>
      </c>
      <c r="S87" s="918" t="s">
        <v>168</v>
      </c>
      <c r="T87" s="918" t="s">
        <v>168</v>
      </c>
      <c r="U87" s="918" t="s">
        <v>168</v>
      </c>
      <c r="V87" s="918" t="s">
        <v>168</v>
      </c>
      <c r="W87" s="918" t="s">
        <v>168</v>
      </c>
      <c r="X87" s="919" t="s">
        <v>168</v>
      </c>
      <c r="Y87" s="918" t="s">
        <v>168</v>
      </c>
      <c r="Z87" s="919" t="s">
        <v>168</v>
      </c>
      <c r="AA87" s="919" t="s">
        <v>168</v>
      </c>
      <c r="AB87" s="919" t="s">
        <v>168</v>
      </c>
      <c r="AC87" s="919" t="s">
        <v>168</v>
      </c>
      <c r="AD87" s="919" t="s">
        <v>168</v>
      </c>
      <c r="AE87" s="919" t="s">
        <v>168</v>
      </c>
      <c r="AF87" s="916"/>
      <c r="AG87" s="916"/>
      <c r="AH87" s="916"/>
    </row>
    <row r="88" spans="1:34" ht="71.25">
      <c r="A88" s="914">
        <v>81</v>
      </c>
      <c r="B88" s="914" t="s">
        <v>228</v>
      </c>
      <c r="C88" s="914" t="s">
        <v>1232</v>
      </c>
      <c r="D88" s="914" t="s">
        <v>1367</v>
      </c>
      <c r="E88" s="914" t="s">
        <v>1368</v>
      </c>
      <c r="F88" s="915" t="s">
        <v>1248</v>
      </c>
      <c r="G88" s="915" t="s">
        <v>1244</v>
      </c>
      <c r="H88" s="915" t="s">
        <v>1210</v>
      </c>
      <c r="I88" s="916" t="s">
        <v>1369</v>
      </c>
      <c r="J88" s="916" t="s">
        <v>1374</v>
      </c>
      <c r="K88" s="916" t="s">
        <v>1371</v>
      </c>
      <c r="L88" s="914">
        <v>2016</v>
      </c>
      <c r="M88" s="918" t="s">
        <v>168</v>
      </c>
      <c r="N88" s="918" t="s">
        <v>168</v>
      </c>
      <c r="O88" s="918" t="s">
        <v>168</v>
      </c>
      <c r="P88" s="919" t="s">
        <v>168</v>
      </c>
      <c r="Q88" s="919" t="s">
        <v>168</v>
      </c>
      <c r="R88" s="919" t="s">
        <v>168</v>
      </c>
      <c r="S88" s="918" t="s">
        <v>168</v>
      </c>
      <c r="T88" s="918" t="s">
        <v>168</v>
      </c>
      <c r="U88" s="918" t="s">
        <v>168</v>
      </c>
      <c r="V88" s="918" t="s">
        <v>168</v>
      </c>
      <c r="W88" s="918" t="s">
        <v>168</v>
      </c>
      <c r="X88" s="919" t="s">
        <v>168</v>
      </c>
      <c r="Y88" s="918" t="s">
        <v>168</v>
      </c>
      <c r="Z88" s="919" t="s">
        <v>168</v>
      </c>
      <c r="AA88" s="919" t="s">
        <v>168</v>
      </c>
      <c r="AB88" s="919" t="s">
        <v>168</v>
      </c>
      <c r="AC88" s="919" t="s">
        <v>168</v>
      </c>
      <c r="AD88" s="919" t="s">
        <v>168</v>
      </c>
      <c r="AE88" s="919" t="s">
        <v>168</v>
      </c>
      <c r="AF88" s="916"/>
      <c r="AG88" s="916"/>
      <c r="AH88" s="916"/>
    </row>
    <row r="89" spans="1:34" ht="71.25">
      <c r="A89" s="914">
        <v>82</v>
      </c>
      <c r="B89" s="914" t="s">
        <v>228</v>
      </c>
      <c r="C89" s="914" t="s">
        <v>1232</v>
      </c>
      <c r="D89" s="914" t="s">
        <v>1367</v>
      </c>
      <c r="E89" s="914" t="s">
        <v>1368</v>
      </c>
      <c r="F89" s="915" t="s">
        <v>1249</v>
      </c>
      <c r="G89" s="921" t="s">
        <v>1244</v>
      </c>
      <c r="H89" s="921" t="s">
        <v>1210</v>
      </c>
      <c r="I89" s="917" t="s">
        <v>1369</v>
      </c>
      <c r="J89" s="917" t="s">
        <v>1375</v>
      </c>
      <c r="K89" s="916" t="s">
        <v>1371</v>
      </c>
      <c r="L89" s="914">
        <v>2016</v>
      </c>
      <c r="M89" s="918">
        <v>140697.46</v>
      </c>
      <c r="N89" s="918" t="s">
        <v>168</v>
      </c>
      <c r="O89" s="918" t="s">
        <v>168</v>
      </c>
      <c r="P89" s="919">
        <v>178554.06</v>
      </c>
      <c r="Q89" s="919">
        <v>756244.21</v>
      </c>
      <c r="R89" s="919">
        <v>454834.01</v>
      </c>
      <c r="S89" s="918">
        <v>142807.92189999999</v>
      </c>
      <c r="T89" s="918">
        <v>142807.92189999999</v>
      </c>
      <c r="U89" s="918">
        <v>147732.33299999998</v>
      </c>
      <c r="V89" s="918">
        <v>485406.23699999991</v>
      </c>
      <c r="W89" s="918">
        <v>351743.64999999997</v>
      </c>
      <c r="X89" s="919">
        <v>180340.94</v>
      </c>
      <c r="Y89" s="918" t="s">
        <v>168</v>
      </c>
      <c r="Z89" s="918" t="s">
        <v>168</v>
      </c>
      <c r="AA89" s="919">
        <v>485406.23699999991</v>
      </c>
      <c r="AB89" s="919">
        <v>137899</v>
      </c>
      <c r="AC89" s="919">
        <v>136042</v>
      </c>
      <c r="AD89" s="919">
        <v>135558</v>
      </c>
      <c r="AE89" s="919">
        <v>135474</v>
      </c>
      <c r="AF89" s="916" t="s">
        <v>1376</v>
      </c>
      <c r="AG89" s="916" t="s">
        <v>1377</v>
      </c>
      <c r="AH89" s="916"/>
    </row>
    <row r="90" spans="1:34" ht="71.25">
      <c r="A90" s="914">
        <v>83</v>
      </c>
      <c r="B90" s="914" t="s">
        <v>228</v>
      </c>
      <c r="C90" s="914" t="s">
        <v>1232</v>
      </c>
      <c r="D90" s="914" t="s">
        <v>1367</v>
      </c>
      <c r="E90" s="914" t="s">
        <v>1368</v>
      </c>
      <c r="F90" s="915" t="s">
        <v>1250</v>
      </c>
      <c r="G90" s="921" t="s">
        <v>1244</v>
      </c>
      <c r="H90" s="921" t="s">
        <v>1210</v>
      </c>
      <c r="I90" s="917" t="s">
        <v>1369</v>
      </c>
      <c r="J90" s="917" t="s">
        <v>1378</v>
      </c>
      <c r="K90" s="916" t="s">
        <v>1371</v>
      </c>
      <c r="L90" s="914">
        <v>2016</v>
      </c>
      <c r="M90" s="918">
        <v>94726.46</v>
      </c>
      <c r="N90" s="918" t="s">
        <v>168</v>
      </c>
      <c r="O90" s="918" t="s">
        <v>168</v>
      </c>
      <c r="P90" s="919">
        <v>111451.71</v>
      </c>
      <c r="Q90" s="919">
        <v>524576.6</v>
      </c>
      <c r="R90" s="919">
        <v>313616.31</v>
      </c>
      <c r="S90" s="918">
        <v>96147.356899999999</v>
      </c>
      <c r="T90" s="918">
        <v>96147.356899999999</v>
      </c>
      <c r="U90" s="918">
        <v>99462.78300000001</v>
      </c>
      <c r="V90" s="918">
        <v>326806.28700000001</v>
      </c>
      <c r="W90" s="918">
        <v>236816.15000000002</v>
      </c>
      <c r="X90" s="919">
        <v>117454.42</v>
      </c>
      <c r="Y90" s="918" t="s">
        <v>168</v>
      </c>
      <c r="Z90" s="918" t="s">
        <v>168</v>
      </c>
      <c r="AA90" s="919">
        <v>326806.28700000001</v>
      </c>
      <c r="AB90" s="919">
        <v>121867</v>
      </c>
      <c r="AC90" s="919">
        <v>120758</v>
      </c>
      <c r="AD90" s="919">
        <v>120487</v>
      </c>
      <c r="AE90" s="919">
        <v>120435</v>
      </c>
      <c r="AF90" s="916" t="s">
        <v>1376</v>
      </c>
      <c r="AG90" s="916" t="s">
        <v>1377</v>
      </c>
      <c r="AH90" s="916"/>
    </row>
    <row r="91" spans="1:34" ht="71.25">
      <c r="A91" s="914">
        <v>84</v>
      </c>
      <c r="B91" s="914" t="s">
        <v>228</v>
      </c>
      <c r="C91" s="914" t="s">
        <v>1232</v>
      </c>
      <c r="D91" s="914" t="s">
        <v>1367</v>
      </c>
      <c r="E91" s="914" t="s">
        <v>1368</v>
      </c>
      <c r="F91" s="915" t="s">
        <v>1251</v>
      </c>
      <c r="G91" s="921" t="s">
        <v>1244</v>
      </c>
      <c r="H91" s="921" t="s">
        <v>1210</v>
      </c>
      <c r="I91" s="917" t="s">
        <v>1369</v>
      </c>
      <c r="J91" s="917" t="s">
        <v>1379</v>
      </c>
      <c r="K91" s="916" t="s">
        <v>1371</v>
      </c>
      <c r="L91" s="914">
        <v>2016</v>
      </c>
      <c r="M91" s="918" t="s">
        <v>168</v>
      </c>
      <c r="N91" s="918" t="s">
        <v>168</v>
      </c>
      <c r="O91" s="918" t="s">
        <v>168</v>
      </c>
      <c r="P91" s="919" t="s">
        <v>168</v>
      </c>
      <c r="Q91" s="919" t="s">
        <v>168</v>
      </c>
      <c r="R91" s="919" t="s">
        <v>168</v>
      </c>
      <c r="S91" s="918" t="s">
        <v>168</v>
      </c>
      <c r="T91" s="918" t="s">
        <v>168</v>
      </c>
      <c r="U91" s="918" t="s">
        <v>168</v>
      </c>
      <c r="V91" s="918" t="s">
        <v>168</v>
      </c>
      <c r="W91" s="918" t="s">
        <v>168</v>
      </c>
      <c r="X91" s="919" t="s">
        <v>168</v>
      </c>
      <c r="Y91" s="918" t="s">
        <v>168</v>
      </c>
      <c r="Z91" s="918" t="s">
        <v>168</v>
      </c>
      <c r="AA91" s="919" t="s">
        <v>168</v>
      </c>
      <c r="AB91" s="919" t="s">
        <v>168</v>
      </c>
      <c r="AC91" s="919" t="s">
        <v>168</v>
      </c>
      <c r="AD91" s="919" t="s">
        <v>168</v>
      </c>
      <c r="AE91" s="919" t="s">
        <v>168</v>
      </c>
      <c r="AF91" s="916"/>
      <c r="AG91" s="916"/>
      <c r="AH91" s="916"/>
    </row>
    <row r="92" spans="1:34" ht="71.25">
      <c r="A92" s="914">
        <v>85</v>
      </c>
      <c r="B92" s="914" t="s">
        <v>228</v>
      </c>
      <c r="C92" s="914" t="s">
        <v>1232</v>
      </c>
      <c r="D92" s="914" t="s">
        <v>1367</v>
      </c>
      <c r="E92" s="914" t="s">
        <v>1368</v>
      </c>
      <c r="F92" s="915" t="s">
        <v>1252</v>
      </c>
      <c r="G92" s="921" t="s">
        <v>1244</v>
      </c>
      <c r="H92" s="921" t="s">
        <v>1210</v>
      </c>
      <c r="I92" s="917" t="s">
        <v>1369</v>
      </c>
      <c r="J92" s="917" t="s">
        <v>1380</v>
      </c>
      <c r="K92" s="916" t="s">
        <v>1371</v>
      </c>
      <c r="L92" s="914">
        <v>2016</v>
      </c>
      <c r="M92" s="918" t="s">
        <v>168</v>
      </c>
      <c r="N92" s="918" t="s">
        <v>168</v>
      </c>
      <c r="O92" s="918" t="s">
        <v>168</v>
      </c>
      <c r="P92" s="919" t="s">
        <v>168</v>
      </c>
      <c r="Q92" s="919" t="s">
        <v>168</v>
      </c>
      <c r="R92" s="919" t="s">
        <v>168</v>
      </c>
      <c r="S92" s="918" t="s">
        <v>168</v>
      </c>
      <c r="T92" s="918" t="s">
        <v>168</v>
      </c>
      <c r="U92" s="918" t="s">
        <v>168</v>
      </c>
      <c r="V92" s="918" t="s">
        <v>168</v>
      </c>
      <c r="W92" s="918" t="s">
        <v>168</v>
      </c>
      <c r="X92" s="919" t="s">
        <v>168</v>
      </c>
      <c r="Y92" s="918" t="s">
        <v>168</v>
      </c>
      <c r="Z92" s="918" t="s">
        <v>168</v>
      </c>
      <c r="AA92" s="919" t="s">
        <v>168</v>
      </c>
      <c r="AB92" s="919" t="s">
        <v>168</v>
      </c>
      <c r="AC92" s="919" t="s">
        <v>168</v>
      </c>
      <c r="AD92" s="919" t="s">
        <v>168</v>
      </c>
      <c r="AE92" s="919" t="s">
        <v>168</v>
      </c>
      <c r="AF92" s="916"/>
      <c r="AG92" s="916"/>
      <c r="AH92" s="916"/>
    </row>
    <row r="93" spans="1:34" ht="71.25">
      <c r="A93" s="914">
        <v>86</v>
      </c>
      <c r="B93" s="914" t="s">
        <v>228</v>
      </c>
      <c r="C93" s="914" t="s">
        <v>1232</v>
      </c>
      <c r="D93" s="914" t="s">
        <v>1367</v>
      </c>
      <c r="E93" s="914" t="s">
        <v>1368</v>
      </c>
      <c r="F93" s="915" t="s">
        <v>1253</v>
      </c>
      <c r="G93" s="921" t="s">
        <v>1244</v>
      </c>
      <c r="H93" s="921" t="s">
        <v>1210</v>
      </c>
      <c r="I93" s="917" t="s">
        <v>1369</v>
      </c>
      <c r="J93" s="917" t="s">
        <v>1381</v>
      </c>
      <c r="K93" s="916" t="s">
        <v>1371</v>
      </c>
      <c r="L93" s="914">
        <v>2016</v>
      </c>
      <c r="M93" s="918" t="s">
        <v>168</v>
      </c>
      <c r="N93" s="918" t="s">
        <v>168</v>
      </c>
      <c r="O93" s="918" t="s">
        <v>168</v>
      </c>
      <c r="P93" s="919" t="s">
        <v>168</v>
      </c>
      <c r="Q93" s="919" t="s">
        <v>168</v>
      </c>
      <c r="R93" s="919" t="s">
        <v>168</v>
      </c>
      <c r="S93" s="918" t="s">
        <v>168</v>
      </c>
      <c r="T93" s="918" t="s">
        <v>168</v>
      </c>
      <c r="U93" s="918" t="s">
        <v>168</v>
      </c>
      <c r="V93" s="918" t="s">
        <v>168</v>
      </c>
      <c r="W93" s="918" t="s">
        <v>168</v>
      </c>
      <c r="X93" s="919" t="s">
        <v>168</v>
      </c>
      <c r="Y93" s="918" t="s">
        <v>168</v>
      </c>
      <c r="Z93" s="918" t="s">
        <v>168</v>
      </c>
      <c r="AA93" s="919" t="s">
        <v>168</v>
      </c>
      <c r="AB93" s="919" t="s">
        <v>168</v>
      </c>
      <c r="AC93" s="919" t="s">
        <v>168</v>
      </c>
      <c r="AD93" s="919" t="s">
        <v>168</v>
      </c>
      <c r="AE93" s="919" t="s">
        <v>168</v>
      </c>
      <c r="AF93" s="916"/>
      <c r="AG93" s="916"/>
      <c r="AH93" s="916"/>
    </row>
    <row r="94" spans="1:34" ht="71.25">
      <c r="A94" s="914">
        <v>87</v>
      </c>
      <c r="B94" s="914" t="s">
        <v>228</v>
      </c>
      <c r="C94" s="914" t="s">
        <v>1232</v>
      </c>
      <c r="D94" s="914" t="s">
        <v>1367</v>
      </c>
      <c r="E94" s="914" t="s">
        <v>1368</v>
      </c>
      <c r="F94" s="915" t="s">
        <v>1254</v>
      </c>
      <c r="G94" s="921" t="s">
        <v>1244</v>
      </c>
      <c r="H94" s="921" t="s">
        <v>1210</v>
      </c>
      <c r="I94" s="917" t="s">
        <v>1369</v>
      </c>
      <c r="J94" s="917" t="s">
        <v>1382</v>
      </c>
      <c r="K94" s="916" t="s">
        <v>1371</v>
      </c>
      <c r="L94" s="914">
        <v>2016</v>
      </c>
      <c r="M94" s="918" t="s">
        <v>168</v>
      </c>
      <c r="N94" s="918" t="s">
        <v>168</v>
      </c>
      <c r="O94" s="918" t="s">
        <v>168</v>
      </c>
      <c r="P94" s="919" t="s">
        <v>168</v>
      </c>
      <c r="Q94" s="919" t="s">
        <v>168</v>
      </c>
      <c r="R94" s="919" t="s">
        <v>168</v>
      </c>
      <c r="S94" s="918" t="s">
        <v>168</v>
      </c>
      <c r="T94" s="918" t="s">
        <v>168</v>
      </c>
      <c r="U94" s="918" t="s">
        <v>168</v>
      </c>
      <c r="V94" s="918" t="s">
        <v>168</v>
      </c>
      <c r="W94" s="918" t="s">
        <v>168</v>
      </c>
      <c r="X94" s="919" t="s">
        <v>168</v>
      </c>
      <c r="Y94" s="918" t="s">
        <v>168</v>
      </c>
      <c r="Z94" s="918" t="s">
        <v>168</v>
      </c>
      <c r="AA94" s="919" t="s">
        <v>168</v>
      </c>
      <c r="AB94" s="919" t="s">
        <v>168</v>
      </c>
      <c r="AC94" s="919" t="s">
        <v>168</v>
      </c>
      <c r="AD94" s="919" t="s">
        <v>168</v>
      </c>
      <c r="AE94" s="919" t="s">
        <v>168</v>
      </c>
      <c r="AF94" s="916"/>
      <c r="AG94" s="916"/>
      <c r="AH94" s="916"/>
    </row>
    <row r="95" spans="1:34" ht="71.25">
      <c r="A95" s="914">
        <v>88</v>
      </c>
      <c r="B95" s="914" t="s">
        <v>228</v>
      </c>
      <c r="C95" s="914" t="s">
        <v>1232</v>
      </c>
      <c r="D95" s="914" t="s">
        <v>1367</v>
      </c>
      <c r="E95" s="914" t="s">
        <v>1368</v>
      </c>
      <c r="F95" s="915" t="s">
        <v>1255</v>
      </c>
      <c r="G95" s="921" t="s">
        <v>1244</v>
      </c>
      <c r="H95" s="921" t="s">
        <v>1210</v>
      </c>
      <c r="I95" s="917" t="s">
        <v>1369</v>
      </c>
      <c r="J95" s="917" t="s">
        <v>1383</v>
      </c>
      <c r="K95" s="916" t="s">
        <v>1371</v>
      </c>
      <c r="L95" s="914">
        <v>2016</v>
      </c>
      <c r="M95" s="918">
        <v>1682187</v>
      </c>
      <c r="N95" s="918" t="s">
        <v>168</v>
      </c>
      <c r="O95" s="918" t="s">
        <v>168</v>
      </c>
      <c r="P95" s="919">
        <v>2293520.2999999998</v>
      </c>
      <c r="Q95" s="919">
        <v>7457870</v>
      </c>
      <c r="R95" s="919">
        <v>4241876.2300000004</v>
      </c>
      <c r="S95" s="918">
        <v>1707419.8049999999</v>
      </c>
      <c r="T95" s="918">
        <v>1707419.8049999999</v>
      </c>
      <c r="U95" s="918">
        <v>1766296.35</v>
      </c>
      <c r="V95" s="918">
        <v>5803545.1499999994</v>
      </c>
      <c r="W95" s="918">
        <v>4205467.5</v>
      </c>
      <c r="X95" s="919">
        <v>2455145.46</v>
      </c>
      <c r="Y95" s="918" t="s">
        <v>168</v>
      </c>
      <c r="Z95" s="918" t="s">
        <v>168</v>
      </c>
      <c r="AA95" s="919">
        <v>5803545.1499999994</v>
      </c>
      <c r="AB95" s="919">
        <v>758011</v>
      </c>
      <c r="AC95" s="919">
        <v>729608</v>
      </c>
      <c r="AD95" s="919">
        <v>723893</v>
      </c>
      <c r="AE95" s="919">
        <v>724298</v>
      </c>
      <c r="AF95" s="916" t="s">
        <v>1376</v>
      </c>
      <c r="AG95" s="916" t="s">
        <v>1377</v>
      </c>
      <c r="AH95" s="916"/>
    </row>
    <row r="96" spans="1:34" ht="71.25">
      <c r="A96" s="914">
        <v>89</v>
      </c>
      <c r="B96" s="914" t="s">
        <v>228</v>
      </c>
      <c r="C96" s="914" t="s">
        <v>1232</v>
      </c>
      <c r="D96" s="914" t="s">
        <v>1367</v>
      </c>
      <c r="E96" s="914" t="s">
        <v>1368</v>
      </c>
      <c r="F96" s="915" t="s">
        <v>1256</v>
      </c>
      <c r="G96" s="921" t="s">
        <v>1244</v>
      </c>
      <c r="H96" s="921" t="s">
        <v>1210</v>
      </c>
      <c r="I96" s="917" t="s">
        <v>1369</v>
      </c>
      <c r="J96" s="917" t="s">
        <v>1384</v>
      </c>
      <c r="K96" s="916" t="s">
        <v>1371</v>
      </c>
      <c r="L96" s="914">
        <v>2016</v>
      </c>
      <c r="M96" s="918">
        <v>1574917.84</v>
      </c>
      <c r="N96" s="918" t="s">
        <v>168</v>
      </c>
      <c r="O96" s="918" t="s">
        <v>168</v>
      </c>
      <c r="P96" s="919">
        <v>1720311</v>
      </c>
      <c r="Q96" s="919">
        <v>5090666.1500000004</v>
      </c>
      <c r="R96" s="919">
        <v>2863425.09</v>
      </c>
      <c r="S96" s="918">
        <v>1598541.6076</v>
      </c>
      <c r="T96" s="918">
        <v>1598541.6076</v>
      </c>
      <c r="U96" s="918">
        <v>1653663.7320000001</v>
      </c>
      <c r="V96" s="918">
        <v>5433466.5480000004</v>
      </c>
      <c r="W96" s="918">
        <v>3937294.6</v>
      </c>
      <c r="X96" s="919">
        <v>1608922.22</v>
      </c>
      <c r="Y96" s="918" t="s">
        <v>168</v>
      </c>
      <c r="Z96" s="918" t="s">
        <v>168</v>
      </c>
      <c r="AA96" s="919">
        <v>5433466.5480000004</v>
      </c>
      <c r="AB96" s="919">
        <v>545627</v>
      </c>
      <c r="AC96" s="919">
        <v>529191</v>
      </c>
      <c r="AD96" s="919">
        <v>526048</v>
      </c>
      <c r="AE96" s="919">
        <v>526242</v>
      </c>
      <c r="AF96" s="916" t="s">
        <v>1376</v>
      </c>
      <c r="AG96" s="916" t="s">
        <v>1377</v>
      </c>
      <c r="AH96" s="916"/>
    </row>
    <row r="97" spans="1:34" ht="71.25">
      <c r="A97" s="914">
        <v>90</v>
      </c>
      <c r="B97" s="914" t="s">
        <v>228</v>
      </c>
      <c r="C97" s="914" t="s">
        <v>1232</v>
      </c>
      <c r="D97" s="914" t="s">
        <v>1367</v>
      </c>
      <c r="E97" s="914" t="s">
        <v>1385</v>
      </c>
      <c r="F97" s="915" t="s">
        <v>1243</v>
      </c>
      <c r="G97" s="921" t="s">
        <v>1244</v>
      </c>
      <c r="H97" s="921" t="s">
        <v>1210</v>
      </c>
      <c r="I97" s="917" t="s">
        <v>1369</v>
      </c>
      <c r="J97" s="917" t="s">
        <v>1386</v>
      </c>
      <c r="K97" s="916" t="s">
        <v>1371</v>
      </c>
      <c r="L97" s="914">
        <v>2016</v>
      </c>
      <c r="M97" s="918" t="s">
        <v>168</v>
      </c>
      <c r="N97" s="918" t="s">
        <v>168</v>
      </c>
      <c r="O97" s="918" t="s">
        <v>168</v>
      </c>
      <c r="P97" s="919" t="s">
        <v>168</v>
      </c>
      <c r="Q97" s="919" t="s">
        <v>168</v>
      </c>
      <c r="R97" s="919" t="s">
        <v>168</v>
      </c>
      <c r="S97" s="918" t="s">
        <v>168</v>
      </c>
      <c r="T97" s="918" t="s">
        <v>168</v>
      </c>
      <c r="U97" s="918" t="s">
        <v>168</v>
      </c>
      <c r="V97" s="918" t="s">
        <v>168</v>
      </c>
      <c r="W97" s="918" t="s">
        <v>168</v>
      </c>
      <c r="X97" s="919" t="s">
        <v>168</v>
      </c>
      <c r="Y97" s="918" t="s">
        <v>168</v>
      </c>
      <c r="Z97" s="919" t="s">
        <v>168</v>
      </c>
      <c r="AA97" s="919" t="s">
        <v>168</v>
      </c>
      <c r="AB97" s="919" t="s">
        <v>168</v>
      </c>
      <c r="AC97" s="919" t="s">
        <v>168</v>
      </c>
      <c r="AD97" s="919" t="s">
        <v>168</v>
      </c>
      <c r="AE97" s="919" t="s">
        <v>168</v>
      </c>
      <c r="AF97" s="916"/>
      <c r="AG97" s="916"/>
      <c r="AH97" s="916"/>
    </row>
    <row r="98" spans="1:34" ht="71.25">
      <c r="A98" s="914">
        <v>91</v>
      </c>
      <c r="B98" s="914" t="s">
        <v>228</v>
      </c>
      <c r="C98" s="914" t="s">
        <v>1232</v>
      </c>
      <c r="D98" s="914" t="s">
        <v>1367</v>
      </c>
      <c r="E98" s="914" t="s">
        <v>1385</v>
      </c>
      <c r="F98" s="915" t="s">
        <v>1246</v>
      </c>
      <c r="G98" s="921" t="s">
        <v>1244</v>
      </c>
      <c r="H98" s="921" t="s">
        <v>1210</v>
      </c>
      <c r="I98" s="917" t="s">
        <v>1369</v>
      </c>
      <c r="J98" s="917" t="s">
        <v>1387</v>
      </c>
      <c r="K98" s="916" t="s">
        <v>1371</v>
      </c>
      <c r="L98" s="914">
        <v>2016</v>
      </c>
      <c r="M98" s="918" t="s">
        <v>168</v>
      </c>
      <c r="N98" s="918" t="s">
        <v>168</v>
      </c>
      <c r="O98" s="918" t="s">
        <v>168</v>
      </c>
      <c r="P98" s="919" t="s">
        <v>168</v>
      </c>
      <c r="Q98" s="919" t="s">
        <v>168</v>
      </c>
      <c r="R98" s="919" t="s">
        <v>168</v>
      </c>
      <c r="S98" s="918" t="s">
        <v>168</v>
      </c>
      <c r="T98" s="918" t="s">
        <v>168</v>
      </c>
      <c r="U98" s="918" t="s">
        <v>168</v>
      </c>
      <c r="V98" s="918" t="s">
        <v>168</v>
      </c>
      <c r="W98" s="918" t="s">
        <v>168</v>
      </c>
      <c r="X98" s="919" t="s">
        <v>168</v>
      </c>
      <c r="Y98" s="918" t="s">
        <v>168</v>
      </c>
      <c r="Z98" s="919" t="s">
        <v>168</v>
      </c>
      <c r="AA98" s="919" t="s">
        <v>168</v>
      </c>
      <c r="AB98" s="919" t="s">
        <v>168</v>
      </c>
      <c r="AC98" s="919" t="s">
        <v>168</v>
      </c>
      <c r="AD98" s="919" t="s">
        <v>168</v>
      </c>
      <c r="AE98" s="919" t="s">
        <v>168</v>
      </c>
      <c r="AF98" s="916"/>
      <c r="AG98" s="916"/>
      <c r="AH98" s="916"/>
    </row>
    <row r="99" spans="1:34" ht="71.25">
      <c r="A99" s="914">
        <v>92</v>
      </c>
      <c r="B99" s="914" t="s">
        <v>228</v>
      </c>
      <c r="C99" s="914" t="s">
        <v>1232</v>
      </c>
      <c r="D99" s="914" t="s">
        <v>1367</v>
      </c>
      <c r="E99" s="914" t="s">
        <v>1385</v>
      </c>
      <c r="F99" s="915" t="s">
        <v>1247</v>
      </c>
      <c r="G99" s="921" t="s">
        <v>1244</v>
      </c>
      <c r="H99" s="921" t="s">
        <v>1210</v>
      </c>
      <c r="I99" s="917" t="s">
        <v>1369</v>
      </c>
      <c r="J99" s="917" t="s">
        <v>1388</v>
      </c>
      <c r="K99" s="916" t="s">
        <v>1371</v>
      </c>
      <c r="L99" s="914">
        <v>2016</v>
      </c>
      <c r="M99" s="918" t="s">
        <v>168</v>
      </c>
      <c r="N99" s="918" t="s">
        <v>168</v>
      </c>
      <c r="O99" s="918" t="s">
        <v>168</v>
      </c>
      <c r="P99" s="919" t="s">
        <v>168</v>
      </c>
      <c r="Q99" s="919" t="s">
        <v>168</v>
      </c>
      <c r="R99" s="919" t="s">
        <v>168</v>
      </c>
      <c r="S99" s="918" t="s">
        <v>168</v>
      </c>
      <c r="T99" s="918" t="s">
        <v>168</v>
      </c>
      <c r="U99" s="918" t="s">
        <v>168</v>
      </c>
      <c r="V99" s="918" t="s">
        <v>168</v>
      </c>
      <c r="W99" s="918" t="s">
        <v>168</v>
      </c>
      <c r="X99" s="919" t="s">
        <v>168</v>
      </c>
      <c r="Y99" s="918" t="s">
        <v>168</v>
      </c>
      <c r="Z99" s="919" t="s">
        <v>168</v>
      </c>
      <c r="AA99" s="919" t="s">
        <v>168</v>
      </c>
      <c r="AB99" s="919" t="s">
        <v>168</v>
      </c>
      <c r="AC99" s="919" t="s">
        <v>168</v>
      </c>
      <c r="AD99" s="919" t="s">
        <v>168</v>
      </c>
      <c r="AE99" s="919" t="s">
        <v>168</v>
      </c>
      <c r="AF99" s="916"/>
      <c r="AG99" s="916"/>
      <c r="AH99" s="916"/>
    </row>
    <row r="100" spans="1:34" ht="71.25">
      <c r="A100" s="914">
        <v>93</v>
      </c>
      <c r="B100" s="914" t="s">
        <v>228</v>
      </c>
      <c r="C100" s="914" t="s">
        <v>1232</v>
      </c>
      <c r="D100" s="914" t="s">
        <v>1367</v>
      </c>
      <c r="E100" s="914" t="s">
        <v>1385</v>
      </c>
      <c r="F100" s="915" t="s">
        <v>1248</v>
      </c>
      <c r="G100" s="921" t="s">
        <v>1244</v>
      </c>
      <c r="H100" s="921" t="s">
        <v>1210</v>
      </c>
      <c r="I100" s="917" t="s">
        <v>1369</v>
      </c>
      <c r="J100" s="917" t="s">
        <v>1389</v>
      </c>
      <c r="K100" s="916" t="s">
        <v>1371</v>
      </c>
      <c r="L100" s="914">
        <v>2016</v>
      </c>
      <c r="M100" s="918" t="s">
        <v>168</v>
      </c>
      <c r="N100" s="918" t="s">
        <v>168</v>
      </c>
      <c r="O100" s="918" t="s">
        <v>168</v>
      </c>
      <c r="P100" s="919" t="s">
        <v>168</v>
      </c>
      <c r="Q100" s="919" t="s">
        <v>168</v>
      </c>
      <c r="R100" s="919" t="s">
        <v>168</v>
      </c>
      <c r="S100" s="918" t="s">
        <v>168</v>
      </c>
      <c r="T100" s="918" t="s">
        <v>168</v>
      </c>
      <c r="U100" s="918" t="s">
        <v>168</v>
      </c>
      <c r="V100" s="918" t="s">
        <v>168</v>
      </c>
      <c r="W100" s="918" t="s">
        <v>168</v>
      </c>
      <c r="X100" s="919" t="s">
        <v>168</v>
      </c>
      <c r="Y100" s="918" t="s">
        <v>168</v>
      </c>
      <c r="Z100" s="919" t="s">
        <v>168</v>
      </c>
      <c r="AA100" s="919" t="s">
        <v>168</v>
      </c>
      <c r="AB100" s="919" t="s">
        <v>168</v>
      </c>
      <c r="AC100" s="919" t="s">
        <v>168</v>
      </c>
      <c r="AD100" s="919" t="s">
        <v>168</v>
      </c>
      <c r="AE100" s="919" t="s">
        <v>168</v>
      </c>
      <c r="AF100" s="916"/>
      <c r="AG100" s="916"/>
      <c r="AH100" s="916"/>
    </row>
    <row r="101" spans="1:34" ht="71.25">
      <c r="A101" s="914">
        <v>94</v>
      </c>
      <c r="B101" s="914" t="s">
        <v>228</v>
      </c>
      <c r="C101" s="914" t="s">
        <v>1232</v>
      </c>
      <c r="D101" s="914" t="s">
        <v>1367</v>
      </c>
      <c r="E101" s="914" t="s">
        <v>1385</v>
      </c>
      <c r="F101" s="915" t="s">
        <v>1249</v>
      </c>
      <c r="G101" s="921" t="s">
        <v>1244</v>
      </c>
      <c r="H101" s="921" t="s">
        <v>1210</v>
      </c>
      <c r="I101" s="917" t="s">
        <v>1369</v>
      </c>
      <c r="J101" s="917" t="s">
        <v>1390</v>
      </c>
      <c r="K101" s="916" t="s">
        <v>1371</v>
      </c>
      <c r="L101" s="914">
        <v>2016</v>
      </c>
      <c r="M101" s="918">
        <v>1190539.3</v>
      </c>
      <c r="N101" s="918" t="s">
        <v>168</v>
      </c>
      <c r="O101" s="918" t="s">
        <v>168</v>
      </c>
      <c r="P101" s="919">
        <v>565081.17000000004</v>
      </c>
      <c r="Q101" s="919">
        <v>611257.02</v>
      </c>
      <c r="R101" s="919">
        <v>855263.22</v>
      </c>
      <c r="S101" s="918">
        <v>1208397.3894999998</v>
      </c>
      <c r="T101" s="918">
        <v>1208397.3894999998</v>
      </c>
      <c r="U101" s="918">
        <v>1250066.2650000001</v>
      </c>
      <c r="V101" s="918">
        <v>4107360.5849999995</v>
      </c>
      <c r="W101" s="918">
        <v>2976348.25</v>
      </c>
      <c r="X101" s="919">
        <v>865218.69</v>
      </c>
      <c r="Y101" s="918" t="s">
        <v>168</v>
      </c>
      <c r="Z101" s="918" t="s">
        <v>168</v>
      </c>
      <c r="AA101" s="919">
        <v>4107360.5849999995</v>
      </c>
      <c r="AB101" s="919">
        <v>630396</v>
      </c>
      <c r="AC101" s="919">
        <v>621906</v>
      </c>
      <c r="AD101" s="919">
        <v>619695</v>
      </c>
      <c r="AE101" s="919">
        <v>619309</v>
      </c>
      <c r="AF101" s="916" t="s">
        <v>1376</v>
      </c>
      <c r="AG101" s="916" t="s">
        <v>1391</v>
      </c>
      <c r="AH101" s="916"/>
    </row>
    <row r="102" spans="1:34" ht="71.25">
      <c r="A102" s="914">
        <v>95</v>
      </c>
      <c r="B102" s="914" t="s">
        <v>228</v>
      </c>
      <c r="C102" s="914" t="s">
        <v>1232</v>
      </c>
      <c r="D102" s="914" t="s">
        <v>1367</v>
      </c>
      <c r="E102" s="914" t="s">
        <v>1385</v>
      </c>
      <c r="F102" s="915" t="s">
        <v>1250</v>
      </c>
      <c r="G102" s="921" t="s">
        <v>1244</v>
      </c>
      <c r="H102" s="921" t="s">
        <v>1210</v>
      </c>
      <c r="I102" s="917" t="s">
        <v>1369</v>
      </c>
      <c r="J102" s="917" t="s">
        <v>1392</v>
      </c>
      <c r="K102" s="916" t="s">
        <v>1371</v>
      </c>
      <c r="L102" s="914">
        <v>2016</v>
      </c>
      <c r="M102" s="918">
        <v>834669.29</v>
      </c>
      <c r="N102" s="918" t="s">
        <v>168</v>
      </c>
      <c r="O102" s="918" t="s">
        <v>168</v>
      </c>
      <c r="P102" s="919">
        <v>361725.16</v>
      </c>
      <c r="Q102" s="919">
        <v>432950.79</v>
      </c>
      <c r="R102" s="919">
        <v>572751.73</v>
      </c>
      <c r="S102" s="918">
        <v>847189.3293499999</v>
      </c>
      <c r="T102" s="918">
        <v>847189.3293499999</v>
      </c>
      <c r="U102" s="918">
        <v>876402.75450000004</v>
      </c>
      <c r="V102" s="918">
        <v>2879609.0504999999</v>
      </c>
      <c r="W102" s="918">
        <v>2086673.2250000001</v>
      </c>
      <c r="X102" s="919">
        <v>548346.93000000005</v>
      </c>
      <c r="Y102" s="918" t="s">
        <v>168</v>
      </c>
      <c r="Z102" s="918" t="s">
        <v>168</v>
      </c>
      <c r="AA102" s="919">
        <v>2879609.0504999999</v>
      </c>
      <c r="AB102" s="919">
        <v>557107</v>
      </c>
      <c r="AC102" s="919">
        <v>552036</v>
      </c>
      <c r="AD102" s="919">
        <v>550799</v>
      </c>
      <c r="AE102" s="919">
        <v>550559</v>
      </c>
      <c r="AF102" s="916" t="s">
        <v>1376</v>
      </c>
      <c r="AG102" s="916" t="s">
        <v>1391</v>
      </c>
      <c r="AH102" s="916"/>
    </row>
    <row r="103" spans="1:34" ht="71.25">
      <c r="A103" s="914">
        <v>96</v>
      </c>
      <c r="B103" s="914" t="s">
        <v>228</v>
      </c>
      <c r="C103" s="914" t="s">
        <v>1232</v>
      </c>
      <c r="D103" s="914" t="s">
        <v>1367</v>
      </c>
      <c r="E103" s="914" t="s">
        <v>1385</v>
      </c>
      <c r="F103" s="915" t="s">
        <v>1251</v>
      </c>
      <c r="G103" s="921" t="s">
        <v>1244</v>
      </c>
      <c r="H103" s="921" t="s">
        <v>1210</v>
      </c>
      <c r="I103" s="917" t="s">
        <v>1369</v>
      </c>
      <c r="J103" s="917" t="s">
        <v>1393</v>
      </c>
      <c r="K103" s="916" t="s">
        <v>1371</v>
      </c>
      <c r="L103" s="914">
        <v>2016</v>
      </c>
      <c r="M103" s="918" t="s">
        <v>168</v>
      </c>
      <c r="N103" s="918" t="s">
        <v>168</v>
      </c>
      <c r="O103" s="918" t="s">
        <v>168</v>
      </c>
      <c r="P103" s="919" t="s">
        <v>168</v>
      </c>
      <c r="Q103" s="919" t="s">
        <v>168</v>
      </c>
      <c r="R103" s="919" t="s">
        <v>168</v>
      </c>
      <c r="S103" s="918" t="s">
        <v>168</v>
      </c>
      <c r="T103" s="918" t="s">
        <v>168</v>
      </c>
      <c r="U103" s="918" t="s">
        <v>168</v>
      </c>
      <c r="V103" s="918" t="s">
        <v>168</v>
      </c>
      <c r="W103" s="918" t="s">
        <v>168</v>
      </c>
      <c r="X103" s="919" t="s">
        <v>168</v>
      </c>
      <c r="Y103" s="918" t="s">
        <v>168</v>
      </c>
      <c r="Z103" s="918" t="s">
        <v>168</v>
      </c>
      <c r="AA103" s="919" t="s">
        <v>168</v>
      </c>
      <c r="AB103" s="919" t="s">
        <v>168</v>
      </c>
      <c r="AC103" s="919" t="s">
        <v>168</v>
      </c>
      <c r="AD103" s="919" t="s">
        <v>168</v>
      </c>
      <c r="AE103" s="919" t="s">
        <v>168</v>
      </c>
      <c r="AF103" s="916"/>
      <c r="AG103" s="916"/>
      <c r="AH103" s="916"/>
    </row>
    <row r="104" spans="1:34" ht="71.25">
      <c r="A104" s="914">
        <v>97</v>
      </c>
      <c r="B104" s="914" t="s">
        <v>228</v>
      </c>
      <c r="C104" s="914" t="s">
        <v>1232</v>
      </c>
      <c r="D104" s="914" t="s">
        <v>1367</v>
      </c>
      <c r="E104" s="914" t="s">
        <v>1385</v>
      </c>
      <c r="F104" s="915" t="s">
        <v>1252</v>
      </c>
      <c r="G104" s="921" t="s">
        <v>1244</v>
      </c>
      <c r="H104" s="921" t="s">
        <v>1210</v>
      </c>
      <c r="I104" s="917" t="s">
        <v>1369</v>
      </c>
      <c r="J104" s="917" t="s">
        <v>1394</v>
      </c>
      <c r="K104" s="916" t="s">
        <v>1371</v>
      </c>
      <c r="L104" s="914">
        <v>2016</v>
      </c>
      <c r="M104" s="918" t="s">
        <v>168</v>
      </c>
      <c r="N104" s="918" t="s">
        <v>168</v>
      </c>
      <c r="O104" s="918" t="s">
        <v>168</v>
      </c>
      <c r="P104" s="919" t="s">
        <v>168</v>
      </c>
      <c r="Q104" s="919" t="s">
        <v>168</v>
      </c>
      <c r="R104" s="919" t="s">
        <v>168</v>
      </c>
      <c r="S104" s="918" t="s">
        <v>168</v>
      </c>
      <c r="T104" s="918" t="s">
        <v>168</v>
      </c>
      <c r="U104" s="918" t="s">
        <v>168</v>
      </c>
      <c r="V104" s="918" t="s">
        <v>168</v>
      </c>
      <c r="W104" s="918" t="s">
        <v>168</v>
      </c>
      <c r="X104" s="919" t="s">
        <v>168</v>
      </c>
      <c r="Y104" s="918" t="s">
        <v>168</v>
      </c>
      <c r="Z104" s="918" t="s">
        <v>168</v>
      </c>
      <c r="AA104" s="919" t="s">
        <v>168</v>
      </c>
      <c r="AB104" s="919" t="s">
        <v>168</v>
      </c>
      <c r="AC104" s="919" t="s">
        <v>168</v>
      </c>
      <c r="AD104" s="919" t="s">
        <v>168</v>
      </c>
      <c r="AE104" s="919" t="s">
        <v>168</v>
      </c>
      <c r="AF104" s="916"/>
      <c r="AG104" s="916"/>
      <c r="AH104" s="916"/>
    </row>
    <row r="105" spans="1:34" ht="71.25">
      <c r="A105" s="914">
        <v>98</v>
      </c>
      <c r="B105" s="914" t="s">
        <v>228</v>
      </c>
      <c r="C105" s="914" t="s">
        <v>1232</v>
      </c>
      <c r="D105" s="914" t="s">
        <v>1367</v>
      </c>
      <c r="E105" s="914" t="s">
        <v>1385</v>
      </c>
      <c r="F105" s="915" t="s">
        <v>1253</v>
      </c>
      <c r="G105" s="921" t="s">
        <v>1244</v>
      </c>
      <c r="H105" s="921" t="s">
        <v>1210</v>
      </c>
      <c r="I105" s="917" t="s">
        <v>1369</v>
      </c>
      <c r="J105" s="917" t="s">
        <v>1395</v>
      </c>
      <c r="K105" s="916" t="s">
        <v>1371</v>
      </c>
      <c r="L105" s="914">
        <v>2016</v>
      </c>
      <c r="M105" s="918" t="s">
        <v>168</v>
      </c>
      <c r="N105" s="918" t="s">
        <v>168</v>
      </c>
      <c r="O105" s="918" t="s">
        <v>168</v>
      </c>
      <c r="P105" s="919" t="s">
        <v>168</v>
      </c>
      <c r="Q105" s="919" t="s">
        <v>168</v>
      </c>
      <c r="R105" s="919" t="s">
        <v>168</v>
      </c>
      <c r="S105" s="918" t="s">
        <v>168</v>
      </c>
      <c r="T105" s="918" t="s">
        <v>168</v>
      </c>
      <c r="U105" s="918" t="s">
        <v>168</v>
      </c>
      <c r="V105" s="918" t="s">
        <v>168</v>
      </c>
      <c r="W105" s="918" t="s">
        <v>168</v>
      </c>
      <c r="X105" s="919" t="s">
        <v>168</v>
      </c>
      <c r="Y105" s="918" t="s">
        <v>168</v>
      </c>
      <c r="Z105" s="918" t="s">
        <v>168</v>
      </c>
      <c r="AA105" s="919" t="s">
        <v>168</v>
      </c>
      <c r="AB105" s="919" t="s">
        <v>168</v>
      </c>
      <c r="AC105" s="919" t="s">
        <v>168</v>
      </c>
      <c r="AD105" s="919" t="s">
        <v>168</v>
      </c>
      <c r="AE105" s="919" t="s">
        <v>168</v>
      </c>
      <c r="AF105" s="916"/>
      <c r="AG105" s="916"/>
      <c r="AH105" s="916"/>
    </row>
    <row r="106" spans="1:34" ht="71.25">
      <c r="A106" s="914">
        <v>99</v>
      </c>
      <c r="B106" s="914" t="s">
        <v>228</v>
      </c>
      <c r="C106" s="914" t="s">
        <v>1232</v>
      </c>
      <c r="D106" s="914" t="s">
        <v>1367</v>
      </c>
      <c r="E106" s="914" t="s">
        <v>1385</v>
      </c>
      <c r="F106" s="915" t="s">
        <v>1254</v>
      </c>
      <c r="G106" s="921" t="s">
        <v>1244</v>
      </c>
      <c r="H106" s="921" t="s">
        <v>1210</v>
      </c>
      <c r="I106" s="917" t="s">
        <v>1369</v>
      </c>
      <c r="J106" s="917" t="s">
        <v>1396</v>
      </c>
      <c r="K106" s="916" t="s">
        <v>1371</v>
      </c>
      <c r="L106" s="914">
        <v>2016</v>
      </c>
      <c r="M106" s="918" t="s">
        <v>168</v>
      </c>
      <c r="N106" s="918" t="s">
        <v>168</v>
      </c>
      <c r="O106" s="918" t="s">
        <v>168</v>
      </c>
      <c r="P106" s="919" t="s">
        <v>168</v>
      </c>
      <c r="Q106" s="919" t="s">
        <v>168</v>
      </c>
      <c r="R106" s="919" t="s">
        <v>168</v>
      </c>
      <c r="S106" s="918" t="s">
        <v>168</v>
      </c>
      <c r="T106" s="918" t="s">
        <v>168</v>
      </c>
      <c r="U106" s="918" t="s">
        <v>168</v>
      </c>
      <c r="V106" s="918" t="s">
        <v>168</v>
      </c>
      <c r="W106" s="918" t="s">
        <v>168</v>
      </c>
      <c r="X106" s="919" t="s">
        <v>168</v>
      </c>
      <c r="Y106" s="918" t="s">
        <v>168</v>
      </c>
      <c r="Z106" s="918" t="s">
        <v>168</v>
      </c>
      <c r="AA106" s="919" t="s">
        <v>168</v>
      </c>
      <c r="AB106" s="919" t="s">
        <v>168</v>
      </c>
      <c r="AC106" s="919" t="s">
        <v>168</v>
      </c>
      <c r="AD106" s="919" t="s">
        <v>168</v>
      </c>
      <c r="AE106" s="919" t="s">
        <v>168</v>
      </c>
      <c r="AF106" s="916"/>
      <c r="AG106" s="916"/>
      <c r="AH106" s="916"/>
    </row>
    <row r="107" spans="1:34" ht="71.25">
      <c r="A107" s="914">
        <v>100</v>
      </c>
      <c r="B107" s="914" t="s">
        <v>228</v>
      </c>
      <c r="C107" s="914" t="s">
        <v>1232</v>
      </c>
      <c r="D107" s="914" t="s">
        <v>1367</v>
      </c>
      <c r="E107" s="914" t="s">
        <v>1385</v>
      </c>
      <c r="F107" s="915" t="s">
        <v>1255</v>
      </c>
      <c r="G107" s="921" t="s">
        <v>1244</v>
      </c>
      <c r="H107" s="921" t="s">
        <v>1210</v>
      </c>
      <c r="I107" s="917" t="s">
        <v>1369</v>
      </c>
      <c r="J107" s="917" t="s">
        <v>1397</v>
      </c>
      <c r="K107" s="916" t="s">
        <v>1371</v>
      </c>
      <c r="L107" s="914">
        <v>2016</v>
      </c>
      <c r="M107" s="918">
        <v>10899317.32</v>
      </c>
      <c r="N107" s="918" t="s">
        <v>168</v>
      </c>
      <c r="O107" s="918" t="s">
        <v>168</v>
      </c>
      <c r="P107" s="919">
        <v>3975876.25</v>
      </c>
      <c r="Q107" s="919">
        <v>5377179.1200000001</v>
      </c>
      <c r="R107" s="919">
        <v>6870866.2400000002</v>
      </c>
      <c r="S107" s="918">
        <v>11062807.079799999</v>
      </c>
      <c r="T107" s="918">
        <v>11062807.079799999</v>
      </c>
      <c r="U107" s="918">
        <v>11444283.186000001</v>
      </c>
      <c r="V107" s="918">
        <v>37602644.754000001</v>
      </c>
      <c r="W107" s="918">
        <v>27248293.300000001</v>
      </c>
      <c r="X107" s="919">
        <v>7370126.3200000003</v>
      </c>
      <c r="Y107" s="918" t="s">
        <v>168</v>
      </c>
      <c r="Z107" s="918" t="s">
        <v>168</v>
      </c>
      <c r="AA107" s="919">
        <v>37602644.754000001</v>
      </c>
      <c r="AB107" s="919">
        <v>3465193</v>
      </c>
      <c r="AC107" s="919">
        <v>3335351</v>
      </c>
      <c r="AD107" s="919">
        <v>3309223</v>
      </c>
      <c r="AE107" s="919">
        <v>3311078</v>
      </c>
      <c r="AF107" s="916" t="s">
        <v>1376</v>
      </c>
      <c r="AG107" s="916" t="s">
        <v>1391</v>
      </c>
      <c r="AH107" s="916"/>
    </row>
    <row r="108" spans="1:34" ht="71.25">
      <c r="A108" s="914">
        <v>101</v>
      </c>
      <c r="B108" s="914" t="s">
        <v>228</v>
      </c>
      <c r="C108" s="914" t="s">
        <v>1232</v>
      </c>
      <c r="D108" s="914" t="s">
        <v>1367</v>
      </c>
      <c r="E108" s="914" t="s">
        <v>1385</v>
      </c>
      <c r="F108" s="915" t="s">
        <v>1256</v>
      </c>
      <c r="G108" s="921" t="s">
        <v>1244</v>
      </c>
      <c r="H108" s="921" t="s">
        <v>1210</v>
      </c>
      <c r="I108" s="917" t="s">
        <v>1369</v>
      </c>
      <c r="J108" s="917" t="s">
        <v>1398</v>
      </c>
      <c r="K108" s="916" t="s">
        <v>1371</v>
      </c>
      <c r="L108" s="914">
        <v>2016</v>
      </c>
      <c r="M108" s="918">
        <v>8275483.1900000004</v>
      </c>
      <c r="N108" s="918" t="s">
        <v>168</v>
      </c>
      <c r="O108" s="918" t="s">
        <v>168</v>
      </c>
      <c r="P108" s="919">
        <v>2559625.14</v>
      </c>
      <c r="Q108" s="919">
        <v>3622957.76</v>
      </c>
      <c r="R108" s="919">
        <v>4471987.25</v>
      </c>
      <c r="S108" s="918">
        <v>8399615.4378500003</v>
      </c>
      <c r="T108" s="918">
        <v>8399615.4378500003</v>
      </c>
      <c r="U108" s="918">
        <v>8689257.3495000005</v>
      </c>
      <c r="V108" s="918">
        <v>28550417.005500004</v>
      </c>
      <c r="W108" s="918">
        <v>20688707.975000001</v>
      </c>
      <c r="X108" s="919">
        <v>4690308.43</v>
      </c>
      <c r="Y108" s="918" t="s">
        <v>168</v>
      </c>
      <c r="Z108" s="918" t="s">
        <v>168</v>
      </c>
      <c r="AA108" s="919">
        <v>28550417.005500004</v>
      </c>
      <c r="AB108" s="919">
        <v>2494295</v>
      </c>
      <c r="AC108" s="919">
        <v>2419157</v>
      </c>
      <c r="AD108" s="919">
        <v>2404790</v>
      </c>
      <c r="AE108" s="919">
        <v>2405677</v>
      </c>
      <c r="AF108" s="916" t="s">
        <v>1376</v>
      </c>
      <c r="AG108" s="916" t="s">
        <v>1391</v>
      </c>
      <c r="AH108" s="916"/>
    </row>
    <row r="109" spans="1:34" ht="71.25">
      <c r="A109" s="914">
        <v>102</v>
      </c>
      <c r="B109" s="914" t="s">
        <v>228</v>
      </c>
      <c r="C109" s="914" t="s">
        <v>1232</v>
      </c>
      <c r="D109" s="914" t="s">
        <v>1367</v>
      </c>
      <c r="E109" s="914" t="s">
        <v>1399</v>
      </c>
      <c r="F109" s="915" t="s">
        <v>1243</v>
      </c>
      <c r="G109" s="921" t="s">
        <v>1244</v>
      </c>
      <c r="H109" s="921" t="s">
        <v>1210</v>
      </c>
      <c r="I109" s="917" t="s">
        <v>1369</v>
      </c>
      <c r="J109" s="917" t="s">
        <v>1400</v>
      </c>
      <c r="K109" s="916" t="s">
        <v>1371</v>
      </c>
      <c r="L109" s="914">
        <v>2016</v>
      </c>
      <c r="M109" s="918" t="s">
        <v>168</v>
      </c>
      <c r="N109" s="918" t="s">
        <v>168</v>
      </c>
      <c r="O109" s="918" t="s">
        <v>168</v>
      </c>
      <c r="P109" s="919" t="s">
        <v>168</v>
      </c>
      <c r="Q109" s="919" t="s">
        <v>168</v>
      </c>
      <c r="R109" s="919" t="s">
        <v>168</v>
      </c>
      <c r="S109" s="918" t="s">
        <v>168</v>
      </c>
      <c r="T109" s="918" t="s">
        <v>168</v>
      </c>
      <c r="U109" s="918" t="s">
        <v>168</v>
      </c>
      <c r="V109" s="918" t="s">
        <v>168</v>
      </c>
      <c r="W109" s="918" t="s">
        <v>168</v>
      </c>
      <c r="X109" s="919" t="s">
        <v>168</v>
      </c>
      <c r="Y109" s="918" t="s">
        <v>168</v>
      </c>
      <c r="Z109" s="918" t="s">
        <v>168</v>
      </c>
      <c r="AA109" s="919" t="s">
        <v>168</v>
      </c>
      <c r="AB109" s="919" t="s">
        <v>168</v>
      </c>
      <c r="AC109" s="919" t="s">
        <v>168</v>
      </c>
      <c r="AD109" s="919" t="s">
        <v>168</v>
      </c>
      <c r="AE109" s="919" t="s">
        <v>168</v>
      </c>
      <c r="AF109" s="916"/>
      <c r="AG109" s="916"/>
      <c r="AH109" s="916"/>
    </row>
    <row r="110" spans="1:34" ht="71.25">
      <c r="A110" s="914">
        <v>103</v>
      </c>
      <c r="B110" s="914" t="s">
        <v>228</v>
      </c>
      <c r="C110" s="914" t="s">
        <v>1232</v>
      </c>
      <c r="D110" s="914" t="s">
        <v>1367</v>
      </c>
      <c r="E110" s="914" t="s">
        <v>1399</v>
      </c>
      <c r="F110" s="915" t="s">
        <v>1246</v>
      </c>
      <c r="G110" s="921" t="s">
        <v>1244</v>
      </c>
      <c r="H110" s="921" t="s">
        <v>1210</v>
      </c>
      <c r="I110" s="917" t="s">
        <v>1369</v>
      </c>
      <c r="J110" s="917" t="s">
        <v>1401</v>
      </c>
      <c r="K110" s="916" t="s">
        <v>1371</v>
      </c>
      <c r="L110" s="914">
        <v>2016</v>
      </c>
      <c r="M110" s="918" t="s">
        <v>168</v>
      </c>
      <c r="N110" s="918" t="s">
        <v>168</v>
      </c>
      <c r="O110" s="918" t="s">
        <v>168</v>
      </c>
      <c r="P110" s="919" t="s">
        <v>168</v>
      </c>
      <c r="Q110" s="919" t="s">
        <v>168</v>
      </c>
      <c r="R110" s="919" t="s">
        <v>168</v>
      </c>
      <c r="S110" s="918" t="s">
        <v>168</v>
      </c>
      <c r="T110" s="918" t="s">
        <v>168</v>
      </c>
      <c r="U110" s="918" t="s">
        <v>168</v>
      </c>
      <c r="V110" s="918" t="s">
        <v>168</v>
      </c>
      <c r="W110" s="918" t="s">
        <v>168</v>
      </c>
      <c r="X110" s="919" t="s">
        <v>168</v>
      </c>
      <c r="Y110" s="918" t="s">
        <v>168</v>
      </c>
      <c r="Z110" s="918" t="s">
        <v>168</v>
      </c>
      <c r="AA110" s="919" t="s">
        <v>168</v>
      </c>
      <c r="AB110" s="919" t="s">
        <v>168</v>
      </c>
      <c r="AC110" s="919" t="s">
        <v>168</v>
      </c>
      <c r="AD110" s="919" t="s">
        <v>168</v>
      </c>
      <c r="AE110" s="919" t="s">
        <v>168</v>
      </c>
      <c r="AF110" s="916"/>
      <c r="AG110" s="916"/>
      <c r="AH110" s="916"/>
    </row>
    <row r="111" spans="1:34" ht="71.25">
      <c r="A111" s="914">
        <v>104</v>
      </c>
      <c r="B111" s="914" t="s">
        <v>228</v>
      </c>
      <c r="C111" s="914" t="s">
        <v>1232</v>
      </c>
      <c r="D111" s="914" t="s">
        <v>1367</v>
      </c>
      <c r="E111" s="914" t="s">
        <v>1399</v>
      </c>
      <c r="F111" s="915" t="s">
        <v>1247</v>
      </c>
      <c r="G111" s="921" t="s">
        <v>1244</v>
      </c>
      <c r="H111" s="921" t="s">
        <v>1210</v>
      </c>
      <c r="I111" s="917" t="s">
        <v>1369</v>
      </c>
      <c r="J111" s="917" t="s">
        <v>1402</v>
      </c>
      <c r="K111" s="916" t="s">
        <v>1371</v>
      </c>
      <c r="L111" s="914">
        <v>2016</v>
      </c>
      <c r="M111" s="918" t="s">
        <v>168</v>
      </c>
      <c r="N111" s="918" t="s">
        <v>168</v>
      </c>
      <c r="O111" s="918" t="s">
        <v>168</v>
      </c>
      <c r="P111" s="919" t="s">
        <v>168</v>
      </c>
      <c r="Q111" s="919" t="s">
        <v>168</v>
      </c>
      <c r="R111" s="919" t="s">
        <v>168</v>
      </c>
      <c r="S111" s="918" t="s">
        <v>168</v>
      </c>
      <c r="T111" s="918" t="s">
        <v>168</v>
      </c>
      <c r="U111" s="918" t="s">
        <v>168</v>
      </c>
      <c r="V111" s="918" t="s">
        <v>168</v>
      </c>
      <c r="W111" s="918" t="s">
        <v>168</v>
      </c>
      <c r="X111" s="919" t="s">
        <v>168</v>
      </c>
      <c r="Y111" s="918" t="s">
        <v>168</v>
      </c>
      <c r="Z111" s="918" t="s">
        <v>168</v>
      </c>
      <c r="AA111" s="919" t="s">
        <v>168</v>
      </c>
      <c r="AB111" s="919" t="s">
        <v>168</v>
      </c>
      <c r="AC111" s="919" t="s">
        <v>168</v>
      </c>
      <c r="AD111" s="919" t="s">
        <v>168</v>
      </c>
      <c r="AE111" s="919" t="s">
        <v>168</v>
      </c>
      <c r="AF111" s="916"/>
      <c r="AG111" s="916"/>
      <c r="AH111" s="916"/>
    </row>
    <row r="112" spans="1:34" ht="71.25">
      <c r="A112" s="914">
        <v>105</v>
      </c>
      <c r="B112" s="914" t="s">
        <v>228</v>
      </c>
      <c r="C112" s="914" t="s">
        <v>1232</v>
      </c>
      <c r="D112" s="914" t="s">
        <v>1367</v>
      </c>
      <c r="E112" s="914" t="s">
        <v>1399</v>
      </c>
      <c r="F112" s="915" t="s">
        <v>1248</v>
      </c>
      <c r="G112" s="921" t="s">
        <v>1244</v>
      </c>
      <c r="H112" s="921" t="s">
        <v>1210</v>
      </c>
      <c r="I112" s="917" t="s">
        <v>1369</v>
      </c>
      <c r="J112" s="917" t="s">
        <v>1403</v>
      </c>
      <c r="K112" s="916" t="s">
        <v>1371</v>
      </c>
      <c r="L112" s="914">
        <v>2016</v>
      </c>
      <c r="M112" s="918" t="s">
        <v>168</v>
      </c>
      <c r="N112" s="918" t="s">
        <v>168</v>
      </c>
      <c r="O112" s="918" t="s">
        <v>168</v>
      </c>
      <c r="P112" s="919" t="s">
        <v>168</v>
      </c>
      <c r="Q112" s="919" t="s">
        <v>168</v>
      </c>
      <c r="R112" s="919" t="s">
        <v>168</v>
      </c>
      <c r="S112" s="918" t="s">
        <v>168</v>
      </c>
      <c r="T112" s="918" t="s">
        <v>168</v>
      </c>
      <c r="U112" s="918" t="s">
        <v>168</v>
      </c>
      <c r="V112" s="918" t="s">
        <v>168</v>
      </c>
      <c r="W112" s="918" t="s">
        <v>168</v>
      </c>
      <c r="X112" s="919" t="s">
        <v>168</v>
      </c>
      <c r="Y112" s="918" t="s">
        <v>168</v>
      </c>
      <c r="Z112" s="918" t="s">
        <v>168</v>
      </c>
      <c r="AA112" s="919" t="s">
        <v>168</v>
      </c>
      <c r="AB112" s="919" t="s">
        <v>168</v>
      </c>
      <c r="AC112" s="919" t="s">
        <v>168</v>
      </c>
      <c r="AD112" s="919" t="s">
        <v>168</v>
      </c>
      <c r="AE112" s="919" t="s">
        <v>168</v>
      </c>
      <c r="AF112" s="916"/>
      <c r="AG112" s="916"/>
      <c r="AH112" s="916"/>
    </row>
    <row r="113" spans="1:34" ht="71.25">
      <c r="A113" s="914">
        <v>106</v>
      </c>
      <c r="B113" s="914" t="s">
        <v>228</v>
      </c>
      <c r="C113" s="914" t="s">
        <v>1232</v>
      </c>
      <c r="D113" s="914" t="s">
        <v>1367</v>
      </c>
      <c r="E113" s="914" t="s">
        <v>1399</v>
      </c>
      <c r="F113" s="915" t="s">
        <v>1249</v>
      </c>
      <c r="G113" s="921" t="s">
        <v>1244</v>
      </c>
      <c r="H113" s="921" t="s">
        <v>1210</v>
      </c>
      <c r="I113" s="917" t="s">
        <v>1369</v>
      </c>
      <c r="J113" s="917" t="s">
        <v>1404</v>
      </c>
      <c r="K113" s="916" t="s">
        <v>1371</v>
      </c>
      <c r="L113" s="914">
        <v>2016</v>
      </c>
      <c r="M113" s="918">
        <v>83699.179999999993</v>
      </c>
      <c r="N113" s="918" t="s">
        <v>168</v>
      </c>
      <c r="O113" s="918" t="s">
        <v>168</v>
      </c>
      <c r="P113" s="919">
        <v>11690.54</v>
      </c>
      <c r="Q113" s="919">
        <v>62182.63</v>
      </c>
      <c r="R113" s="919">
        <v>35899.019999999997</v>
      </c>
      <c r="S113" s="918">
        <v>84954.667699999991</v>
      </c>
      <c r="T113" s="918">
        <v>84954.667699999991</v>
      </c>
      <c r="U113" s="918">
        <v>87884.138999999996</v>
      </c>
      <c r="V113" s="918">
        <v>288762.17099999997</v>
      </c>
      <c r="W113" s="918">
        <v>209247.94999999998</v>
      </c>
      <c r="X113" s="919">
        <v>12876.67</v>
      </c>
      <c r="Y113" s="918" t="s">
        <v>168</v>
      </c>
      <c r="Z113" s="918" t="s">
        <v>168</v>
      </c>
      <c r="AA113" s="919">
        <v>288762.17099999997</v>
      </c>
      <c r="AB113" s="919">
        <v>9850</v>
      </c>
      <c r="AC113" s="919">
        <v>9717</v>
      </c>
      <c r="AD113" s="919">
        <v>9683</v>
      </c>
      <c r="AE113" s="919">
        <v>9677</v>
      </c>
      <c r="AF113" s="916" t="s">
        <v>1376</v>
      </c>
      <c r="AG113" s="916" t="s">
        <v>1405</v>
      </c>
      <c r="AH113" s="916"/>
    </row>
    <row r="114" spans="1:34" ht="71.25">
      <c r="A114" s="914">
        <v>107</v>
      </c>
      <c r="B114" s="914" t="s">
        <v>228</v>
      </c>
      <c r="C114" s="914" t="s">
        <v>1232</v>
      </c>
      <c r="D114" s="914" t="s">
        <v>1367</v>
      </c>
      <c r="E114" s="914" t="s">
        <v>1399</v>
      </c>
      <c r="F114" s="915" t="s">
        <v>1250</v>
      </c>
      <c r="G114" s="921" t="s">
        <v>1244</v>
      </c>
      <c r="H114" s="921" t="s">
        <v>1210</v>
      </c>
      <c r="I114" s="917" t="s">
        <v>1369</v>
      </c>
      <c r="J114" s="917" t="s">
        <v>1406</v>
      </c>
      <c r="K114" s="916" t="s">
        <v>1371</v>
      </c>
      <c r="L114" s="914">
        <v>2016</v>
      </c>
      <c r="M114" s="918">
        <v>66296.36</v>
      </c>
      <c r="N114" s="918" t="s">
        <v>168</v>
      </c>
      <c r="O114" s="918" t="s">
        <v>168</v>
      </c>
      <c r="P114" s="919">
        <v>7289.06</v>
      </c>
      <c r="Q114" s="919">
        <v>45325.87</v>
      </c>
      <c r="R114" s="919">
        <v>26031.41</v>
      </c>
      <c r="S114" s="918">
        <v>67290.805399999997</v>
      </c>
      <c r="T114" s="918">
        <v>67290.805399999997</v>
      </c>
      <c r="U114" s="918">
        <v>69611.178</v>
      </c>
      <c r="V114" s="918">
        <v>228722.44199999998</v>
      </c>
      <c r="W114" s="918">
        <v>165740.9</v>
      </c>
      <c r="X114" s="919">
        <v>7867.23</v>
      </c>
      <c r="Y114" s="918" t="s">
        <v>168</v>
      </c>
      <c r="Z114" s="918" t="s">
        <v>168</v>
      </c>
      <c r="AA114" s="919">
        <v>228722.44199999998</v>
      </c>
      <c r="AB114" s="919">
        <v>8705</v>
      </c>
      <c r="AC114" s="919">
        <v>8626</v>
      </c>
      <c r="AD114" s="919">
        <v>8606</v>
      </c>
      <c r="AE114" s="919">
        <v>8602</v>
      </c>
      <c r="AF114" s="916" t="s">
        <v>1376</v>
      </c>
      <c r="AG114" s="916" t="s">
        <v>1405</v>
      </c>
      <c r="AH114" s="916"/>
    </row>
    <row r="115" spans="1:34" ht="71.25">
      <c r="A115" s="914">
        <v>108</v>
      </c>
      <c r="B115" s="914" t="s">
        <v>228</v>
      </c>
      <c r="C115" s="914" t="s">
        <v>1232</v>
      </c>
      <c r="D115" s="914" t="s">
        <v>1367</v>
      </c>
      <c r="E115" s="914" t="s">
        <v>1399</v>
      </c>
      <c r="F115" s="915" t="s">
        <v>1251</v>
      </c>
      <c r="G115" s="921" t="s">
        <v>1244</v>
      </c>
      <c r="H115" s="921" t="s">
        <v>1210</v>
      </c>
      <c r="I115" s="917" t="s">
        <v>1369</v>
      </c>
      <c r="J115" s="917" t="s">
        <v>1407</v>
      </c>
      <c r="K115" s="916" t="s">
        <v>1371</v>
      </c>
      <c r="L115" s="914">
        <v>2016</v>
      </c>
      <c r="M115" s="918" t="s">
        <v>168</v>
      </c>
      <c r="N115" s="918" t="s">
        <v>168</v>
      </c>
      <c r="O115" s="918" t="s">
        <v>168</v>
      </c>
      <c r="P115" s="919" t="s">
        <v>168</v>
      </c>
      <c r="Q115" s="919" t="s">
        <v>168</v>
      </c>
      <c r="R115" s="919" t="s">
        <v>168</v>
      </c>
      <c r="S115" s="918" t="s">
        <v>168</v>
      </c>
      <c r="T115" s="918" t="s">
        <v>168</v>
      </c>
      <c r="U115" s="918" t="s">
        <v>168</v>
      </c>
      <c r="V115" s="918" t="s">
        <v>168</v>
      </c>
      <c r="W115" s="918" t="s">
        <v>168</v>
      </c>
      <c r="X115" s="919" t="s">
        <v>168</v>
      </c>
      <c r="Y115" s="918" t="s">
        <v>168</v>
      </c>
      <c r="Z115" s="918" t="s">
        <v>168</v>
      </c>
      <c r="AA115" s="919" t="s">
        <v>168</v>
      </c>
      <c r="AB115" s="919" t="s">
        <v>168</v>
      </c>
      <c r="AC115" s="919" t="s">
        <v>168</v>
      </c>
      <c r="AD115" s="919" t="s">
        <v>168</v>
      </c>
      <c r="AE115" s="919" t="s">
        <v>168</v>
      </c>
      <c r="AF115" s="916"/>
      <c r="AG115" s="916"/>
      <c r="AH115" s="916"/>
    </row>
    <row r="116" spans="1:34" ht="71.25">
      <c r="A116" s="914">
        <v>109</v>
      </c>
      <c r="B116" s="914" t="s">
        <v>228</v>
      </c>
      <c r="C116" s="914" t="s">
        <v>1232</v>
      </c>
      <c r="D116" s="914" t="s">
        <v>1367</v>
      </c>
      <c r="E116" s="914" t="s">
        <v>1399</v>
      </c>
      <c r="F116" s="915" t="s">
        <v>1252</v>
      </c>
      <c r="G116" s="921" t="s">
        <v>1244</v>
      </c>
      <c r="H116" s="921" t="s">
        <v>1210</v>
      </c>
      <c r="I116" s="917" t="s">
        <v>1369</v>
      </c>
      <c r="J116" s="917" t="s">
        <v>1408</v>
      </c>
      <c r="K116" s="916" t="s">
        <v>1371</v>
      </c>
      <c r="L116" s="914">
        <v>2016</v>
      </c>
      <c r="M116" s="918" t="s">
        <v>168</v>
      </c>
      <c r="N116" s="918" t="s">
        <v>168</v>
      </c>
      <c r="O116" s="918" t="s">
        <v>168</v>
      </c>
      <c r="P116" s="919" t="s">
        <v>168</v>
      </c>
      <c r="Q116" s="919" t="s">
        <v>168</v>
      </c>
      <c r="R116" s="919" t="s">
        <v>168</v>
      </c>
      <c r="S116" s="918" t="s">
        <v>168</v>
      </c>
      <c r="T116" s="918" t="s">
        <v>168</v>
      </c>
      <c r="U116" s="918" t="s">
        <v>168</v>
      </c>
      <c r="V116" s="918" t="s">
        <v>168</v>
      </c>
      <c r="W116" s="918" t="s">
        <v>168</v>
      </c>
      <c r="X116" s="919" t="s">
        <v>168</v>
      </c>
      <c r="Y116" s="918" t="s">
        <v>168</v>
      </c>
      <c r="Z116" s="918" t="s">
        <v>168</v>
      </c>
      <c r="AA116" s="919" t="s">
        <v>168</v>
      </c>
      <c r="AB116" s="919" t="s">
        <v>168</v>
      </c>
      <c r="AC116" s="919" t="s">
        <v>168</v>
      </c>
      <c r="AD116" s="919" t="s">
        <v>168</v>
      </c>
      <c r="AE116" s="919" t="s">
        <v>168</v>
      </c>
      <c r="AF116" s="916"/>
      <c r="AG116" s="916"/>
      <c r="AH116" s="916"/>
    </row>
    <row r="117" spans="1:34" ht="71.25">
      <c r="A117" s="914">
        <v>110</v>
      </c>
      <c r="B117" s="914" t="s">
        <v>228</v>
      </c>
      <c r="C117" s="914" t="s">
        <v>1232</v>
      </c>
      <c r="D117" s="914" t="s">
        <v>1367</v>
      </c>
      <c r="E117" s="914" t="s">
        <v>1399</v>
      </c>
      <c r="F117" s="915" t="s">
        <v>1253</v>
      </c>
      <c r="G117" s="921" t="s">
        <v>1244</v>
      </c>
      <c r="H117" s="921" t="s">
        <v>1210</v>
      </c>
      <c r="I117" s="917" t="s">
        <v>1369</v>
      </c>
      <c r="J117" s="917" t="s">
        <v>1409</v>
      </c>
      <c r="K117" s="916" t="s">
        <v>1371</v>
      </c>
      <c r="L117" s="914">
        <v>2016</v>
      </c>
      <c r="M117" s="918" t="s">
        <v>168</v>
      </c>
      <c r="N117" s="918" t="s">
        <v>168</v>
      </c>
      <c r="O117" s="918" t="s">
        <v>168</v>
      </c>
      <c r="P117" s="919" t="s">
        <v>168</v>
      </c>
      <c r="Q117" s="919" t="s">
        <v>168</v>
      </c>
      <c r="R117" s="919" t="s">
        <v>168</v>
      </c>
      <c r="S117" s="918" t="s">
        <v>168</v>
      </c>
      <c r="T117" s="918" t="s">
        <v>168</v>
      </c>
      <c r="U117" s="918" t="s">
        <v>168</v>
      </c>
      <c r="V117" s="918" t="s">
        <v>168</v>
      </c>
      <c r="W117" s="918" t="s">
        <v>168</v>
      </c>
      <c r="X117" s="919" t="s">
        <v>168</v>
      </c>
      <c r="Y117" s="918" t="s">
        <v>168</v>
      </c>
      <c r="Z117" s="918" t="s">
        <v>168</v>
      </c>
      <c r="AA117" s="919" t="s">
        <v>168</v>
      </c>
      <c r="AB117" s="919" t="s">
        <v>168</v>
      </c>
      <c r="AC117" s="919" t="s">
        <v>168</v>
      </c>
      <c r="AD117" s="919" t="s">
        <v>168</v>
      </c>
      <c r="AE117" s="919" t="s">
        <v>168</v>
      </c>
      <c r="AF117" s="916"/>
      <c r="AG117" s="916"/>
      <c r="AH117" s="916"/>
    </row>
    <row r="118" spans="1:34" ht="71.25">
      <c r="A118" s="914">
        <v>111</v>
      </c>
      <c r="B118" s="914" t="s">
        <v>228</v>
      </c>
      <c r="C118" s="914" t="s">
        <v>1232</v>
      </c>
      <c r="D118" s="914" t="s">
        <v>1367</v>
      </c>
      <c r="E118" s="914" t="s">
        <v>1399</v>
      </c>
      <c r="F118" s="915" t="s">
        <v>1254</v>
      </c>
      <c r="G118" s="921" t="s">
        <v>1244</v>
      </c>
      <c r="H118" s="921" t="s">
        <v>1210</v>
      </c>
      <c r="I118" s="917" t="s">
        <v>1369</v>
      </c>
      <c r="J118" s="917" t="s">
        <v>1410</v>
      </c>
      <c r="K118" s="916" t="s">
        <v>1371</v>
      </c>
      <c r="L118" s="914">
        <v>2016</v>
      </c>
      <c r="M118" s="918" t="s">
        <v>168</v>
      </c>
      <c r="N118" s="918" t="s">
        <v>168</v>
      </c>
      <c r="O118" s="918" t="s">
        <v>168</v>
      </c>
      <c r="P118" s="919" t="s">
        <v>168</v>
      </c>
      <c r="Q118" s="919" t="s">
        <v>168</v>
      </c>
      <c r="R118" s="919" t="s">
        <v>168</v>
      </c>
      <c r="S118" s="918" t="s">
        <v>168</v>
      </c>
      <c r="T118" s="918" t="s">
        <v>168</v>
      </c>
      <c r="U118" s="918" t="s">
        <v>168</v>
      </c>
      <c r="V118" s="918" t="s">
        <v>168</v>
      </c>
      <c r="W118" s="918" t="s">
        <v>168</v>
      </c>
      <c r="X118" s="919" t="s">
        <v>168</v>
      </c>
      <c r="Y118" s="918" t="s">
        <v>168</v>
      </c>
      <c r="Z118" s="918" t="s">
        <v>168</v>
      </c>
      <c r="AA118" s="919" t="s">
        <v>168</v>
      </c>
      <c r="AB118" s="919" t="s">
        <v>168</v>
      </c>
      <c r="AC118" s="919" t="s">
        <v>168</v>
      </c>
      <c r="AD118" s="919" t="s">
        <v>168</v>
      </c>
      <c r="AE118" s="919" t="s">
        <v>168</v>
      </c>
      <c r="AF118" s="916"/>
      <c r="AG118" s="916"/>
      <c r="AH118" s="916"/>
    </row>
    <row r="119" spans="1:34" ht="71.25">
      <c r="A119" s="914">
        <v>112</v>
      </c>
      <c r="B119" s="914" t="s">
        <v>228</v>
      </c>
      <c r="C119" s="914" t="s">
        <v>1232</v>
      </c>
      <c r="D119" s="914" t="s">
        <v>1367</v>
      </c>
      <c r="E119" s="914" t="s">
        <v>1399</v>
      </c>
      <c r="F119" s="915" t="s">
        <v>1255</v>
      </c>
      <c r="G119" s="921" t="s">
        <v>1244</v>
      </c>
      <c r="H119" s="921" t="s">
        <v>1210</v>
      </c>
      <c r="I119" s="917" t="s">
        <v>1369</v>
      </c>
      <c r="J119" s="917" t="s">
        <v>1411</v>
      </c>
      <c r="K119" s="916" t="s">
        <v>1371</v>
      </c>
      <c r="L119" s="914">
        <v>2016</v>
      </c>
      <c r="M119" s="918">
        <v>977600.97</v>
      </c>
      <c r="N119" s="918" t="s">
        <v>168</v>
      </c>
      <c r="O119" s="918" t="s">
        <v>168</v>
      </c>
      <c r="P119" s="919">
        <v>76522.899999999994</v>
      </c>
      <c r="Q119" s="919">
        <v>619091.71</v>
      </c>
      <c r="R119" s="919">
        <v>300294.27</v>
      </c>
      <c r="S119" s="918">
        <v>992264.98454999982</v>
      </c>
      <c r="T119" s="918">
        <v>992264.98454999982</v>
      </c>
      <c r="U119" s="918">
        <v>1026481.0185</v>
      </c>
      <c r="V119" s="918">
        <v>3372723.3464999995</v>
      </c>
      <c r="W119" s="918">
        <v>2444002.4249999998</v>
      </c>
      <c r="X119" s="919">
        <v>74780.41</v>
      </c>
      <c r="Y119" s="918" t="s">
        <v>168</v>
      </c>
      <c r="Z119" s="918" t="s">
        <v>168</v>
      </c>
      <c r="AA119" s="919">
        <v>3372723.3464999995</v>
      </c>
      <c r="AB119" s="919">
        <v>54144</v>
      </c>
      <c r="AC119" s="919">
        <v>52115</v>
      </c>
      <c r="AD119" s="919">
        <v>51707</v>
      </c>
      <c r="AE119" s="919">
        <v>51736</v>
      </c>
      <c r="AF119" s="916" t="s">
        <v>1376</v>
      </c>
      <c r="AG119" s="916" t="s">
        <v>1405</v>
      </c>
      <c r="AH119" s="916"/>
    </row>
    <row r="120" spans="1:34" ht="71.25">
      <c r="A120" s="914">
        <v>113</v>
      </c>
      <c r="B120" s="914" t="s">
        <v>228</v>
      </c>
      <c r="C120" s="914" t="s">
        <v>1232</v>
      </c>
      <c r="D120" s="914" t="s">
        <v>1367</v>
      </c>
      <c r="E120" s="914" t="s">
        <v>1399</v>
      </c>
      <c r="F120" s="915" t="s">
        <v>1256</v>
      </c>
      <c r="G120" s="921" t="s">
        <v>1244</v>
      </c>
      <c r="H120" s="921" t="s">
        <v>1210</v>
      </c>
      <c r="I120" s="917" t="s">
        <v>1369</v>
      </c>
      <c r="J120" s="917" t="s">
        <v>1412</v>
      </c>
      <c r="K120" s="916" t="s">
        <v>1371</v>
      </c>
      <c r="L120" s="914">
        <v>2016</v>
      </c>
      <c r="M120" s="918">
        <v>819326.73</v>
      </c>
      <c r="N120" s="918" t="s">
        <v>168</v>
      </c>
      <c r="O120" s="918" t="s">
        <v>168</v>
      </c>
      <c r="P120" s="919">
        <v>47843.87</v>
      </c>
      <c r="Q120" s="919">
        <v>447057.44</v>
      </c>
      <c r="R120" s="919">
        <v>211448.35</v>
      </c>
      <c r="S120" s="918">
        <v>831616.6309499999</v>
      </c>
      <c r="T120" s="918">
        <v>831616.6309499999</v>
      </c>
      <c r="U120" s="918">
        <v>860293.06650000007</v>
      </c>
      <c r="V120" s="918">
        <v>2826677.2184999995</v>
      </c>
      <c r="W120" s="918">
        <v>2048316.825</v>
      </c>
      <c r="X120" s="919">
        <v>47080.15</v>
      </c>
      <c r="Y120" s="918" t="s">
        <v>168</v>
      </c>
      <c r="Z120" s="918" t="s">
        <v>168</v>
      </c>
      <c r="AA120" s="919">
        <v>2826677.2184999995</v>
      </c>
      <c r="AB120" s="919">
        <v>38973</v>
      </c>
      <c r="AC120" s="919">
        <v>37799</v>
      </c>
      <c r="AD120" s="919">
        <v>37575</v>
      </c>
      <c r="AE120" s="919">
        <v>37589</v>
      </c>
      <c r="AF120" s="916" t="s">
        <v>1376</v>
      </c>
      <c r="AG120" s="916" t="s">
        <v>1405</v>
      </c>
      <c r="AH120" s="916"/>
    </row>
    <row r="121" spans="1:34" ht="28.5">
      <c r="A121" s="914">
        <v>114</v>
      </c>
      <c r="B121" s="914" t="s">
        <v>228</v>
      </c>
      <c r="C121" s="914" t="s">
        <v>1232</v>
      </c>
      <c r="D121" s="914" t="s">
        <v>1413</v>
      </c>
      <c r="E121" s="914" t="s">
        <v>1234</v>
      </c>
      <c r="F121" s="915" t="s">
        <v>1235</v>
      </c>
      <c r="G121" s="921" t="s">
        <v>1236</v>
      </c>
      <c r="H121" s="921" t="s">
        <v>1210</v>
      </c>
      <c r="I121" s="917" t="s">
        <v>1414</v>
      </c>
      <c r="J121" s="917" t="s">
        <v>1299</v>
      </c>
      <c r="K121" s="916" t="s">
        <v>1371</v>
      </c>
      <c r="L121" s="914">
        <v>2016</v>
      </c>
      <c r="M121" s="918">
        <v>8424</v>
      </c>
      <c r="N121" s="918" t="s">
        <v>168</v>
      </c>
      <c r="O121" s="918" t="s">
        <v>168</v>
      </c>
      <c r="P121" s="919">
        <v>5282</v>
      </c>
      <c r="Q121" s="919">
        <v>8527.41</v>
      </c>
      <c r="R121" s="919">
        <v>10945.45</v>
      </c>
      <c r="S121" s="918">
        <v>8550.3599999999988</v>
      </c>
      <c r="T121" s="918">
        <v>8550.3599999999988</v>
      </c>
      <c r="U121" s="918">
        <v>8845.2000000000007</v>
      </c>
      <c r="V121" s="918">
        <v>9687.5999999999985</v>
      </c>
      <c r="W121" s="918">
        <v>10530</v>
      </c>
      <c r="X121" s="919">
        <v>6117.93</v>
      </c>
      <c r="Y121" s="918" t="s">
        <v>168</v>
      </c>
      <c r="Z121" s="918" t="s">
        <v>168</v>
      </c>
      <c r="AA121" s="919">
        <v>9687.5999999999985</v>
      </c>
      <c r="AB121" s="919">
        <v>2733</v>
      </c>
      <c r="AC121" s="919">
        <v>2705</v>
      </c>
      <c r="AD121" s="919">
        <v>2698</v>
      </c>
      <c r="AE121" s="919">
        <v>2696</v>
      </c>
      <c r="AF121" s="916" t="s">
        <v>1240</v>
      </c>
      <c r="AG121" s="916" t="s">
        <v>1415</v>
      </c>
      <c r="AH121" s="916"/>
    </row>
    <row r="122" spans="1:34" ht="42.75">
      <c r="A122" s="914">
        <v>115</v>
      </c>
      <c r="B122" s="914" t="s">
        <v>228</v>
      </c>
      <c r="C122" s="914" t="s">
        <v>1416</v>
      </c>
      <c r="D122" s="914" t="s">
        <v>1417</v>
      </c>
      <c r="E122" s="914" t="s">
        <v>1418</v>
      </c>
      <c r="F122" s="915" t="s">
        <v>1303</v>
      </c>
      <c r="G122" s="921" t="s">
        <v>1419</v>
      </c>
      <c r="H122" s="921" t="s">
        <v>1210</v>
      </c>
      <c r="I122" s="917" t="s">
        <v>1420</v>
      </c>
      <c r="J122" s="917" t="s">
        <v>1421</v>
      </c>
      <c r="K122" s="916" t="s">
        <v>1371</v>
      </c>
      <c r="L122" s="914">
        <v>2016</v>
      </c>
      <c r="M122" s="918" t="s">
        <v>168</v>
      </c>
      <c r="N122" s="918" t="s">
        <v>168</v>
      </c>
      <c r="O122" s="918" t="s">
        <v>168</v>
      </c>
      <c r="P122" s="919" t="s">
        <v>168</v>
      </c>
      <c r="Q122" s="919" t="s">
        <v>168</v>
      </c>
      <c r="R122" s="919" t="s">
        <v>168</v>
      </c>
      <c r="S122" s="918" t="s">
        <v>168</v>
      </c>
      <c r="T122" s="918" t="s">
        <v>168</v>
      </c>
      <c r="U122" s="918" t="s">
        <v>168</v>
      </c>
      <c r="V122" s="918" t="s">
        <v>168</v>
      </c>
      <c r="W122" s="918" t="s">
        <v>168</v>
      </c>
      <c r="X122" s="919" t="s">
        <v>168</v>
      </c>
      <c r="Y122" s="918" t="s">
        <v>168</v>
      </c>
      <c r="Z122" s="918" t="s">
        <v>168</v>
      </c>
      <c r="AA122" s="919" t="s">
        <v>168</v>
      </c>
      <c r="AB122" s="919" t="s">
        <v>168</v>
      </c>
      <c r="AC122" s="919" t="s">
        <v>168</v>
      </c>
      <c r="AD122" s="919" t="s">
        <v>168</v>
      </c>
      <c r="AE122" s="919" t="s">
        <v>168</v>
      </c>
      <c r="AF122" s="916"/>
      <c r="AG122" s="916"/>
      <c r="AH122" s="916"/>
    </row>
    <row r="123" spans="1:34" ht="42.75">
      <c r="A123" s="914">
        <v>116</v>
      </c>
      <c r="B123" s="914" t="s">
        <v>228</v>
      </c>
      <c r="C123" s="914" t="s">
        <v>1416</v>
      </c>
      <c r="D123" s="914" t="s">
        <v>1417</v>
      </c>
      <c r="E123" s="914" t="s">
        <v>1418</v>
      </c>
      <c r="F123" s="915" t="s">
        <v>1307</v>
      </c>
      <c r="G123" s="921" t="s">
        <v>1419</v>
      </c>
      <c r="H123" s="921" t="s">
        <v>1210</v>
      </c>
      <c r="I123" s="917" t="s">
        <v>1420</v>
      </c>
      <c r="J123" s="917" t="s">
        <v>1422</v>
      </c>
      <c r="K123" s="916" t="s">
        <v>1371</v>
      </c>
      <c r="L123" s="914">
        <v>2016</v>
      </c>
      <c r="M123" s="918" t="s">
        <v>168</v>
      </c>
      <c r="N123" s="918" t="s">
        <v>168</v>
      </c>
      <c r="O123" s="918" t="s">
        <v>168</v>
      </c>
      <c r="P123" s="919" t="s">
        <v>168</v>
      </c>
      <c r="Q123" s="919" t="s">
        <v>168</v>
      </c>
      <c r="R123" s="919" t="s">
        <v>168</v>
      </c>
      <c r="S123" s="918" t="s">
        <v>168</v>
      </c>
      <c r="T123" s="918" t="s">
        <v>168</v>
      </c>
      <c r="U123" s="918" t="s">
        <v>168</v>
      </c>
      <c r="V123" s="918" t="s">
        <v>168</v>
      </c>
      <c r="W123" s="918" t="s">
        <v>168</v>
      </c>
      <c r="X123" s="919" t="s">
        <v>168</v>
      </c>
      <c r="Y123" s="918" t="s">
        <v>168</v>
      </c>
      <c r="Z123" s="918" t="s">
        <v>168</v>
      </c>
      <c r="AA123" s="919" t="s">
        <v>168</v>
      </c>
      <c r="AB123" s="919" t="s">
        <v>168</v>
      </c>
      <c r="AC123" s="919" t="s">
        <v>168</v>
      </c>
      <c r="AD123" s="919" t="s">
        <v>168</v>
      </c>
      <c r="AE123" s="919" t="s">
        <v>168</v>
      </c>
      <c r="AF123" s="916"/>
      <c r="AG123" s="916"/>
      <c r="AH123" s="916"/>
    </row>
    <row r="124" spans="1:34" ht="142.5">
      <c r="A124" s="914">
        <v>117</v>
      </c>
      <c r="B124" s="914" t="s">
        <v>228</v>
      </c>
      <c r="C124" s="914" t="s">
        <v>1416</v>
      </c>
      <c r="D124" s="914" t="s">
        <v>1417</v>
      </c>
      <c r="E124" s="914" t="s">
        <v>1418</v>
      </c>
      <c r="F124" s="915" t="s">
        <v>1309</v>
      </c>
      <c r="G124" s="921" t="s">
        <v>1419</v>
      </c>
      <c r="H124" s="921" t="s">
        <v>1210</v>
      </c>
      <c r="I124" s="917" t="s">
        <v>1420</v>
      </c>
      <c r="J124" s="917" t="s">
        <v>1423</v>
      </c>
      <c r="K124" s="916" t="s">
        <v>1371</v>
      </c>
      <c r="L124" s="914">
        <v>2016</v>
      </c>
      <c r="M124" s="918">
        <v>4456.0558157765799</v>
      </c>
      <c r="N124" s="918">
        <v>9094809.9199999999</v>
      </c>
      <c r="O124" s="918">
        <v>2041</v>
      </c>
      <c r="P124" s="919">
        <v>1645.0908580441642</v>
      </c>
      <c r="Q124" s="919">
        <v>2242.4326170798895</v>
      </c>
      <c r="R124" s="919">
        <v>3275.1297902097899</v>
      </c>
      <c r="S124" s="918">
        <v>4522.8966530132284</v>
      </c>
      <c r="T124" s="918">
        <v>4522.8966530132284</v>
      </c>
      <c r="U124" s="918">
        <v>4678.858606565409</v>
      </c>
      <c r="V124" s="918">
        <v>5124.4641881430662</v>
      </c>
      <c r="W124" s="918">
        <v>5570.0697697207252</v>
      </c>
      <c r="X124" s="919">
        <v>4653.6233595284875</v>
      </c>
      <c r="Y124" s="918">
        <v>4737388.58</v>
      </c>
      <c r="Z124" s="918">
        <v>1018</v>
      </c>
      <c r="AA124" s="919">
        <v>5124.4641881430662</v>
      </c>
      <c r="AB124" s="919">
        <v>5570</v>
      </c>
      <c r="AC124" s="919">
        <v>5960</v>
      </c>
      <c r="AD124" s="919">
        <v>6258</v>
      </c>
      <c r="AE124" s="919">
        <v>6508</v>
      </c>
      <c r="AF124" s="916" t="s">
        <v>1424</v>
      </c>
      <c r="AG124" s="916" t="s">
        <v>1425</v>
      </c>
      <c r="AH124" s="916"/>
    </row>
    <row r="125" spans="1:34" ht="42.75">
      <c r="A125" s="914">
        <v>118</v>
      </c>
      <c r="B125" s="914" t="s">
        <v>228</v>
      </c>
      <c r="C125" s="914" t="s">
        <v>1416</v>
      </c>
      <c r="D125" s="914" t="s">
        <v>1417</v>
      </c>
      <c r="E125" s="914" t="s">
        <v>1426</v>
      </c>
      <c r="F125" s="915" t="s">
        <v>1303</v>
      </c>
      <c r="G125" s="921" t="s">
        <v>1427</v>
      </c>
      <c r="H125" s="921" t="s">
        <v>1210</v>
      </c>
      <c r="I125" s="917" t="s">
        <v>1428</v>
      </c>
      <c r="J125" s="917" t="s">
        <v>1429</v>
      </c>
      <c r="K125" s="916" t="s">
        <v>1371</v>
      </c>
      <c r="L125" s="914">
        <v>2016</v>
      </c>
      <c r="M125" s="918" t="s">
        <v>168</v>
      </c>
      <c r="N125" s="918" t="s">
        <v>168</v>
      </c>
      <c r="O125" s="918" t="s">
        <v>168</v>
      </c>
      <c r="P125" s="919" t="s">
        <v>168</v>
      </c>
      <c r="Q125" s="919" t="s">
        <v>168</v>
      </c>
      <c r="R125" s="919" t="s">
        <v>168</v>
      </c>
      <c r="S125" s="918" t="s">
        <v>168</v>
      </c>
      <c r="T125" s="918" t="s">
        <v>168</v>
      </c>
      <c r="U125" s="918" t="s">
        <v>168</v>
      </c>
      <c r="V125" s="918" t="s">
        <v>168</v>
      </c>
      <c r="W125" s="918" t="s">
        <v>168</v>
      </c>
      <c r="X125" s="919" t="s">
        <v>168</v>
      </c>
      <c r="Y125" s="918" t="s">
        <v>168</v>
      </c>
      <c r="Z125" s="918" t="s">
        <v>168</v>
      </c>
      <c r="AA125" s="919" t="s">
        <v>168</v>
      </c>
      <c r="AB125" s="919" t="s">
        <v>168</v>
      </c>
      <c r="AC125" s="919" t="s">
        <v>168</v>
      </c>
      <c r="AD125" s="919" t="s">
        <v>168</v>
      </c>
      <c r="AE125" s="919" t="s">
        <v>168</v>
      </c>
      <c r="AF125" s="916"/>
      <c r="AG125" s="916"/>
      <c r="AH125" s="916"/>
    </row>
    <row r="126" spans="1:34" ht="42.75">
      <c r="A126" s="914">
        <v>119</v>
      </c>
      <c r="B126" s="914" t="s">
        <v>228</v>
      </c>
      <c r="C126" s="914" t="s">
        <v>1416</v>
      </c>
      <c r="D126" s="914" t="s">
        <v>1417</v>
      </c>
      <c r="E126" s="914" t="s">
        <v>1426</v>
      </c>
      <c r="F126" s="915" t="s">
        <v>1307</v>
      </c>
      <c r="G126" s="921" t="s">
        <v>1427</v>
      </c>
      <c r="H126" s="921" t="s">
        <v>1210</v>
      </c>
      <c r="I126" s="917" t="s">
        <v>1428</v>
      </c>
      <c r="J126" s="917" t="s">
        <v>1430</v>
      </c>
      <c r="K126" s="916" t="s">
        <v>1371</v>
      </c>
      <c r="L126" s="914">
        <v>2016</v>
      </c>
      <c r="M126" s="918" t="s">
        <v>168</v>
      </c>
      <c r="N126" s="918" t="s">
        <v>168</v>
      </c>
      <c r="O126" s="918" t="s">
        <v>168</v>
      </c>
      <c r="P126" s="919" t="s">
        <v>168</v>
      </c>
      <c r="Q126" s="919" t="s">
        <v>168</v>
      </c>
      <c r="R126" s="919" t="s">
        <v>168</v>
      </c>
      <c r="S126" s="918" t="s">
        <v>168</v>
      </c>
      <c r="T126" s="918" t="s">
        <v>168</v>
      </c>
      <c r="U126" s="918" t="s">
        <v>168</v>
      </c>
      <c r="V126" s="918" t="s">
        <v>168</v>
      </c>
      <c r="W126" s="918" t="s">
        <v>168</v>
      </c>
      <c r="X126" s="919" t="s">
        <v>168</v>
      </c>
      <c r="Y126" s="918" t="s">
        <v>168</v>
      </c>
      <c r="Z126" s="918" t="s">
        <v>168</v>
      </c>
      <c r="AA126" s="919" t="s">
        <v>168</v>
      </c>
      <c r="AB126" s="919" t="s">
        <v>168</v>
      </c>
      <c r="AC126" s="919" t="s">
        <v>168</v>
      </c>
      <c r="AD126" s="919" t="s">
        <v>168</v>
      </c>
      <c r="AE126" s="919" t="s">
        <v>168</v>
      </c>
      <c r="AF126" s="916"/>
      <c r="AG126" s="916"/>
      <c r="AH126" s="916"/>
    </row>
    <row r="127" spans="1:34" ht="57">
      <c r="A127" s="914">
        <v>120</v>
      </c>
      <c r="B127" s="914" t="s">
        <v>228</v>
      </c>
      <c r="C127" s="914" t="s">
        <v>1416</v>
      </c>
      <c r="D127" s="914" t="s">
        <v>1417</v>
      </c>
      <c r="E127" s="914" t="s">
        <v>1426</v>
      </c>
      <c r="F127" s="915" t="s">
        <v>1309</v>
      </c>
      <c r="G127" s="921" t="s">
        <v>1427</v>
      </c>
      <c r="H127" s="921" t="s">
        <v>1210</v>
      </c>
      <c r="I127" s="917" t="s">
        <v>1428</v>
      </c>
      <c r="J127" s="917" t="s">
        <v>1431</v>
      </c>
      <c r="K127" s="916" t="s">
        <v>1371</v>
      </c>
      <c r="L127" s="914">
        <v>2016</v>
      </c>
      <c r="M127" s="918">
        <v>110.51605197823528</v>
      </c>
      <c r="N127" s="918">
        <v>1574917.84</v>
      </c>
      <c r="O127" s="918">
        <v>14250.58</v>
      </c>
      <c r="P127" s="919">
        <v>154.50470435660424</v>
      </c>
      <c r="Q127" s="919">
        <v>112.87007560640328</v>
      </c>
      <c r="R127" s="919">
        <v>74.047713731574859</v>
      </c>
      <c r="S127" s="918">
        <v>112.1737927579088</v>
      </c>
      <c r="T127" s="918">
        <v>112.1737927579088</v>
      </c>
      <c r="U127" s="918">
        <v>116.04185457714705</v>
      </c>
      <c r="V127" s="918">
        <v>127.09345977497057</v>
      </c>
      <c r="W127" s="918">
        <v>138.1450649727941</v>
      </c>
      <c r="X127" s="919">
        <v>178.68971790315416</v>
      </c>
      <c r="Y127" s="918">
        <v>1608922.22</v>
      </c>
      <c r="Z127" s="918">
        <v>9004</v>
      </c>
      <c r="AA127" s="919">
        <v>127.09345977497057</v>
      </c>
      <c r="AB127" s="918">
        <v>138</v>
      </c>
      <c r="AC127" s="918">
        <v>148</v>
      </c>
      <c r="AD127" s="918">
        <v>155</v>
      </c>
      <c r="AE127" s="918">
        <v>161</v>
      </c>
      <c r="AF127" s="916" t="s">
        <v>1432</v>
      </c>
      <c r="AG127" s="916" t="s">
        <v>1433</v>
      </c>
      <c r="AH127" s="916"/>
    </row>
    <row r="128" spans="1:34" ht="57">
      <c r="A128" s="914">
        <v>121</v>
      </c>
      <c r="B128" s="914" t="s">
        <v>228</v>
      </c>
      <c r="C128" s="914" t="s">
        <v>1416</v>
      </c>
      <c r="D128" s="914" t="s">
        <v>1417</v>
      </c>
      <c r="E128" s="914" t="s">
        <v>1434</v>
      </c>
      <c r="F128" s="915" t="s">
        <v>1303</v>
      </c>
      <c r="G128" s="921" t="s">
        <v>1435</v>
      </c>
      <c r="H128" s="921" t="s">
        <v>1210</v>
      </c>
      <c r="I128" s="917" t="s">
        <v>1436</v>
      </c>
      <c r="J128" s="917" t="s">
        <v>1437</v>
      </c>
      <c r="K128" s="916" t="s">
        <v>1371</v>
      </c>
      <c r="L128" s="914">
        <v>2016</v>
      </c>
      <c r="M128" s="918" t="s">
        <v>168</v>
      </c>
      <c r="N128" s="918" t="s">
        <v>168</v>
      </c>
      <c r="O128" s="918" t="s">
        <v>168</v>
      </c>
      <c r="P128" s="919" t="s">
        <v>168</v>
      </c>
      <c r="Q128" s="919" t="s">
        <v>168</v>
      </c>
      <c r="R128" s="919" t="s">
        <v>168</v>
      </c>
      <c r="S128" s="918" t="s">
        <v>168</v>
      </c>
      <c r="T128" s="918" t="s">
        <v>168</v>
      </c>
      <c r="U128" s="918" t="s">
        <v>168</v>
      </c>
      <c r="V128" s="918" t="s">
        <v>168</v>
      </c>
      <c r="W128" s="918" t="s">
        <v>168</v>
      </c>
      <c r="X128" s="919" t="s">
        <v>168</v>
      </c>
      <c r="Y128" s="918" t="s">
        <v>168</v>
      </c>
      <c r="Z128" s="918" t="s">
        <v>168</v>
      </c>
      <c r="AA128" s="919" t="s">
        <v>168</v>
      </c>
      <c r="AB128" s="919" t="s">
        <v>168</v>
      </c>
      <c r="AC128" s="919" t="s">
        <v>168</v>
      </c>
      <c r="AD128" s="919" t="s">
        <v>168</v>
      </c>
      <c r="AE128" s="919" t="s">
        <v>168</v>
      </c>
      <c r="AF128" s="916"/>
      <c r="AG128" s="916"/>
      <c r="AH128" s="916"/>
    </row>
    <row r="129" spans="1:34" ht="57">
      <c r="A129" s="914">
        <v>122</v>
      </c>
      <c r="B129" s="914" t="s">
        <v>228</v>
      </c>
      <c r="C129" s="914" t="s">
        <v>1416</v>
      </c>
      <c r="D129" s="914" t="s">
        <v>1417</v>
      </c>
      <c r="E129" s="914" t="s">
        <v>1434</v>
      </c>
      <c r="F129" s="915" t="s">
        <v>1307</v>
      </c>
      <c r="G129" s="921" t="s">
        <v>1435</v>
      </c>
      <c r="H129" s="921" t="s">
        <v>1210</v>
      </c>
      <c r="I129" s="917" t="s">
        <v>1436</v>
      </c>
      <c r="J129" s="917" t="s">
        <v>1438</v>
      </c>
      <c r="K129" s="916" t="s">
        <v>1371</v>
      </c>
      <c r="L129" s="914">
        <v>2016</v>
      </c>
      <c r="M129" s="918" t="s">
        <v>168</v>
      </c>
      <c r="N129" s="918" t="s">
        <v>168</v>
      </c>
      <c r="O129" s="918" t="s">
        <v>168</v>
      </c>
      <c r="P129" s="919" t="s">
        <v>168</v>
      </c>
      <c r="Q129" s="919" t="s">
        <v>168</v>
      </c>
      <c r="R129" s="919" t="s">
        <v>168</v>
      </c>
      <c r="S129" s="918" t="s">
        <v>168</v>
      </c>
      <c r="T129" s="918" t="s">
        <v>168</v>
      </c>
      <c r="U129" s="918" t="s">
        <v>168</v>
      </c>
      <c r="V129" s="918" t="s">
        <v>168</v>
      </c>
      <c r="W129" s="918" t="s">
        <v>168</v>
      </c>
      <c r="X129" s="919" t="s">
        <v>168</v>
      </c>
      <c r="Y129" s="918" t="s">
        <v>168</v>
      </c>
      <c r="Z129" s="918" t="s">
        <v>168</v>
      </c>
      <c r="AA129" s="919" t="s">
        <v>168</v>
      </c>
      <c r="AB129" s="919" t="s">
        <v>168</v>
      </c>
      <c r="AC129" s="919" t="s">
        <v>168</v>
      </c>
      <c r="AD129" s="919" t="s">
        <v>168</v>
      </c>
      <c r="AE129" s="919" t="s">
        <v>168</v>
      </c>
      <c r="AF129" s="916"/>
      <c r="AG129" s="916"/>
      <c r="AH129" s="916"/>
    </row>
    <row r="130" spans="1:34" ht="57">
      <c r="A130" s="914">
        <v>123</v>
      </c>
      <c r="B130" s="914" t="s">
        <v>228</v>
      </c>
      <c r="C130" s="914" t="s">
        <v>1416</v>
      </c>
      <c r="D130" s="914" t="s">
        <v>1417</v>
      </c>
      <c r="E130" s="914" t="s">
        <v>1434</v>
      </c>
      <c r="F130" s="915" t="s">
        <v>1309</v>
      </c>
      <c r="G130" s="921" t="s">
        <v>1435</v>
      </c>
      <c r="H130" s="921" t="s">
        <v>1210</v>
      </c>
      <c r="I130" s="917" t="s">
        <v>1436</v>
      </c>
      <c r="J130" s="917" t="s">
        <v>1439</v>
      </c>
      <c r="K130" s="916" t="s">
        <v>1371</v>
      </c>
      <c r="L130" s="914">
        <v>2016</v>
      </c>
      <c r="M130" s="922">
        <v>0.29398550810092644</v>
      </c>
      <c r="N130" s="918">
        <v>10669727.760000002</v>
      </c>
      <c r="O130" s="918">
        <v>36293380</v>
      </c>
      <c r="P130" s="923">
        <v>0.15318295568936544</v>
      </c>
      <c r="Q130" s="923">
        <v>0.14829739169793874</v>
      </c>
      <c r="R130" s="923">
        <v>0.14625571463039566</v>
      </c>
      <c r="S130" s="922">
        <v>0.29839529072244031</v>
      </c>
      <c r="T130" s="922">
        <v>0.29839529072244031</v>
      </c>
      <c r="U130" s="922">
        <v>0.30868478350597278</v>
      </c>
      <c r="V130" s="922">
        <v>0.33808333431606535</v>
      </c>
      <c r="W130" s="922">
        <v>0.36748188512615804</v>
      </c>
      <c r="X130" s="923">
        <v>0.32690800148765214</v>
      </c>
      <c r="Y130" s="918">
        <v>6346310.7999999998</v>
      </c>
      <c r="Z130" s="918">
        <v>19413140</v>
      </c>
      <c r="AA130" s="923">
        <v>0.33808333431606535</v>
      </c>
      <c r="AB130" s="923">
        <v>0.37</v>
      </c>
      <c r="AC130" s="923">
        <v>0.4</v>
      </c>
      <c r="AD130" s="923">
        <v>0.42</v>
      </c>
      <c r="AE130" s="923">
        <v>0.44</v>
      </c>
      <c r="AF130" s="916" t="s">
        <v>1440</v>
      </c>
      <c r="AG130" s="916" t="s">
        <v>1320</v>
      </c>
      <c r="AH130" s="916"/>
    </row>
    <row r="131" spans="1:34" ht="128.25">
      <c r="A131" s="914">
        <v>124</v>
      </c>
      <c r="B131" s="914" t="s">
        <v>228</v>
      </c>
      <c r="C131" s="914" t="s">
        <v>1416</v>
      </c>
      <c r="D131" s="914" t="s">
        <v>1441</v>
      </c>
      <c r="E131" s="914" t="s">
        <v>1442</v>
      </c>
      <c r="F131" s="915" t="s">
        <v>1338</v>
      </c>
      <c r="G131" s="921" t="s">
        <v>1339</v>
      </c>
      <c r="H131" s="921" t="s">
        <v>1210</v>
      </c>
      <c r="I131" s="917" t="s">
        <v>1443</v>
      </c>
      <c r="J131" s="917" t="s">
        <v>1444</v>
      </c>
      <c r="K131" s="916" t="s">
        <v>1371</v>
      </c>
      <c r="L131" s="914">
        <v>2016</v>
      </c>
      <c r="M131" s="926">
        <v>8.7626652928043964E-3</v>
      </c>
      <c r="N131" s="918">
        <v>2041</v>
      </c>
      <c r="O131" s="918">
        <v>232920</v>
      </c>
      <c r="P131" s="927">
        <v>6.789171592564037E-3</v>
      </c>
      <c r="Q131" s="927">
        <v>7.7564102564102568E-3</v>
      </c>
      <c r="R131" s="927">
        <v>6.3168403429646747E-3</v>
      </c>
      <c r="S131" s="926">
        <v>8.8941052721964609E-3</v>
      </c>
      <c r="T131" s="926">
        <v>8.8941052721964609E-3</v>
      </c>
      <c r="U131" s="929">
        <v>9.2007985574446161E-3</v>
      </c>
      <c r="V131" s="930">
        <v>1.0077065086725056E-2</v>
      </c>
      <c r="W131" s="930">
        <v>1.0953331616005495E-2</v>
      </c>
      <c r="X131" s="931">
        <v>4.4822515168326596E-3</v>
      </c>
      <c r="Y131" s="918">
        <v>1018</v>
      </c>
      <c r="Z131" s="918">
        <v>227118</v>
      </c>
      <c r="AA131" s="932">
        <v>1.0077065086725056E-2</v>
      </c>
      <c r="AB131" s="926">
        <v>1.0953331616005495E-2</v>
      </c>
      <c r="AC131" s="926">
        <v>1.0953331616005495E-2</v>
      </c>
      <c r="AD131" s="926">
        <v>1.0953331616005495E-2</v>
      </c>
      <c r="AE131" s="926">
        <v>1.0953331616005495E-2</v>
      </c>
      <c r="AF131" s="916" t="s">
        <v>1445</v>
      </c>
      <c r="AG131" s="916" t="s">
        <v>1446</v>
      </c>
      <c r="AH131" s="916"/>
    </row>
    <row r="132" spans="1:34" ht="128.25">
      <c r="A132" s="914">
        <v>125</v>
      </c>
      <c r="B132" s="914" t="s">
        <v>228</v>
      </c>
      <c r="C132" s="914" t="s">
        <v>1416</v>
      </c>
      <c r="D132" s="914" t="s">
        <v>1441</v>
      </c>
      <c r="E132" s="914" t="s">
        <v>1447</v>
      </c>
      <c r="F132" s="915" t="s">
        <v>1338</v>
      </c>
      <c r="G132" s="921" t="s">
        <v>1339</v>
      </c>
      <c r="H132" s="921" t="s">
        <v>1210</v>
      </c>
      <c r="I132" s="917" t="s">
        <v>1448</v>
      </c>
      <c r="J132" s="917" t="s">
        <v>1449</v>
      </c>
      <c r="K132" s="916" t="s">
        <v>1371</v>
      </c>
      <c r="L132" s="914">
        <v>2016</v>
      </c>
      <c r="M132" s="926">
        <v>8.2861699857483678E-3</v>
      </c>
      <c r="N132" s="918">
        <v>14250.58</v>
      </c>
      <c r="O132" s="918">
        <v>1719803</v>
      </c>
      <c r="P132" s="927">
        <v>6.4429323594986784E-3</v>
      </c>
      <c r="Q132" s="927">
        <v>2.5885595333682669E-2</v>
      </c>
      <c r="R132" s="927">
        <v>2.2049842794371388E-2</v>
      </c>
      <c r="S132" s="926">
        <v>8.4104625355345929E-3</v>
      </c>
      <c r="T132" s="929">
        <v>8.4104625355345929E-3</v>
      </c>
      <c r="U132" s="929">
        <v>8.7004784850357869E-3</v>
      </c>
      <c r="V132" s="929">
        <v>9.5290954836106216E-3</v>
      </c>
      <c r="W132" s="929">
        <v>1.035771248218546E-2</v>
      </c>
      <c r="X132" s="931">
        <v>5.1267597614268832E-3</v>
      </c>
      <c r="Y132" s="918">
        <v>9004</v>
      </c>
      <c r="Z132" s="918">
        <v>1756275</v>
      </c>
      <c r="AA132" s="931">
        <v>9.5290954836106216E-3</v>
      </c>
      <c r="AB132" s="929">
        <v>1.035771248218546E-2</v>
      </c>
      <c r="AC132" s="929">
        <v>1.035771248218546E-2</v>
      </c>
      <c r="AD132" s="929">
        <v>1.035771248218546E-2</v>
      </c>
      <c r="AE132" s="929">
        <v>1.035771248218546E-2</v>
      </c>
      <c r="AF132" s="916" t="s">
        <v>1450</v>
      </c>
      <c r="AG132" s="916" t="s">
        <v>1446</v>
      </c>
      <c r="AH132" s="916"/>
    </row>
    <row r="133" spans="1:34" ht="128.25">
      <c r="A133" s="914">
        <v>126</v>
      </c>
      <c r="B133" s="914" t="s">
        <v>228</v>
      </c>
      <c r="C133" s="914" t="s">
        <v>1416</v>
      </c>
      <c r="D133" s="914" t="s">
        <v>1441</v>
      </c>
      <c r="E133" s="914" t="s">
        <v>1451</v>
      </c>
      <c r="F133" s="915" t="s">
        <v>1338</v>
      </c>
      <c r="G133" s="921" t="s">
        <v>1452</v>
      </c>
      <c r="H133" s="921" t="s">
        <v>1210</v>
      </c>
      <c r="I133" s="917" t="s">
        <v>1453</v>
      </c>
      <c r="J133" s="917" t="s">
        <v>1454</v>
      </c>
      <c r="K133" s="916" t="s">
        <v>1371</v>
      </c>
      <c r="L133" s="914">
        <v>2016</v>
      </c>
      <c r="M133" s="926">
        <v>8.2861699857483678E-3</v>
      </c>
      <c r="N133" s="918">
        <v>13324292.300000001</v>
      </c>
      <c r="O133" s="918">
        <v>1608015805</v>
      </c>
      <c r="P133" s="931">
        <v>6.4429323594986775E-3</v>
      </c>
      <c r="Q133" s="931">
        <v>2.5885595333682669E-2</v>
      </c>
      <c r="R133" s="931">
        <v>2.2049842794371388E-2</v>
      </c>
      <c r="S133" s="929">
        <v>8.4104625355345929E-3</v>
      </c>
      <c r="T133" s="929">
        <v>8.4104625355345929E-3</v>
      </c>
      <c r="U133" s="929">
        <v>8.7004784850357869E-3</v>
      </c>
      <c r="V133" s="929">
        <v>9.5290954836106216E-3</v>
      </c>
      <c r="W133" s="929">
        <v>1.035771248218546E-2</v>
      </c>
      <c r="X133" s="931">
        <v>5.1267597614268832E-3</v>
      </c>
      <c r="Y133" s="918">
        <v>8418740</v>
      </c>
      <c r="Z133" s="918">
        <v>1642117125</v>
      </c>
      <c r="AA133" s="931">
        <v>9.5290954836106216E-3</v>
      </c>
      <c r="AB133" s="929">
        <v>1.035771248218546E-2</v>
      </c>
      <c r="AC133" s="929">
        <v>1.035771248218546E-2</v>
      </c>
      <c r="AD133" s="929">
        <v>1.035771248218546E-2</v>
      </c>
      <c r="AE133" s="929">
        <v>1.035771248218546E-2</v>
      </c>
      <c r="AF133" s="916" t="s">
        <v>1455</v>
      </c>
      <c r="AG133" s="916"/>
      <c r="AH133" s="916"/>
    </row>
    <row r="134" spans="1:34" ht="99.75">
      <c r="A134" s="914">
        <v>127</v>
      </c>
      <c r="B134" s="914" t="s">
        <v>228</v>
      </c>
      <c r="C134" s="914" t="s">
        <v>1416</v>
      </c>
      <c r="D134" s="914" t="s">
        <v>1441</v>
      </c>
      <c r="E134" s="914" t="s">
        <v>1456</v>
      </c>
      <c r="F134" s="915" t="s">
        <v>1338</v>
      </c>
      <c r="G134" s="921" t="s">
        <v>1345</v>
      </c>
      <c r="H134" s="921" t="s">
        <v>1210</v>
      </c>
      <c r="I134" s="917" t="s">
        <v>1457</v>
      </c>
      <c r="J134" s="917" t="s">
        <v>1347</v>
      </c>
      <c r="K134" s="916" t="s">
        <v>1371</v>
      </c>
      <c r="L134" s="914">
        <v>2016</v>
      </c>
      <c r="M134" s="926">
        <v>4.9931680207600309E-3</v>
      </c>
      <c r="N134" s="918">
        <v>3044</v>
      </c>
      <c r="O134" s="918">
        <v>609633</v>
      </c>
      <c r="P134" s="931">
        <v>4.2926236456919406E-3</v>
      </c>
      <c r="Q134" s="931">
        <v>1.9461845125968848E-2</v>
      </c>
      <c r="R134" s="931">
        <v>9.8984396790759484E-3</v>
      </c>
      <c r="S134" s="929">
        <v>5.7421432238740355E-3</v>
      </c>
      <c r="T134" s="929">
        <v>5.7421432238740355E-3</v>
      </c>
      <c r="U134" s="929">
        <v>5.9918016249120368E-3</v>
      </c>
      <c r="V134" s="929">
        <v>9.9863360415200619E-3</v>
      </c>
      <c r="W134" s="929">
        <v>1.2482920051900078E-2</v>
      </c>
      <c r="X134" s="931">
        <v>5.2634374592566485E-4</v>
      </c>
      <c r="Y134" s="918">
        <v>327</v>
      </c>
      <c r="Z134" s="918">
        <v>621267</v>
      </c>
      <c r="AA134" s="931">
        <v>9.9863360415200619E-3</v>
      </c>
      <c r="AB134" s="929">
        <v>1.2482920051900078E-2</v>
      </c>
      <c r="AC134" s="929">
        <v>1.2482920051900078E-2</v>
      </c>
      <c r="AD134" s="929">
        <v>1.2482920051900078E-2</v>
      </c>
      <c r="AE134" s="929">
        <v>1.2482920051900078E-2</v>
      </c>
      <c r="AF134" s="916" t="s">
        <v>1458</v>
      </c>
      <c r="AG134" s="916" t="s">
        <v>1459</v>
      </c>
      <c r="AH134" s="916"/>
    </row>
    <row r="135" spans="1:34" ht="99.75">
      <c r="A135" s="914">
        <v>128</v>
      </c>
      <c r="B135" s="914" t="s">
        <v>228</v>
      </c>
      <c r="C135" s="914" t="s">
        <v>1416</v>
      </c>
      <c r="D135" s="914" t="s">
        <v>1441</v>
      </c>
      <c r="E135" s="914" t="s">
        <v>1460</v>
      </c>
      <c r="F135" s="915" t="s">
        <v>1338</v>
      </c>
      <c r="G135" s="921" t="s">
        <v>1350</v>
      </c>
      <c r="H135" s="921" t="s">
        <v>1210</v>
      </c>
      <c r="I135" s="917" t="s">
        <v>1461</v>
      </c>
      <c r="J135" s="917" t="s">
        <v>1462</v>
      </c>
      <c r="K135" s="916" t="s">
        <v>1371</v>
      </c>
      <c r="L135" s="914">
        <v>2016</v>
      </c>
      <c r="M135" s="926">
        <v>4.9185380761435638E-3</v>
      </c>
      <c r="N135" s="918">
        <v>3383</v>
      </c>
      <c r="O135" s="918">
        <v>687806</v>
      </c>
      <c r="P135" s="927">
        <v>4.2617295241623426E-3</v>
      </c>
      <c r="Q135" s="927">
        <v>1.7812647169032792E-2</v>
      </c>
      <c r="R135" s="927">
        <v>9.7521521266156347E-3</v>
      </c>
      <c r="S135" s="926">
        <v>5.6563187875650978E-3</v>
      </c>
      <c r="T135" s="926">
        <v>5.6563187875650978E-3</v>
      </c>
      <c r="U135" s="926">
        <v>5.9022456913722767E-3</v>
      </c>
      <c r="V135" s="926">
        <v>9.8370761522871275E-3</v>
      </c>
      <c r="W135" s="929">
        <v>1.2296345190358909E-2</v>
      </c>
      <c r="X135" s="927">
        <v>6.5361705997362795E-4</v>
      </c>
      <c r="Y135" s="918">
        <v>460</v>
      </c>
      <c r="Z135" s="918">
        <v>703776</v>
      </c>
      <c r="AA135" s="927">
        <v>9.9863360415200619E-3</v>
      </c>
      <c r="AB135" s="929">
        <v>1.2296345190358909E-2</v>
      </c>
      <c r="AC135" s="929">
        <v>1.2296345190358909E-2</v>
      </c>
      <c r="AD135" s="929">
        <v>1.2296345190358909E-2</v>
      </c>
      <c r="AE135" s="929">
        <v>1.2296345190358909E-2</v>
      </c>
      <c r="AF135" s="916" t="s">
        <v>1353</v>
      </c>
      <c r="AG135" s="916" t="s">
        <v>1281</v>
      </c>
      <c r="AH135" s="916"/>
    </row>
    <row r="136" spans="1:34" ht="85.5">
      <c r="A136" s="914">
        <v>129</v>
      </c>
      <c r="B136" s="914" t="s">
        <v>228</v>
      </c>
      <c r="C136" s="914" t="s">
        <v>1416</v>
      </c>
      <c r="D136" s="914" t="s">
        <v>1463</v>
      </c>
      <c r="E136" s="914" t="s">
        <v>1464</v>
      </c>
      <c r="F136" s="915" t="s">
        <v>1338</v>
      </c>
      <c r="G136" s="921" t="s">
        <v>1465</v>
      </c>
      <c r="H136" s="921" t="s">
        <v>1210</v>
      </c>
      <c r="I136" s="917" t="s">
        <v>1466</v>
      </c>
      <c r="J136" s="917" t="s">
        <v>1467</v>
      </c>
      <c r="K136" s="916" t="s">
        <v>1371</v>
      </c>
      <c r="L136" s="914">
        <v>2016</v>
      </c>
      <c r="M136" s="926">
        <v>9.1877039326807486E-4</v>
      </c>
      <c r="N136" s="918">
        <v>214</v>
      </c>
      <c r="O136" s="918">
        <v>232920</v>
      </c>
      <c r="P136" s="927">
        <v>1.6276878266084126E-3</v>
      </c>
      <c r="Q136" s="927">
        <v>3.7735042735042735E-3</v>
      </c>
      <c r="R136" s="927">
        <v>4.2892671139990899E-3</v>
      </c>
      <c r="S136" s="926">
        <v>0.01</v>
      </c>
      <c r="T136" s="926">
        <v>0.1</v>
      </c>
      <c r="U136" s="926">
        <v>0.1</v>
      </c>
      <c r="V136" s="926">
        <v>0.1</v>
      </c>
      <c r="W136" s="929">
        <v>0.1</v>
      </c>
      <c r="X136" s="927">
        <v>4.7508343680377598E-3</v>
      </c>
      <c r="Y136" s="918">
        <v>1079</v>
      </c>
      <c r="Z136" s="918">
        <v>227118</v>
      </c>
      <c r="AA136" s="927">
        <v>0.1</v>
      </c>
      <c r="AB136" s="927">
        <v>0.1</v>
      </c>
      <c r="AC136" s="927">
        <v>0.1</v>
      </c>
      <c r="AD136" s="927">
        <v>0.1</v>
      </c>
      <c r="AE136" s="927">
        <v>0.1</v>
      </c>
      <c r="AF136" s="928" t="s">
        <v>1468</v>
      </c>
      <c r="AG136" s="916"/>
      <c r="AH136" s="916"/>
    </row>
    <row r="137" spans="1:34" ht="57">
      <c r="A137" s="914">
        <v>130</v>
      </c>
      <c r="B137" s="914" t="s">
        <v>228</v>
      </c>
      <c r="C137" s="914" t="s">
        <v>1416</v>
      </c>
      <c r="D137" s="914" t="s">
        <v>1463</v>
      </c>
      <c r="E137" s="914" t="s">
        <v>1469</v>
      </c>
      <c r="F137" s="915" t="s">
        <v>1338</v>
      </c>
      <c r="G137" s="921" t="s">
        <v>1470</v>
      </c>
      <c r="H137" s="921" t="s">
        <v>1210</v>
      </c>
      <c r="I137" s="917" t="s">
        <v>1471</v>
      </c>
      <c r="J137" s="917" t="s">
        <v>1472</v>
      </c>
      <c r="K137" s="916" t="s">
        <v>1371</v>
      </c>
      <c r="L137" s="914">
        <v>2016</v>
      </c>
      <c r="M137" s="926">
        <v>6.8758067155057722E-4</v>
      </c>
      <c r="N137" s="918">
        <v>76</v>
      </c>
      <c r="O137" s="918">
        <v>110532.48461538462</v>
      </c>
      <c r="P137" s="927">
        <v>1.1463258572543802E-3</v>
      </c>
      <c r="Q137" s="927">
        <v>3.0348057093970912E-3</v>
      </c>
      <c r="R137" s="927">
        <v>3.4589683414859426E-3</v>
      </c>
      <c r="S137" s="926">
        <v>0.01</v>
      </c>
      <c r="T137" s="926">
        <v>0.1</v>
      </c>
      <c r="U137" s="926">
        <v>0.1</v>
      </c>
      <c r="V137" s="926">
        <v>0.1</v>
      </c>
      <c r="W137" s="926">
        <v>0.1</v>
      </c>
      <c r="X137" s="927">
        <v>3.7904328018223236E-3</v>
      </c>
      <c r="Y137" s="918">
        <v>416</v>
      </c>
      <c r="Z137" s="918">
        <v>109750</v>
      </c>
      <c r="AA137" s="927">
        <v>0.1</v>
      </c>
      <c r="AB137" s="927">
        <v>0.1</v>
      </c>
      <c r="AC137" s="927">
        <v>0.1</v>
      </c>
      <c r="AD137" s="927">
        <v>0.1</v>
      </c>
      <c r="AE137" s="927">
        <v>0.1</v>
      </c>
      <c r="AF137" s="928" t="s">
        <v>1473</v>
      </c>
      <c r="AG137" s="916"/>
      <c r="AH137" s="916"/>
    </row>
    <row r="138" spans="1:34" ht="42.75">
      <c r="A138" s="914">
        <v>131</v>
      </c>
      <c r="B138" s="914" t="s">
        <v>228</v>
      </c>
      <c r="C138" s="914" t="s">
        <v>1416</v>
      </c>
      <c r="D138" s="914" t="s">
        <v>1474</v>
      </c>
      <c r="E138" s="914" t="s">
        <v>1283</v>
      </c>
      <c r="F138" s="915" t="s">
        <v>1284</v>
      </c>
      <c r="G138" s="921" t="s">
        <v>1285</v>
      </c>
      <c r="H138" s="921" t="s">
        <v>1210</v>
      </c>
      <c r="I138" s="917" t="s">
        <v>1475</v>
      </c>
      <c r="J138" s="917" t="s">
        <v>1284</v>
      </c>
      <c r="K138" s="916" t="s">
        <v>1371</v>
      </c>
      <c r="L138" s="914">
        <v>2016</v>
      </c>
      <c r="M138" s="918" t="s">
        <v>168</v>
      </c>
      <c r="N138" s="918" t="s">
        <v>168</v>
      </c>
      <c r="O138" s="918" t="s">
        <v>168</v>
      </c>
      <c r="P138" s="933" t="s">
        <v>168</v>
      </c>
      <c r="Q138" s="919" t="s">
        <v>168</v>
      </c>
      <c r="R138" s="919" t="s">
        <v>168</v>
      </c>
      <c r="S138" s="918" t="s">
        <v>168</v>
      </c>
      <c r="T138" s="918" t="s">
        <v>168</v>
      </c>
      <c r="U138" s="918" t="s">
        <v>168</v>
      </c>
      <c r="V138" s="918" t="s">
        <v>168</v>
      </c>
      <c r="W138" s="918" t="s">
        <v>168</v>
      </c>
      <c r="X138" s="933" t="s">
        <v>168</v>
      </c>
      <c r="Y138" s="918" t="s">
        <v>168</v>
      </c>
      <c r="Z138" s="918" t="s">
        <v>168</v>
      </c>
      <c r="AA138" s="919" t="s">
        <v>168</v>
      </c>
      <c r="AB138" s="919" t="s">
        <v>168</v>
      </c>
      <c r="AC138" s="919" t="s">
        <v>168</v>
      </c>
      <c r="AD138" s="919" t="s">
        <v>168</v>
      </c>
      <c r="AE138" s="919" t="s">
        <v>168</v>
      </c>
      <c r="AF138" s="916"/>
      <c r="AG138" s="916"/>
      <c r="AH138" s="916"/>
    </row>
    <row r="139" spans="1:34" ht="42.75">
      <c r="A139" s="914">
        <v>132</v>
      </c>
      <c r="B139" s="914" t="s">
        <v>228</v>
      </c>
      <c r="C139" s="914" t="s">
        <v>1416</v>
      </c>
      <c r="D139" s="914" t="s">
        <v>1474</v>
      </c>
      <c r="E139" s="914" t="s">
        <v>1283</v>
      </c>
      <c r="F139" s="915" t="s">
        <v>1287</v>
      </c>
      <c r="G139" s="921" t="s">
        <v>1285</v>
      </c>
      <c r="H139" s="921" t="s">
        <v>1210</v>
      </c>
      <c r="I139" s="917" t="s">
        <v>1475</v>
      </c>
      <c r="J139" s="917" t="s">
        <v>1287</v>
      </c>
      <c r="K139" s="916" t="s">
        <v>1371</v>
      </c>
      <c r="L139" s="914">
        <v>2016</v>
      </c>
      <c r="M139" s="918" t="s">
        <v>168</v>
      </c>
      <c r="N139" s="918" t="s">
        <v>168</v>
      </c>
      <c r="O139" s="918" t="s">
        <v>168</v>
      </c>
      <c r="P139" s="933" t="s">
        <v>168</v>
      </c>
      <c r="Q139" s="919" t="s">
        <v>168</v>
      </c>
      <c r="R139" s="919" t="s">
        <v>168</v>
      </c>
      <c r="S139" s="918" t="s">
        <v>168</v>
      </c>
      <c r="T139" s="918" t="s">
        <v>168</v>
      </c>
      <c r="U139" s="918" t="s">
        <v>168</v>
      </c>
      <c r="V139" s="918" t="s">
        <v>168</v>
      </c>
      <c r="W139" s="918" t="s">
        <v>168</v>
      </c>
      <c r="X139" s="933" t="s">
        <v>168</v>
      </c>
      <c r="Y139" s="918" t="s">
        <v>168</v>
      </c>
      <c r="Z139" s="918" t="s">
        <v>168</v>
      </c>
      <c r="AA139" s="919" t="s">
        <v>168</v>
      </c>
      <c r="AB139" s="919" t="s">
        <v>168</v>
      </c>
      <c r="AC139" s="919" t="s">
        <v>168</v>
      </c>
      <c r="AD139" s="919" t="s">
        <v>168</v>
      </c>
      <c r="AE139" s="919" t="s">
        <v>168</v>
      </c>
      <c r="AF139" s="916"/>
      <c r="AG139" s="916"/>
      <c r="AH139" s="916"/>
    </row>
    <row r="140" spans="1:34" ht="42.75">
      <c r="A140" s="914">
        <v>133</v>
      </c>
      <c r="B140" s="914" t="s">
        <v>228</v>
      </c>
      <c r="C140" s="914" t="s">
        <v>1416</v>
      </c>
      <c r="D140" s="914" t="s">
        <v>1474</v>
      </c>
      <c r="E140" s="914" t="s">
        <v>1283</v>
      </c>
      <c r="F140" s="915" t="s">
        <v>1288</v>
      </c>
      <c r="G140" s="921" t="s">
        <v>1285</v>
      </c>
      <c r="H140" s="921" t="s">
        <v>1210</v>
      </c>
      <c r="I140" s="917" t="s">
        <v>1475</v>
      </c>
      <c r="J140" s="917" t="s">
        <v>1288</v>
      </c>
      <c r="K140" s="916" t="s">
        <v>1371</v>
      </c>
      <c r="L140" s="914">
        <v>2016</v>
      </c>
      <c r="M140" s="922">
        <v>0.73627984872583774</v>
      </c>
      <c r="N140" s="918">
        <v>7504968.9500000002</v>
      </c>
      <c r="O140" s="918">
        <v>10193092.970000001</v>
      </c>
      <c r="P140" s="933">
        <v>0.90499611521988088</v>
      </c>
      <c r="Q140" s="923">
        <v>0.46917603241378986</v>
      </c>
      <c r="R140" s="923">
        <v>1.0323978406443859</v>
      </c>
      <c r="S140" s="922">
        <v>0.73627984872583774</v>
      </c>
      <c r="T140" s="922">
        <v>0.73627984872583774</v>
      </c>
      <c r="U140" s="922">
        <v>0.73627984872583774</v>
      </c>
      <c r="V140" s="922">
        <v>0.73627984872583774</v>
      </c>
      <c r="W140" s="922">
        <v>0.73627984872583774</v>
      </c>
      <c r="X140" s="933">
        <v>1.2588517536834156</v>
      </c>
      <c r="Y140" s="918">
        <v>7989064.4800000004</v>
      </c>
      <c r="Z140" s="918">
        <v>6346310.7999999998</v>
      </c>
      <c r="AA140" s="923">
        <v>0.73627984872583774</v>
      </c>
      <c r="AB140" s="923">
        <v>1.1299999999999999</v>
      </c>
      <c r="AC140" s="923">
        <v>1.18</v>
      </c>
      <c r="AD140" s="923">
        <v>1.2</v>
      </c>
      <c r="AE140" s="923">
        <v>1.21</v>
      </c>
      <c r="AF140" s="916" t="s">
        <v>1240</v>
      </c>
      <c r="AG140" s="916" t="s">
        <v>802</v>
      </c>
      <c r="AH140" s="916"/>
    </row>
    <row r="141" spans="1:34" ht="42.75">
      <c r="A141" s="914">
        <v>134</v>
      </c>
      <c r="B141" s="914" t="s">
        <v>228</v>
      </c>
      <c r="C141" s="914" t="s">
        <v>1416</v>
      </c>
      <c r="D141" s="914" t="s">
        <v>1474</v>
      </c>
      <c r="E141" s="914" t="s">
        <v>1283</v>
      </c>
      <c r="F141" s="915" t="s">
        <v>1290</v>
      </c>
      <c r="G141" s="921" t="s">
        <v>1285</v>
      </c>
      <c r="H141" s="921" t="s">
        <v>1210</v>
      </c>
      <c r="I141" s="917" t="s">
        <v>1475</v>
      </c>
      <c r="J141" s="917" t="s">
        <v>1290</v>
      </c>
      <c r="K141" s="916" t="s">
        <v>1371</v>
      </c>
      <c r="L141" s="914">
        <v>2016</v>
      </c>
      <c r="M141" s="918" t="s">
        <v>168</v>
      </c>
      <c r="N141" s="918" t="s">
        <v>168</v>
      </c>
      <c r="O141" s="918" t="s">
        <v>168</v>
      </c>
      <c r="P141" s="933" t="s">
        <v>168</v>
      </c>
      <c r="Q141" s="919" t="s">
        <v>168</v>
      </c>
      <c r="R141" s="919" t="s">
        <v>168</v>
      </c>
      <c r="S141" s="918" t="s">
        <v>168</v>
      </c>
      <c r="T141" s="918" t="s">
        <v>168</v>
      </c>
      <c r="U141" s="918" t="s">
        <v>168</v>
      </c>
      <c r="V141" s="918" t="s">
        <v>168</v>
      </c>
      <c r="W141" s="918" t="s">
        <v>168</v>
      </c>
      <c r="X141" s="933" t="s">
        <v>168</v>
      </c>
      <c r="Y141" s="918" t="s">
        <v>168</v>
      </c>
      <c r="Z141" s="918" t="s">
        <v>168</v>
      </c>
      <c r="AA141" s="919" t="s">
        <v>168</v>
      </c>
      <c r="AB141" s="919" t="s">
        <v>168</v>
      </c>
      <c r="AC141" s="919" t="s">
        <v>168</v>
      </c>
      <c r="AD141" s="919" t="s">
        <v>168</v>
      </c>
      <c r="AE141" s="919" t="s">
        <v>168</v>
      </c>
      <c r="AF141" s="916"/>
      <c r="AG141" s="916"/>
      <c r="AH141" s="916"/>
    </row>
    <row r="142" spans="1:34" ht="42.75">
      <c r="A142" s="914">
        <v>135</v>
      </c>
      <c r="B142" s="914" t="s">
        <v>228</v>
      </c>
      <c r="C142" s="914" t="s">
        <v>1416</v>
      </c>
      <c r="D142" s="914" t="s">
        <v>1474</v>
      </c>
      <c r="E142" s="914" t="s">
        <v>1283</v>
      </c>
      <c r="F142" s="915" t="s">
        <v>1291</v>
      </c>
      <c r="G142" s="921" t="s">
        <v>1285</v>
      </c>
      <c r="H142" s="921" t="s">
        <v>1210</v>
      </c>
      <c r="I142" s="917" t="s">
        <v>1475</v>
      </c>
      <c r="J142" s="917" t="s">
        <v>1291</v>
      </c>
      <c r="K142" s="916" t="s">
        <v>1371</v>
      </c>
      <c r="L142" s="914">
        <v>2016</v>
      </c>
      <c r="M142" s="918" t="s">
        <v>168</v>
      </c>
      <c r="N142" s="918" t="s">
        <v>168</v>
      </c>
      <c r="O142" s="918" t="s">
        <v>168</v>
      </c>
      <c r="P142" s="933" t="s">
        <v>168</v>
      </c>
      <c r="Q142" s="919" t="s">
        <v>168</v>
      </c>
      <c r="R142" s="919" t="s">
        <v>168</v>
      </c>
      <c r="S142" s="918" t="s">
        <v>168</v>
      </c>
      <c r="T142" s="918" t="s">
        <v>168</v>
      </c>
      <c r="U142" s="918" t="s">
        <v>168</v>
      </c>
      <c r="V142" s="918" t="s">
        <v>168</v>
      </c>
      <c r="W142" s="918" t="s">
        <v>168</v>
      </c>
      <c r="X142" s="933" t="s">
        <v>168</v>
      </c>
      <c r="Y142" s="918" t="s">
        <v>168</v>
      </c>
      <c r="Z142" s="918" t="s">
        <v>168</v>
      </c>
      <c r="AA142" s="919" t="s">
        <v>168</v>
      </c>
      <c r="AB142" s="919" t="s">
        <v>168</v>
      </c>
      <c r="AC142" s="919" t="s">
        <v>168</v>
      </c>
      <c r="AD142" s="919" t="s">
        <v>168</v>
      </c>
      <c r="AE142" s="919" t="s">
        <v>168</v>
      </c>
      <c r="AF142" s="916"/>
      <c r="AG142" s="916"/>
      <c r="AH142" s="916"/>
    </row>
    <row r="143" spans="1:34" ht="42.75">
      <c r="A143" s="914">
        <v>136</v>
      </c>
      <c r="B143" s="914" t="s">
        <v>228</v>
      </c>
      <c r="C143" s="914" t="s">
        <v>1416</v>
      </c>
      <c r="D143" s="914" t="s">
        <v>1474</v>
      </c>
      <c r="E143" s="914" t="s">
        <v>1283</v>
      </c>
      <c r="F143" s="915" t="s">
        <v>1292</v>
      </c>
      <c r="G143" s="921" t="s">
        <v>1285</v>
      </c>
      <c r="H143" s="921" t="s">
        <v>1210</v>
      </c>
      <c r="I143" s="917" t="s">
        <v>1475</v>
      </c>
      <c r="J143" s="917" t="s">
        <v>1292</v>
      </c>
      <c r="K143" s="916" t="s">
        <v>1371</v>
      </c>
      <c r="L143" s="914">
        <v>2016</v>
      </c>
      <c r="M143" s="922">
        <v>0.9806768573013418</v>
      </c>
      <c r="N143" s="918">
        <v>9996130.3800000008</v>
      </c>
      <c r="O143" s="918">
        <v>10193092.970000001</v>
      </c>
      <c r="P143" s="933">
        <v>0.99061183537424091</v>
      </c>
      <c r="Q143" s="923">
        <v>0.47147532754209387</v>
      </c>
      <c r="R143" s="923">
        <v>1.0957009397241173</v>
      </c>
      <c r="S143" s="922">
        <v>0.98</v>
      </c>
      <c r="T143" s="922">
        <v>0.98</v>
      </c>
      <c r="U143" s="922">
        <v>0.98</v>
      </c>
      <c r="V143" s="922">
        <v>0.98</v>
      </c>
      <c r="W143" s="922">
        <v>0.98</v>
      </c>
      <c r="X143" s="933">
        <v>1.3478549191130067</v>
      </c>
      <c r="Y143" s="918">
        <v>8553906.2300000004</v>
      </c>
      <c r="Z143" s="918">
        <v>6346310.7999999998</v>
      </c>
      <c r="AA143" s="923">
        <v>0.98</v>
      </c>
      <c r="AB143" s="923">
        <v>1.48</v>
      </c>
      <c r="AC143" s="923">
        <v>1.55</v>
      </c>
      <c r="AD143" s="923">
        <v>1.57</v>
      </c>
      <c r="AE143" s="923">
        <v>1.6</v>
      </c>
      <c r="AF143" s="916" t="s">
        <v>1240</v>
      </c>
      <c r="AG143" s="916" t="s">
        <v>802</v>
      </c>
      <c r="AH143" s="916"/>
    </row>
    <row r="144" spans="1:34" ht="42.75">
      <c r="A144" s="914">
        <v>137</v>
      </c>
      <c r="B144" s="914" t="s">
        <v>228</v>
      </c>
      <c r="C144" s="914" t="s">
        <v>1416</v>
      </c>
      <c r="D144" s="914" t="s">
        <v>1476</v>
      </c>
      <c r="E144" s="914" t="s">
        <v>1477</v>
      </c>
      <c r="F144" s="915" t="s">
        <v>1478</v>
      </c>
      <c r="G144" s="921" t="s">
        <v>1479</v>
      </c>
      <c r="H144" s="921" t="s">
        <v>1360</v>
      </c>
      <c r="I144" s="917" t="s">
        <v>1480</v>
      </c>
      <c r="J144" s="917" t="s">
        <v>1481</v>
      </c>
      <c r="K144" s="916" t="s">
        <v>1371</v>
      </c>
      <c r="L144" s="914" t="s">
        <v>1363</v>
      </c>
      <c r="M144" s="918">
        <v>21.154904941994648</v>
      </c>
      <c r="N144" s="918" t="s">
        <v>1363</v>
      </c>
      <c r="O144" s="918" t="s">
        <v>1363</v>
      </c>
      <c r="P144" s="919">
        <v>21.168627703070992</v>
      </c>
      <c r="Q144" s="919">
        <v>20.791444058970846</v>
      </c>
      <c r="R144" s="919">
        <v>22.642046230192506</v>
      </c>
      <c r="S144" s="918" t="s">
        <v>1363</v>
      </c>
      <c r="T144" s="918" t="s">
        <v>1363</v>
      </c>
      <c r="U144" s="918">
        <v>22.470610980322125</v>
      </c>
      <c r="V144" s="918" t="s">
        <v>1363</v>
      </c>
      <c r="W144" s="918" t="s">
        <v>1363</v>
      </c>
      <c r="X144" s="934">
        <v>22.470610980322125</v>
      </c>
      <c r="Y144" s="918">
        <v>368993751</v>
      </c>
      <c r="Z144" s="918">
        <v>1642117125</v>
      </c>
      <c r="AA144" s="919" t="s">
        <v>1363</v>
      </c>
      <c r="AB144" s="919">
        <v>22</v>
      </c>
      <c r="AC144" s="919">
        <v>22</v>
      </c>
      <c r="AD144" s="919">
        <v>22</v>
      </c>
      <c r="AE144" s="919">
        <v>22</v>
      </c>
      <c r="AF144" s="916" t="s">
        <v>1482</v>
      </c>
      <c r="AG144" s="916"/>
      <c r="AH144" s="916"/>
    </row>
    <row r="145" spans="1:34" ht="71.25">
      <c r="A145" s="914">
        <v>138</v>
      </c>
      <c r="B145" s="914" t="s">
        <v>228</v>
      </c>
      <c r="C145" s="914" t="s">
        <v>1416</v>
      </c>
      <c r="D145" s="914" t="s">
        <v>1476</v>
      </c>
      <c r="E145" s="914" t="s">
        <v>1483</v>
      </c>
      <c r="F145" s="915" t="s">
        <v>1484</v>
      </c>
      <c r="G145" s="921" t="s">
        <v>1485</v>
      </c>
      <c r="H145" s="921" t="s">
        <v>1360</v>
      </c>
      <c r="I145" s="917" t="s">
        <v>1486</v>
      </c>
      <c r="J145" s="917" t="s">
        <v>1487</v>
      </c>
      <c r="K145" s="916" t="s">
        <v>1371</v>
      </c>
      <c r="L145" s="914" t="s">
        <v>1363</v>
      </c>
      <c r="M145" s="918">
        <v>8.757374968992691</v>
      </c>
      <c r="N145" s="918" t="s">
        <v>1363</v>
      </c>
      <c r="O145" s="918" t="s">
        <v>1363</v>
      </c>
      <c r="P145" s="919">
        <v>8.7226928000989936</v>
      </c>
      <c r="Q145" s="919">
        <v>10.140364078822412</v>
      </c>
      <c r="R145" s="919">
        <v>10.891388793588202</v>
      </c>
      <c r="S145" s="918" t="s">
        <v>1363</v>
      </c>
      <c r="T145" s="918" t="s">
        <v>1363</v>
      </c>
      <c r="U145" s="918" t="s">
        <v>1363</v>
      </c>
      <c r="V145" s="918" t="s">
        <v>1363</v>
      </c>
      <c r="W145" s="918" t="s">
        <v>1363</v>
      </c>
      <c r="X145" s="934">
        <v>10.441166290455</v>
      </c>
      <c r="Y145" s="918" t="s">
        <v>1363</v>
      </c>
      <c r="Z145" s="918" t="s">
        <v>1363</v>
      </c>
      <c r="AA145" s="919" t="s">
        <v>1363</v>
      </c>
      <c r="AB145" s="919">
        <v>10</v>
      </c>
      <c r="AC145" s="919">
        <v>10</v>
      </c>
      <c r="AD145" s="919">
        <v>10</v>
      </c>
      <c r="AE145" s="919">
        <v>10</v>
      </c>
      <c r="AF145" s="916" t="s">
        <v>1488</v>
      </c>
      <c r="AG145" s="916"/>
      <c r="AH145" s="916"/>
    </row>
    <row r="146" spans="1:34" ht="42.75">
      <c r="A146" s="914">
        <v>139</v>
      </c>
      <c r="B146" s="914" t="s">
        <v>228</v>
      </c>
      <c r="C146" s="914" t="s">
        <v>1489</v>
      </c>
      <c r="D146" s="914" t="s">
        <v>1490</v>
      </c>
      <c r="E146" s="914" t="s">
        <v>1242</v>
      </c>
      <c r="F146" s="915" t="s">
        <v>1243</v>
      </c>
      <c r="G146" s="921" t="s">
        <v>1244</v>
      </c>
      <c r="H146" s="921" t="s">
        <v>1210</v>
      </c>
      <c r="I146" s="917" t="s">
        <v>1491</v>
      </c>
      <c r="J146" s="917" t="s">
        <v>1243</v>
      </c>
      <c r="K146" s="916" t="s">
        <v>1492</v>
      </c>
      <c r="L146" s="914">
        <v>2016</v>
      </c>
      <c r="M146" s="918" t="s">
        <v>168</v>
      </c>
      <c r="N146" s="918" t="s">
        <v>168</v>
      </c>
      <c r="O146" s="918" t="s">
        <v>168</v>
      </c>
      <c r="P146" s="919" t="s">
        <v>168</v>
      </c>
      <c r="Q146" s="919" t="s">
        <v>168</v>
      </c>
      <c r="R146" s="919" t="s">
        <v>168</v>
      </c>
      <c r="S146" s="918" t="s">
        <v>168</v>
      </c>
      <c r="T146" s="918" t="s">
        <v>168</v>
      </c>
      <c r="U146" s="918" t="s">
        <v>168</v>
      </c>
      <c r="V146" s="918" t="s">
        <v>168</v>
      </c>
      <c r="W146" s="918" t="s">
        <v>168</v>
      </c>
      <c r="X146" s="934" t="s">
        <v>168</v>
      </c>
      <c r="Y146" s="918" t="s">
        <v>168</v>
      </c>
      <c r="Z146" s="918" t="s">
        <v>168</v>
      </c>
      <c r="AA146" s="919" t="s">
        <v>168</v>
      </c>
      <c r="AB146" s="919" t="s">
        <v>168</v>
      </c>
      <c r="AC146" s="919" t="s">
        <v>168</v>
      </c>
      <c r="AD146" s="919" t="s">
        <v>168</v>
      </c>
      <c r="AE146" s="919" t="s">
        <v>168</v>
      </c>
      <c r="AF146" s="916"/>
      <c r="AG146" s="916"/>
      <c r="AH146" s="916"/>
    </row>
    <row r="147" spans="1:34" ht="42.75">
      <c r="A147" s="914">
        <v>140</v>
      </c>
      <c r="B147" s="914" t="s">
        <v>228</v>
      </c>
      <c r="C147" s="914" t="s">
        <v>1489</v>
      </c>
      <c r="D147" s="914" t="s">
        <v>1490</v>
      </c>
      <c r="E147" s="914" t="s">
        <v>1242</v>
      </c>
      <c r="F147" s="915" t="s">
        <v>1246</v>
      </c>
      <c r="G147" s="921" t="s">
        <v>1244</v>
      </c>
      <c r="H147" s="921" t="s">
        <v>1210</v>
      </c>
      <c r="I147" s="917" t="s">
        <v>1491</v>
      </c>
      <c r="J147" s="917" t="s">
        <v>1246</v>
      </c>
      <c r="K147" s="916" t="s">
        <v>1492</v>
      </c>
      <c r="L147" s="914">
        <v>2016</v>
      </c>
      <c r="M147" s="918" t="s">
        <v>168</v>
      </c>
      <c r="N147" s="918" t="s">
        <v>168</v>
      </c>
      <c r="O147" s="918" t="s">
        <v>168</v>
      </c>
      <c r="P147" s="919" t="s">
        <v>168</v>
      </c>
      <c r="Q147" s="919" t="s">
        <v>168</v>
      </c>
      <c r="R147" s="919" t="s">
        <v>168</v>
      </c>
      <c r="S147" s="918" t="s">
        <v>168</v>
      </c>
      <c r="T147" s="918" t="s">
        <v>168</v>
      </c>
      <c r="U147" s="918" t="s">
        <v>168</v>
      </c>
      <c r="V147" s="918" t="s">
        <v>168</v>
      </c>
      <c r="W147" s="918" t="s">
        <v>168</v>
      </c>
      <c r="X147" s="934" t="s">
        <v>168</v>
      </c>
      <c r="Y147" s="918" t="s">
        <v>168</v>
      </c>
      <c r="Z147" s="918" t="s">
        <v>168</v>
      </c>
      <c r="AA147" s="919" t="s">
        <v>168</v>
      </c>
      <c r="AB147" s="919" t="s">
        <v>168</v>
      </c>
      <c r="AC147" s="919" t="s">
        <v>168</v>
      </c>
      <c r="AD147" s="919" t="s">
        <v>168</v>
      </c>
      <c r="AE147" s="919" t="s">
        <v>168</v>
      </c>
      <c r="AF147" s="916"/>
      <c r="AG147" s="916"/>
      <c r="AH147" s="916"/>
    </row>
    <row r="148" spans="1:34" ht="42.75">
      <c r="A148" s="914">
        <v>141</v>
      </c>
      <c r="B148" s="914" t="s">
        <v>228</v>
      </c>
      <c r="C148" s="914" t="s">
        <v>1489</v>
      </c>
      <c r="D148" s="914" t="s">
        <v>1490</v>
      </c>
      <c r="E148" s="914" t="s">
        <v>1242</v>
      </c>
      <c r="F148" s="915" t="s">
        <v>1247</v>
      </c>
      <c r="G148" s="921" t="s">
        <v>1244</v>
      </c>
      <c r="H148" s="921" t="s">
        <v>1210</v>
      </c>
      <c r="I148" s="917" t="s">
        <v>1491</v>
      </c>
      <c r="J148" s="917" t="s">
        <v>1247</v>
      </c>
      <c r="K148" s="916" t="s">
        <v>1492</v>
      </c>
      <c r="L148" s="914">
        <v>2016</v>
      </c>
      <c r="M148" s="918" t="s">
        <v>168</v>
      </c>
      <c r="N148" s="918" t="s">
        <v>168</v>
      </c>
      <c r="O148" s="918" t="s">
        <v>168</v>
      </c>
      <c r="P148" s="919" t="s">
        <v>168</v>
      </c>
      <c r="Q148" s="919" t="s">
        <v>168</v>
      </c>
      <c r="R148" s="919" t="s">
        <v>168</v>
      </c>
      <c r="S148" s="918" t="s">
        <v>168</v>
      </c>
      <c r="T148" s="918" t="s">
        <v>168</v>
      </c>
      <c r="U148" s="918" t="s">
        <v>168</v>
      </c>
      <c r="V148" s="918" t="s">
        <v>168</v>
      </c>
      <c r="W148" s="918" t="s">
        <v>168</v>
      </c>
      <c r="X148" s="934" t="s">
        <v>168</v>
      </c>
      <c r="Y148" s="918" t="s">
        <v>168</v>
      </c>
      <c r="Z148" s="918" t="s">
        <v>168</v>
      </c>
      <c r="AA148" s="919" t="s">
        <v>168</v>
      </c>
      <c r="AB148" s="919" t="s">
        <v>168</v>
      </c>
      <c r="AC148" s="919" t="s">
        <v>168</v>
      </c>
      <c r="AD148" s="919" t="s">
        <v>168</v>
      </c>
      <c r="AE148" s="919" t="s">
        <v>168</v>
      </c>
      <c r="AF148" s="916"/>
      <c r="AG148" s="916"/>
      <c r="AH148" s="916"/>
    </row>
    <row r="149" spans="1:34" ht="42.75">
      <c r="A149" s="914">
        <v>142</v>
      </c>
      <c r="B149" s="914" t="s">
        <v>228</v>
      </c>
      <c r="C149" s="914" t="s">
        <v>1489</v>
      </c>
      <c r="D149" s="914" t="s">
        <v>1490</v>
      </c>
      <c r="E149" s="914" t="s">
        <v>1242</v>
      </c>
      <c r="F149" s="915" t="s">
        <v>1248</v>
      </c>
      <c r="G149" s="921" t="s">
        <v>1244</v>
      </c>
      <c r="H149" s="921" t="s">
        <v>1210</v>
      </c>
      <c r="I149" s="917" t="s">
        <v>1491</v>
      </c>
      <c r="J149" s="917" t="s">
        <v>1248</v>
      </c>
      <c r="K149" s="916" t="s">
        <v>1492</v>
      </c>
      <c r="L149" s="914">
        <v>2016</v>
      </c>
      <c r="M149" s="918" t="s">
        <v>168</v>
      </c>
      <c r="N149" s="918" t="s">
        <v>168</v>
      </c>
      <c r="O149" s="918" t="s">
        <v>168</v>
      </c>
      <c r="P149" s="919" t="s">
        <v>168</v>
      </c>
      <c r="Q149" s="919" t="s">
        <v>168</v>
      </c>
      <c r="R149" s="919" t="s">
        <v>168</v>
      </c>
      <c r="S149" s="918" t="s">
        <v>168</v>
      </c>
      <c r="T149" s="918" t="s">
        <v>168</v>
      </c>
      <c r="U149" s="918" t="s">
        <v>168</v>
      </c>
      <c r="V149" s="918" t="s">
        <v>168</v>
      </c>
      <c r="W149" s="918" t="s">
        <v>168</v>
      </c>
      <c r="X149" s="934" t="s">
        <v>168</v>
      </c>
      <c r="Y149" s="918" t="s">
        <v>168</v>
      </c>
      <c r="Z149" s="918" t="s">
        <v>168</v>
      </c>
      <c r="AA149" s="919" t="s">
        <v>168</v>
      </c>
      <c r="AB149" s="919" t="s">
        <v>168</v>
      </c>
      <c r="AC149" s="919" t="s">
        <v>168</v>
      </c>
      <c r="AD149" s="919" t="s">
        <v>168</v>
      </c>
      <c r="AE149" s="919" t="s">
        <v>168</v>
      </c>
      <c r="AF149" s="916"/>
      <c r="AG149" s="916"/>
      <c r="AH149" s="916"/>
    </row>
    <row r="150" spans="1:34" ht="42.75">
      <c r="A150" s="914">
        <v>143</v>
      </c>
      <c r="B150" s="914" t="s">
        <v>228</v>
      </c>
      <c r="C150" s="914" t="s">
        <v>1489</v>
      </c>
      <c r="D150" s="914" t="s">
        <v>1490</v>
      </c>
      <c r="E150" s="914" t="s">
        <v>1242</v>
      </c>
      <c r="F150" s="915" t="s">
        <v>1249</v>
      </c>
      <c r="G150" s="921" t="s">
        <v>1244</v>
      </c>
      <c r="H150" s="921" t="s">
        <v>1210</v>
      </c>
      <c r="I150" s="917" t="s">
        <v>1491</v>
      </c>
      <c r="J150" s="917" t="s">
        <v>1249</v>
      </c>
      <c r="K150" s="916" t="s">
        <v>1492</v>
      </c>
      <c r="L150" s="914">
        <v>2016</v>
      </c>
      <c r="M150" s="918">
        <v>3552480.9723</v>
      </c>
      <c r="N150" s="918" t="s">
        <v>168</v>
      </c>
      <c r="O150" s="918" t="s">
        <v>168</v>
      </c>
      <c r="P150" s="919">
        <v>3342185.0476000002</v>
      </c>
      <c r="Q150" s="919">
        <v>5503701.9299999997</v>
      </c>
      <c r="R150" s="919">
        <v>5362477.8</v>
      </c>
      <c r="S150" s="918">
        <v>3552480.9723</v>
      </c>
      <c r="T150" s="918">
        <v>3641292.9966074997</v>
      </c>
      <c r="U150" s="918">
        <v>3730105.0209150002</v>
      </c>
      <c r="V150" s="918">
        <v>11723187.208590001</v>
      </c>
      <c r="W150" s="918">
        <v>8170706.2362899994</v>
      </c>
      <c r="X150" s="934">
        <v>6144889.6500000004</v>
      </c>
      <c r="Y150" s="918" t="s">
        <v>168</v>
      </c>
      <c r="Z150" s="918" t="s">
        <v>168</v>
      </c>
      <c r="AA150" s="919">
        <v>11723187.208590001</v>
      </c>
      <c r="AB150" s="919">
        <v>7905103</v>
      </c>
      <c r="AC150" s="919">
        <v>7973586</v>
      </c>
      <c r="AD150" s="919">
        <v>8007039</v>
      </c>
      <c r="AE150" s="919">
        <v>8047626</v>
      </c>
      <c r="AF150" s="916" t="s">
        <v>1493</v>
      </c>
      <c r="AG150" s="916" t="s">
        <v>1494</v>
      </c>
      <c r="AH150" s="916"/>
    </row>
    <row r="151" spans="1:34" ht="42.75">
      <c r="A151" s="914">
        <v>144</v>
      </c>
      <c r="B151" s="914" t="s">
        <v>228</v>
      </c>
      <c r="C151" s="914" t="s">
        <v>1489</v>
      </c>
      <c r="D151" s="914" t="s">
        <v>1490</v>
      </c>
      <c r="E151" s="914" t="s">
        <v>1242</v>
      </c>
      <c r="F151" s="915" t="s">
        <v>1250</v>
      </c>
      <c r="G151" s="921" t="s">
        <v>1244</v>
      </c>
      <c r="H151" s="921" t="s">
        <v>1210</v>
      </c>
      <c r="I151" s="917" t="s">
        <v>1491</v>
      </c>
      <c r="J151" s="917" t="s">
        <v>1250</v>
      </c>
      <c r="K151" s="916" t="s">
        <v>1492</v>
      </c>
      <c r="L151" s="914">
        <v>2016</v>
      </c>
      <c r="M151" s="918">
        <v>2221709.3143000002</v>
      </c>
      <c r="N151" s="918" t="s">
        <v>168</v>
      </c>
      <c r="O151" s="918" t="s">
        <v>168</v>
      </c>
      <c r="P151" s="919">
        <v>2132365.5192999998</v>
      </c>
      <c r="Q151" s="919">
        <v>3775063.73</v>
      </c>
      <c r="R151" s="919">
        <v>3642073.02</v>
      </c>
      <c r="S151" s="918">
        <v>2221709.3143000002</v>
      </c>
      <c r="T151" s="918">
        <v>2277252.0471574999</v>
      </c>
      <c r="U151" s="918">
        <v>2332794.7800150001</v>
      </c>
      <c r="V151" s="918">
        <v>7331640.7371900016</v>
      </c>
      <c r="W151" s="918">
        <v>5109931.42289</v>
      </c>
      <c r="X151" s="934">
        <v>4251112.6100000003</v>
      </c>
      <c r="Y151" s="918" t="s">
        <v>168</v>
      </c>
      <c r="Z151" s="918" t="s">
        <v>168</v>
      </c>
      <c r="AA151" s="919">
        <v>7331640.7371900016</v>
      </c>
      <c r="AB151" s="919">
        <v>5726763</v>
      </c>
      <c r="AC151" s="919">
        <v>5767813</v>
      </c>
      <c r="AD151" s="919">
        <v>5788494</v>
      </c>
      <c r="AE151" s="919">
        <v>5813226</v>
      </c>
      <c r="AF151" s="916" t="s">
        <v>1493</v>
      </c>
      <c r="AG151" s="916" t="s">
        <v>802</v>
      </c>
      <c r="AH151" s="916"/>
    </row>
    <row r="152" spans="1:34" ht="42.75">
      <c r="A152" s="914">
        <v>145</v>
      </c>
      <c r="B152" s="914" t="s">
        <v>228</v>
      </c>
      <c r="C152" s="914" t="s">
        <v>1489</v>
      </c>
      <c r="D152" s="914" t="s">
        <v>1490</v>
      </c>
      <c r="E152" s="914" t="s">
        <v>1242</v>
      </c>
      <c r="F152" s="915" t="s">
        <v>1251</v>
      </c>
      <c r="G152" s="921" t="s">
        <v>1244</v>
      </c>
      <c r="H152" s="921" t="s">
        <v>1210</v>
      </c>
      <c r="I152" s="917" t="s">
        <v>1491</v>
      </c>
      <c r="J152" s="917" t="s">
        <v>1251</v>
      </c>
      <c r="K152" s="916" t="s">
        <v>1492</v>
      </c>
      <c r="L152" s="914">
        <v>2016</v>
      </c>
      <c r="M152" s="918" t="s">
        <v>168</v>
      </c>
      <c r="N152" s="918" t="s">
        <v>168</v>
      </c>
      <c r="O152" s="918" t="s">
        <v>168</v>
      </c>
      <c r="P152" s="919" t="s">
        <v>168</v>
      </c>
      <c r="Q152" s="919" t="s">
        <v>168</v>
      </c>
      <c r="R152" s="919" t="s">
        <v>168</v>
      </c>
      <c r="S152" s="918" t="s">
        <v>168</v>
      </c>
      <c r="T152" s="918" t="s">
        <v>168</v>
      </c>
      <c r="U152" s="918" t="s">
        <v>168</v>
      </c>
      <c r="V152" s="918" t="s">
        <v>168</v>
      </c>
      <c r="W152" s="918" t="s">
        <v>168</v>
      </c>
      <c r="X152" s="934" t="s">
        <v>168</v>
      </c>
      <c r="Y152" s="918" t="s">
        <v>168</v>
      </c>
      <c r="Z152" s="918" t="s">
        <v>168</v>
      </c>
      <c r="AA152" s="919" t="s">
        <v>168</v>
      </c>
      <c r="AB152" s="919" t="s">
        <v>168</v>
      </c>
      <c r="AC152" s="919" t="s">
        <v>168</v>
      </c>
      <c r="AD152" s="919" t="s">
        <v>168</v>
      </c>
      <c r="AE152" s="919" t="s">
        <v>168</v>
      </c>
      <c r="AF152" s="916"/>
      <c r="AG152" s="916"/>
      <c r="AH152" s="916"/>
    </row>
    <row r="153" spans="1:34" ht="42.75">
      <c r="A153" s="914">
        <v>146</v>
      </c>
      <c r="B153" s="914" t="s">
        <v>228</v>
      </c>
      <c r="C153" s="914" t="s">
        <v>1489</v>
      </c>
      <c r="D153" s="914" t="s">
        <v>1490</v>
      </c>
      <c r="E153" s="914" t="s">
        <v>1242</v>
      </c>
      <c r="F153" s="915" t="s">
        <v>1252</v>
      </c>
      <c r="G153" s="921" t="s">
        <v>1244</v>
      </c>
      <c r="H153" s="921" t="s">
        <v>1210</v>
      </c>
      <c r="I153" s="917" t="s">
        <v>1491</v>
      </c>
      <c r="J153" s="917" t="s">
        <v>1252</v>
      </c>
      <c r="K153" s="916" t="s">
        <v>1492</v>
      </c>
      <c r="L153" s="914">
        <v>2016</v>
      </c>
      <c r="M153" s="918" t="s">
        <v>168</v>
      </c>
      <c r="N153" s="918" t="s">
        <v>168</v>
      </c>
      <c r="O153" s="918" t="s">
        <v>168</v>
      </c>
      <c r="P153" s="919" t="s">
        <v>168</v>
      </c>
      <c r="Q153" s="919" t="s">
        <v>168</v>
      </c>
      <c r="R153" s="919" t="s">
        <v>168</v>
      </c>
      <c r="S153" s="918" t="s">
        <v>168</v>
      </c>
      <c r="T153" s="918" t="s">
        <v>168</v>
      </c>
      <c r="U153" s="918" t="s">
        <v>168</v>
      </c>
      <c r="V153" s="918" t="s">
        <v>168</v>
      </c>
      <c r="W153" s="918" t="s">
        <v>168</v>
      </c>
      <c r="X153" s="934" t="s">
        <v>168</v>
      </c>
      <c r="Y153" s="918" t="s">
        <v>168</v>
      </c>
      <c r="Z153" s="918" t="s">
        <v>168</v>
      </c>
      <c r="AA153" s="919" t="s">
        <v>168</v>
      </c>
      <c r="AB153" s="919" t="s">
        <v>168</v>
      </c>
      <c r="AC153" s="919" t="s">
        <v>168</v>
      </c>
      <c r="AD153" s="919" t="s">
        <v>168</v>
      </c>
      <c r="AE153" s="919" t="s">
        <v>168</v>
      </c>
      <c r="AF153" s="916"/>
      <c r="AG153" s="916"/>
      <c r="AH153" s="916"/>
    </row>
    <row r="154" spans="1:34" ht="42.75">
      <c r="A154" s="914">
        <v>147</v>
      </c>
      <c r="B154" s="914" t="s">
        <v>228</v>
      </c>
      <c r="C154" s="914" t="s">
        <v>1489</v>
      </c>
      <c r="D154" s="914" t="s">
        <v>1490</v>
      </c>
      <c r="E154" s="914" t="s">
        <v>1242</v>
      </c>
      <c r="F154" s="915" t="s">
        <v>1253</v>
      </c>
      <c r="G154" s="921" t="s">
        <v>1244</v>
      </c>
      <c r="H154" s="921" t="s">
        <v>1210</v>
      </c>
      <c r="I154" s="917" t="s">
        <v>1491</v>
      </c>
      <c r="J154" s="917" t="s">
        <v>1253</v>
      </c>
      <c r="K154" s="916" t="s">
        <v>1492</v>
      </c>
      <c r="L154" s="914">
        <v>2016</v>
      </c>
      <c r="M154" s="918" t="s">
        <v>168</v>
      </c>
      <c r="N154" s="918" t="s">
        <v>168</v>
      </c>
      <c r="O154" s="918" t="s">
        <v>168</v>
      </c>
      <c r="P154" s="919" t="s">
        <v>168</v>
      </c>
      <c r="Q154" s="919" t="s">
        <v>168</v>
      </c>
      <c r="R154" s="919" t="s">
        <v>168</v>
      </c>
      <c r="S154" s="918" t="s">
        <v>168</v>
      </c>
      <c r="T154" s="918" t="s">
        <v>168</v>
      </c>
      <c r="U154" s="918" t="s">
        <v>168</v>
      </c>
      <c r="V154" s="918" t="s">
        <v>168</v>
      </c>
      <c r="W154" s="918" t="s">
        <v>168</v>
      </c>
      <c r="X154" s="934" t="s">
        <v>168</v>
      </c>
      <c r="Y154" s="918" t="s">
        <v>168</v>
      </c>
      <c r="Z154" s="918" t="s">
        <v>168</v>
      </c>
      <c r="AA154" s="919" t="s">
        <v>168</v>
      </c>
      <c r="AB154" s="919" t="s">
        <v>168</v>
      </c>
      <c r="AC154" s="919" t="s">
        <v>168</v>
      </c>
      <c r="AD154" s="919" t="s">
        <v>168</v>
      </c>
      <c r="AE154" s="919" t="s">
        <v>168</v>
      </c>
      <c r="AF154" s="916"/>
      <c r="AG154" s="916"/>
      <c r="AH154" s="916"/>
    </row>
    <row r="155" spans="1:34" ht="42.75">
      <c r="A155" s="914">
        <v>148</v>
      </c>
      <c r="B155" s="914" t="s">
        <v>228</v>
      </c>
      <c r="C155" s="914" t="s">
        <v>1489</v>
      </c>
      <c r="D155" s="914" t="s">
        <v>1490</v>
      </c>
      <c r="E155" s="914" t="s">
        <v>1242</v>
      </c>
      <c r="F155" s="915" t="s">
        <v>1254</v>
      </c>
      <c r="G155" s="921" t="s">
        <v>1244</v>
      </c>
      <c r="H155" s="921" t="s">
        <v>1210</v>
      </c>
      <c r="I155" s="917" t="s">
        <v>1491</v>
      </c>
      <c r="J155" s="917" t="s">
        <v>1254</v>
      </c>
      <c r="K155" s="916" t="s">
        <v>1492</v>
      </c>
      <c r="L155" s="914">
        <v>2016</v>
      </c>
      <c r="M155" s="918" t="s">
        <v>168</v>
      </c>
      <c r="N155" s="918" t="s">
        <v>168</v>
      </c>
      <c r="O155" s="918" t="s">
        <v>168</v>
      </c>
      <c r="P155" s="919" t="s">
        <v>168</v>
      </c>
      <c r="Q155" s="919" t="s">
        <v>168</v>
      </c>
      <c r="R155" s="919" t="s">
        <v>168</v>
      </c>
      <c r="S155" s="918" t="s">
        <v>168</v>
      </c>
      <c r="T155" s="918" t="s">
        <v>168</v>
      </c>
      <c r="U155" s="918" t="s">
        <v>168</v>
      </c>
      <c r="V155" s="918" t="s">
        <v>168</v>
      </c>
      <c r="W155" s="918" t="s">
        <v>168</v>
      </c>
      <c r="X155" s="934" t="s">
        <v>168</v>
      </c>
      <c r="Y155" s="918" t="s">
        <v>168</v>
      </c>
      <c r="Z155" s="918" t="s">
        <v>168</v>
      </c>
      <c r="AA155" s="919" t="s">
        <v>168</v>
      </c>
      <c r="AB155" s="919" t="s">
        <v>168</v>
      </c>
      <c r="AC155" s="919" t="s">
        <v>168</v>
      </c>
      <c r="AD155" s="919" t="s">
        <v>168</v>
      </c>
      <c r="AE155" s="919" t="s">
        <v>168</v>
      </c>
      <c r="AF155" s="916"/>
      <c r="AG155" s="916"/>
      <c r="AH155" s="916"/>
    </row>
    <row r="156" spans="1:34" ht="42.75">
      <c r="A156" s="914">
        <v>149</v>
      </c>
      <c r="B156" s="914" t="s">
        <v>228</v>
      </c>
      <c r="C156" s="914" t="s">
        <v>1489</v>
      </c>
      <c r="D156" s="914" t="s">
        <v>1490</v>
      </c>
      <c r="E156" s="914" t="s">
        <v>1242</v>
      </c>
      <c r="F156" s="915" t="s">
        <v>1255</v>
      </c>
      <c r="G156" s="921" t="s">
        <v>1244</v>
      </c>
      <c r="H156" s="921" t="s">
        <v>1210</v>
      </c>
      <c r="I156" s="917" t="s">
        <v>1491</v>
      </c>
      <c r="J156" s="917" t="s">
        <v>1255</v>
      </c>
      <c r="K156" s="916" t="s">
        <v>1492</v>
      </c>
      <c r="L156" s="914">
        <v>2016</v>
      </c>
      <c r="M156" s="918">
        <v>42882609.756999999</v>
      </c>
      <c r="N156" s="918" t="s">
        <v>168</v>
      </c>
      <c r="O156" s="918" t="s">
        <v>168</v>
      </c>
      <c r="P156" s="919">
        <v>42998315.482000001</v>
      </c>
      <c r="Q156" s="919">
        <v>53164127.090000004</v>
      </c>
      <c r="R156" s="919">
        <v>58525382.509999998</v>
      </c>
      <c r="S156" s="918">
        <v>42882609.756999999</v>
      </c>
      <c r="T156" s="918">
        <v>43954675.000924997</v>
      </c>
      <c r="U156" s="918">
        <v>45026740.244850002</v>
      </c>
      <c r="V156" s="918">
        <v>141512612.19810003</v>
      </c>
      <c r="W156" s="918">
        <v>98630002.441099986</v>
      </c>
      <c r="X156" s="934">
        <v>53225020.850000001</v>
      </c>
      <c r="Y156" s="918" t="s">
        <v>168</v>
      </c>
      <c r="Z156" s="918" t="s">
        <v>168</v>
      </c>
      <c r="AA156" s="919">
        <v>141512612.19810003</v>
      </c>
      <c r="AB156" s="919">
        <v>71105976</v>
      </c>
      <c r="AC156" s="919">
        <v>73628575</v>
      </c>
      <c r="AD156" s="919">
        <v>74267795</v>
      </c>
      <c r="AE156" s="919">
        <v>75009928</v>
      </c>
      <c r="AF156" s="916" t="s">
        <v>1493</v>
      </c>
      <c r="AG156" s="916" t="s">
        <v>802</v>
      </c>
      <c r="AH156" s="916"/>
    </row>
    <row r="157" spans="1:34" ht="42.75">
      <c r="A157" s="914">
        <v>150</v>
      </c>
      <c r="B157" s="914" t="s">
        <v>228</v>
      </c>
      <c r="C157" s="914" t="s">
        <v>1489</v>
      </c>
      <c r="D157" s="914" t="s">
        <v>1490</v>
      </c>
      <c r="E157" s="914" t="s">
        <v>1242</v>
      </c>
      <c r="F157" s="915" t="s">
        <v>1256</v>
      </c>
      <c r="G157" s="921" t="s">
        <v>1244</v>
      </c>
      <c r="H157" s="921" t="s">
        <v>1210</v>
      </c>
      <c r="I157" s="917" t="s">
        <v>1491</v>
      </c>
      <c r="J157" s="917" t="s">
        <v>1256</v>
      </c>
      <c r="K157" s="916" t="s">
        <v>1492</v>
      </c>
      <c r="L157" s="914">
        <v>2016</v>
      </c>
      <c r="M157" s="918">
        <v>26867413.088</v>
      </c>
      <c r="N157" s="918" t="s">
        <v>168</v>
      </c>
      <c r="O157" s="918" t="s">
        <v>168</v>
      </c>
      <c r="P157" s="919">
        <v>27300787.798</v>
      </c>
      <c r="Q157" s="919">
        <v>35216284.240000002</v>
      </c>
      <c r="R157" s="919">
        <v>39206254.030000001</v>
      </c>
      <c r="S157" s="918">
        <v>26867413.088</v>
      </c>
      <c r="T157" s="918">
        <v>27539098.415199999</v>
      </c>
      <c r="U157" s="918">
        <v>28210783.742400002</v>
      </c>
      <c r="V157" s="918">
        <v>88662463.190400004</v>
      </c>
      <c r="W157" s="918">
        <v>61795050.102399997</v>
      </c>
      <c r="X157" s="934">
        <v>35708222.210000001</v>
      </c>
      <c r="Y157" s="918" t="s">
        <v>168</v>
      </c>
      <c r="Z157" s="918" t="s">
        <v>168</v>
      </c>
      <c r="AA157" s="919">
        <v>88662463.190400004</v>
      </c>
      <c r="AB157" s="919">
        <v>47023056</v>
      </c>
      <c r="AC157" s="919">
        <v>48536011</v>
      </c>
      <c r="AD157" s="919">
        <v>48928679</v>
      </c>
      <c r="AE157" s="919">
        <v>49379666</v>
      </c>
      <c r="AF157" s="916" t="s">
        <v>1493</v>
      </c>
      <c r="AG157" s="916" t="s">
        <v>802</v>
      </c>
      <c r="AH157" s="916"/>
    </row>
    <row r="158" spans="1:34" ht="57">
      <c r="A158" s="914">
        <v>151</v>
      </c>
      <c r="B158" s="914" t="s">
        <v>228</v>
      </c>
      <c r="C158" s="914" t="s">
        <v>1489</v>
      </c>
      <c r="D158" s="914" t="s">
        <v>1490</v>
      </c>
      <c r="E158" s="914" t="s">
        <v>1495</v>
      </c>
      <c r="F158" s="915" t="s">
        <v>1496</v>
      </c>
      <c r="G158" s="921" t="s">
        <v>1497</v>
      </c>
      <c r="H158" s="921" t="s">
        <v>1210</v>
      </c>
      <c r="I158" s="917" t="s">
        <v>1498</v>
      </c>
      <c r="J158" s="917" t="s">
        <v>1496</v>
      </c>
      <c r="K158" s="916" t="s">
        <v>1492</v>
      </c>
      <c r="L158" s="914">
        <v>2016</v>
      </c>
      <c r="M158" s="918" t="s">
        <v>168</v>
      </c>
      <c r="N158" s="918" t="s">
        <v>168</v>
      </c>
      <c r="O158" s="918" t="s">
        <v>168</v>
      </c>
      <c r="P158" s="919" t="s">
        <v>168</v>
      </c>
      <c r="Q158" s="919" t="s">
        <v>168</v>
      </c>
      <c r="R158" s="919" t="s">
        <v>168</v>
      </c>
      <c r="S158" s="918" t="s">
        <v>168</v>
      </c>
      <c r="T158" s="918" t="s">
        <v>168</v>
      </c>
      <c r="U158" s="918" t="s">
        <v>168</v>
      </c>
      <c r="V158" s="918" t="s">
        <v>168</v>
      </c>
      <c r="W158" s="918" t="s">
        <v>168</v>
      </c>
      <c r="X158" s="934" t="s">
        <v>168</v>
      </c>
      <c r="Y158" s="918" t="s">
        <v>168</v>
      </c>
      <c r="Z158" s="918" t="s">
        <v>168</v>
      </c>
      <c r="AA158" s="919" t="s">
        <v>168</v>
      </c>
      <c r="AB158" s="919" t="s">
        <v>168</v>
      </c>
      <c r="AC158" s="919" t="s">
        <v>168</v>
      </c>
      <c r="AD158" s="919" t="s">
        <v>168</v>
      </c>
      <c r="AE158" s="919" t="s">
        <v>168</v>
      </c>
      <c r="AF158" s="916"/>
      <c r="AG158" s="916"/>
      <c r="AH158" s="916"/>
    </row>
    <row r="159" spans="1:34" ht="57">
      <c r="A159" s="914">
        <v>152</v>
      </c>
      <c r="B159" s="914" t="s">
        <v>228</v>
      </c>
      <c r="C159" s="914" t="s">
        <v>1489</v>
      </c>
      <c r="D159" s="914" t="s">
        <v>1490</v>
      </c>
      <c r="E159" s="914" t="s">
        <v>1495</v>
      </c>
      <c r="F159" s="915" t="s">
        <v>1499</v>
      </c>
      <c r="G159" s="921" t="s">
        <v>1497</v>
      </c>
      <c r="H159" s="921" t="s">
        <v>1210</v>
      </c>
      <c r="I159" s="917" t="s">
        <v>1498</v>
      </c>
      <c r="J159" s="917" t="s">
        <v>1499</v>
      </c>
      <c r="K159" s="916" t="s">
        <v>1492</v>
      </c>
      <c r="L159" s="914">
        <v>2016</v>
      </c>
      <c r="M159" s="918" t="s">
        <v>168</v>
      </c>
      <c r="N159" s="918" t="s">
        <v>168</v>
      </c>
      <c r="O159" s="918" t="s">
        <v>168</v>
      </c>
      <c r="P159" s="919" t="s">
        <v>168</v>
      </c>
      <c r="Q159" s="919" t="s">
        <v>168</v>
      </c>
      <c r="R159" s="919" t="s">
        <v>168</v>
      </c>
      <c r="S159" s="918" t="s">
        <v>168</v>
      </c>
      <c r="T159" s="918" t="s">
        <v>168</v>
      </c>
      <c r="U159" s="918" t="s">
        <v>168</v>
      </c>
      <c r="V159" s="918" t="s">
        <v>168</v>
      </c>
      <c r="W159" s="918" t="s">
        <v>168</v>
      </c>
      <c r="X159" s="934" t="s">
        <v>168</v>
      </c>
      <c r="Y159" s="918" t="s">
        <v>168</v>
      </c>
      <c r="Z159" s="918" t="s">
        <v>168</v>
      </c>
      <c r="AA159" s="919" t="s">
        <v>168</v>
      </c>
      <c r="AB159" s="919" t="s">
        <v>168</v>
      </c>
      <c r="AC159" s="919" t="s">
        <v>168</v>
      </c>
      <c r="AD159" s="919" t="s">
        <v>168</v>
      </c>
      <c r="AE159" s="919" t="s">
        <v>168</v>
      </c>
      <c r="AF159" s="916"/>
      <c r="AG159" s="916"/>
      <c r="AH159" s="916"/>
    </row>
    <row r="160" spans="1:34" ht="57">
      <c r="A160" s="914">
        <v>153</v>
      </c>
      <c r="B160" s="914" t="s">
        <v>228</v>
      </c>
      <c r="C160" s="914" t="s">
        <v>1489</v>
      </c>
      <c r="D160" s="914" t="s">
        <v>1490</v>
      </c>
      <c r="E160" s="914" t="s">
        <v>1495</v>
      </c>
      <c r="F160" s="915" t="s">
        <v>1500</v>
      </c>
      <c r="G160" s="921" t="s">
        <v>1497</v>
      </c>
      <c r="H160" s="921" t="s">
        <v>1210</v>
      </c>
      <c r="I160" s="917" t="s">
        <v>1498</v>
      </c>
      <c r="J160" s="917" t="s">
        <v>1500</v>
      </c>
      <c r="K160" s="916" t="s">
        <v>1492</v>
      </c>
      <c r="L160" s="914">
        <v>2016</v>
      </c>
      <c r="M160" s="918" t="s">
        <v>168</v>
      </c>
      <c r="N160" s="918" t="s">
        <v>168</v>
      </c>
      <c r="O160" s="918" t="s">
        <v>168</v>
      </c>
      <c r="P160" s="919" t="s">
        <v>168</v>
      </c>
      <c r="Q160" s="919" t="s">
        <v>168</v>
      </c>
      <c r="R160" s="919" t="s">
        <v>168</v>
      </c>
      <c r="S160" s="918" t="s">
        <v>168</v>
      </c>
      <c r="T160" s="918" t="s">
        <v>168</v>
      </c>
      <c r="U160" s="918" t="s">
        <v>168</v>
      </c>
      <c r="V160" s="918" t="s">
        <v>168</v>
      </c>
      <c r="W160" s="918" t="s">
        <v>168</v>
      </c>
      <c r="X160" s="934" t="s">
        <v>168</v>
      </c>
      <c r="Y160" s="918" t="s">
        <v>168</v>
      </c>
      <c r="Z160" s="918" t="s">
        <v>168</v>
      </c>
      <c r="AA160" s="919" t="s">
        <v>168</v>
      </c>
      <c r="AB160" s="919" t="s">
        <v>168</v>
      </c>
      <c r="AC160" s="919" t="s">
        <v>168</v>
      </c>
      <c r="AD160" s="919" t="s">
        <v>168</v>
      </c>
      <c r="AE160" s="919" t="s">
        <v>168</v>
      </c>
      <c r="AF160" s="916"/>
      <c r="AG160" s="916"/>
      <c r="AH160" s="916"/>
    </row>
    <row r="161" spans="1:34" ht="57">
      <c r="A161" s="914">
        <v>154</v>
      </c>
      <c r="B161" s="914" t="s">
        <v>228</v>
      </c>
      <c r="C161" s="914" t="s">
        <v>1489</v>
      </c>
      <c r="D161" s="914" t="s">
        <v>1490</v>
      </c>
      <c r="E161" s="914" t="s">
        <v>1495</v>
      </c>
      <c r="F161" s="915" t="s">
        <v>1501</v>
      </c>
      <c r="G161" s="921" t="s">
        <v>1497</v>
      </c>
      <c r="H161" s="921" t="s">
        <v>1210</v>
      </c>
      <c r="I161" s="917" t="s">
        <v>1498</v>
      </c>
      <c r="J161" s="917" t="s">
        <v>1501</v>
      </c>
      <c r="K161" s="916" t="s">
        <v>1492</v>
      </c>
      <c r="L161" s="914">
        <v>2016</v>
      </c>
      <c r="M161" s="918" t="s">
        <v>168</v>
      </c>
      <c r="N161" s="918" t="s">
        <v>168</v>
      </c>
      <c r="O161" s="918" t="s">
        <v>168</v>
      </c>
      <c r="P161" s="919" t="s">
        <v>168</v>
      </c>
      <c r="Q161" s="919" t="s">
        <v>168</v>
      </c>
      <c r="R161" s="919" t="s">
        <v>168</v>
      </c>
      <c r="S161" s="918" t="s">
        <v>168</v>
      </c>
      <c r="T161" s="918" t="s">
        <v>168</v>
      </c>
      <c r="U161" s="918" t="s">
        <v>168</v>
      </c>
      <c r="V161" s="918" t="s">
        <v>168</v>
      </c>
      <c r="W161" s="918" t="s">
        <v>168</v>
      </c>
      <c r="X161" s="934" t="s">
        <v>168</v>
      </c>
      <c r="Y161" s="918" t="s">
        <v>168</v>
      </c>
      <c r="Z161" s="918" t="s">
        <v>168</v>
      </c>
      <c r="AA161" s="919" t="s">
        <v>168</v>
      </c>
      <c r="AB161" s="919" t="s">
        <v>168</v>
      </c>
      <c r="AC161" s="919" t="s">
        <v>168</v>
      </c>
      <c r="AD161" s="919" t="s">
        <v>168</v>
      </c>
      <c r="AE161" s="919" t="s">
        <v>168</v>
      </c>
      <c r="AF161" s="916"/>
      <c r="AG161" s="916"/>
      <c r="AH161" s="916"/>
    </row>
    <row r="162" spans="1:34" ht="57">
      <c r="A162" s="914">
        <v>155</v>
      </c>
      <c r="B162" s="914" t="s">
        <v>228</v>
      </c>
      <c r="C162" s="914" t="s">
        <v>1489</v>
      </c>
      <c r="D162" s="914" t="s">
        <v>1490</v>
      </c>
      <c r="E162" s="914" t="s">
        <v>1495</v>
      </c>
      <c r="F162" s="915" t="s">
        <v>1502</v>
      </c>
      <c r="G162" s="921" t="s">
        <v>1497</v>
      </c>
      <c r="H162" s="921" t="s">
        <v>1210</v>
      </c>
      <c r="I162" s="917" t="s">
        <v>1498</v>
      </c>
      <c r="J162" s="917" t="s">
        <v>1502</v>
      </c>
      <c r="K162" s="916" t="s">
        <v>1492</v>
      </c>
      <c r="L162" s="914">
        <v>2016</v>
      </c>
      <c r="M162" s="926">
        <v>4.7576083045634092E-3</v>
      </c>
      <c r="N162" s="918">
        <v>3552480.9723</v>
      </c>
      <c r="O162" s="918">
        <v>746694714</v>
      </c>
      <c r="P162" s="931">
        <v>4.4213967035864957E-3</v>
      </c>
      <c r="Q162" s="931">
        <v>7.0438739830716865E-3</v>
      </c>
      <c r="R162" s="931">
        <v>6.6109228793961809E-3</v>
      </c>
      <c r="S162" s="929">
        <v>4.7576083045634092E-3</v>
      </c>
      <c r="T162" s="929">
        <v>4.8765485121774936E-3</v>
      </c>
      <c r="U162" s="929">
        <v>4.9954887197915798E-3</v>
      </c>
      <c r="V162" s="929">
        <v>5.2333691350197505E-3</v>
      </c>
      <c r="W162" s="929">
        <v>5.4712495502479202E-3</v>
      </c>
      <c r="X162" s="931">
        <v>9.0521230235514772E-3</v>
      </c>
      <c r="Y162" s="918">
        <v>6144889.6500000004</v>
      </c>
      <c r="Z162" s="918">
        <v>678834085</v>
      </c>
      <c r="AA162" s="931">
        <v>5.2333691350197505E-3</v>
      </c>
      <c r="AB162" s="929">
        <v>5.4712495502479202E-3</v>
      </c>
      <c r="AC162" s="929">
        <v>5.4712495502479202E-3</v>
      </c>
      <c r="AD162" s="929">
        <v>5.4712495502479202E-3</v>
      </c>
      <c r="AE162" s="929">
        <v>5.4712495502479202E-3</v>
      </c>
      <c r="AF162" s="916" t="s">
        <v>1503</v>
      </c>
      <c r="AG162" s="916" t="s">
        <v>802</v>
      </c>
      <c r="AH162" s="916"/>
    </row>
    <row r="163" spans="1:34" ht="57">
      <c r="A163" s="914">
        <v>156</v>
      </c>
      <c r="B163" s="914" t="s">
        <v>228</v>
      </c>
      <c r="C163" s="914" t="s">
        <v>1489</v>
      </c>
      <c r="D163" s="914" t="s">
        <v>1490</v>
      </c>
      <c r="E163" s="914" t="s">
        <v>1495</v>
      </c>
      <c r="F163" s="915" t="s">
        <v>1504</v>
      </c>
      <c r="G163" s="921" t="s">
        <v>1497</v>
      </c>
      <c r="H163" s="921" t="s">
        <v>1210</v>
      </c>
      <c r="I163" s="917" t="s">
        <v>1498</v>
      </c>
      <c r="J163" s="917" t="s">
        <v>1504</v>
      </c>
      <c r="K163" s="916" t="s">
        <v>1492</v>
      </c>
      <c r="L163" s="914">
        <v>2016</v>
      </c>
      <c r="M163" s="926">
        <v>2.9753917801271595E-3</v>
      </c>
      <c r="N163" s="918">
        <v>2221709.3143000002</v>
      </c>
      <c r="O163" s="918">
        <v>746694714</v>
      </c>
      <c r="P163" s="931">
        <v>2.8209191722178071E-3</v>
      </c>
      <c r="Q163" s="931">
        <v>4.8314886108275414E-3</v>
      </c>
      <c r="R163" s="931">
        <v>4.4899885378265891E-3</v>
      </c>
      <c r="S163" s="929">
        <v>2.9753917801271595E-3</v>
      </c>
      <c r="T163" s="926">
        <v>3.0497765746303382E-3</v>
      </c>
      <c r="U163" s="929">
        <v>3.1241613691335175E-3</v>
      </c>
      <c r="V163" s="929">
        <v>3.2729309581398759E-3</v>
      </c>
      <c r="W163" s="929">
        <v>3.421700547146233E-3</v>
      </c>
      <c r="X163" s="931">
        <v>6.2623735371213725E-3</v>
      </c>
      <c r="Y163" s="918">
        <v>4251112.6100000003</v>
      </c>
      <c r="Z163" s="918">
        <v>678834085</v>
      </c>
      <c r="AA163" s="931">
        <v>3.2729309581398759E-3</v>
      </c>
      <c r="AB163" s="929">
        <v>3.421700547146233E-3</v>
      </c>
      <c r="AC163" s="929">
        <v>3.421700547146233E-3</v>
      </c>
      <c r="AD163" s="929">
        <v>3.421700547146233E-3</v>
      </c>
      <c r="AE163" s="929">
        <v>3.421700547146233E-3</v>
      </c>
      <c r="AF163" s="916" t="s">
        <v>1503</v>
      </c>
      <c r="AG163" s="916" t="s">
        <v>802</v>
      </c>
      <c r="AH163" s="916"/>
    </row>
    <row r="164" spans="1:34" ht="57">
      <c r="A164" s="914">
        <v>157</v>
      </c>
      <c r="B164" s="914" t="s">
        <v>228</v>
      </c>
      <c r="C164" s="914" t="s">
        <v>1489</v>
      </c>
      <c r="D164" s="914" t="s">
        <v>1490</v>
      </c>
      <c r="E164" s="914" t="s">
        <v>1495</v>
      </c>
      <c r="F164" s="915" t="s">
        <v>1505</v>
      </c>
      <c r="G164" s="921" t="s">
        <v>1497</v>
      </c>
      <c r="H164" s="921" t="s">
        <v>1210</v>
      </c>
      <c r="I164" s="917" t="s">
        <v>1498</v>
      </c>
      <c r="J164" s="917" t="s">
        <v>1505</v>
      </c>
      <c r="K164" s="916" t="s">
        <v>1492</v>
      </c>
      <c r="L164" s="914">
        <v>2016</v>
      </c>
      <c r="M164" s="918" t="s">
        <v>168</v>
      </c>
      <c r="N164" s="918" t="s">
        <v>168</v>
      </c>
      <c r="O164" s="918" t="s">
        <v>168</v>
      </c>
      <c r="P164" s="933" t="s">
        <v>168</v>
      </c>
      <c r="Q164" s="919" t="s">
        <v>168</v>
      </c>
      <c r="R164" s="919" t="s">
        <v>168</v>
      </c>
      <c r="S164" s="918" t="s">
        <v>168</v>
      </c>
      <c r="T164" s="918" t="s">
        <v>168</v>
      </c>
      <c r="U164" s="918" t="s">
        <v>168</v>
      </c>
      <c r="V164" s="918" t="s">
        <v>168</v>
      </c>
      <c r="W164" s="918" t="s">
        <v>168</v>
      </c>
      <c r="X164" s="934" t="s">
        <v>168</v>
      </c>
      <c r="Y164" s="918" t="s">
        <v>168</v>
      </c>
      <c r="Z164" s="918" t="s">
        <v>168</v>
      </c>
      <c r="AA164" s="919" t="s">
        <v>168</v>
      </c>
      <c r="AB164" s="919" t="s">
        <v>168</v>
      </c>
      <c r="AC164" s="919" t="s">
        <v>168</v>
      </c>
      <c r="AD164" s="919" t="s">
        <v>168</v>
      </c>
      <c r="AE164" s="919" t="s">
        <v>168</v>
      </c>
      <c r="AF164" s="916"/>
      <c r="AG164" s="916"/>
      <c r="AH164" s="916"/>
    </row>
    <row r="165" spans="1:34" ht="57">
      <c r="A165" s="914">
        <v>158</v>
      </c>
      <c r="B165" s="914" t="s">
        <v>228</v>
      </c>
      <c r="C165" s="914" t="s">
        <v>1489</v>
      </c>
      <c r="D165" s="914" t="s">
        <v>1490</v>
      </c>
      <c r="E165" s="914" t="s">
        <v>1495</v>
      </c>
      <c r="F165" s="915" t="s">
        <v>1506</v>
      </c>
      <c r="G165" s="921" t="s">
        <v>1497</v>
      </c>
      <c r="H165" s="921" t="s">
        <v>1210</v>
      </c>
      <c r="I165" s="917" t="s">
        <v>1498</v>
      </c>
      <c r="J165" s="917" t="s">
        <v>1506</v>
      </c>
      <c r="K165" s="916" t="s">
        <v>1492</v>
      </c>
      <c r="L165" s="914">
        <v>2016</v>
      </c>
      <c r="M165" s="918" t="s">
        <v>168</v>
      </c>
      <c r="N165" s="918" t="s">
        <v>168</v>
      </c>
      <c r="O165" s="918" t="s">
        <v>168</v>
      </c>
      <c r="P165" s="933" t="s">
        <v>168</v>
      </c>
      <c r="Q165" s="919" t="s">
        <v>168</v>
      </c>
      <c r="R165" s="919" t="s">
        <v>168</v>
      </c>
      <c r="S165" s="918" t="s">
        <v>168</v>
      </c>
      <c r="T165" s="918" t="s">
        <v>168</v>
      </c>
      <c r="U165" s="918" t="s">
        <v>168</v>
      </c>
      <c r="V165" s="918" t="s">
        <v>168</v>
      </c>
      <c r="W165" s="918" t="s">
        <v>168</v>
      </c>
      <c r="X165" s="934" t="s">
        <v>168</v>
      </c>
      <c r="Y165" s="918" t="s">
        <v>168</v>
      </c>
      <c r="Z165" s="918" t="s">
        <v>168</v>
      </c>
      <c r="AA165" s="919" t="s">
        <v>168</v>
      </c>
      <c r="AB165" s="919" t="s">
        <v>168</v>
      </c>
      <c r="AC165" s="919" t="s">
        <v>168</v>
      </c>
      <c r="AD165" s="919" t="s">
        <v>168</v>
      </c>
      <c r="AE165" s="919" t="s">
        <v>168</v>
      </c>
      <c r="AF165" s="916"/>
      <c r="AG165" s="916"/>
      <c r="AH165" s="916"/>
    </row>
    <row r="166" spans="1:34" ht="57">
      <c r="A166" s="914">
        <v>159</v>
      </c>
      <c r="B166" s="914" t="s">
        <v>228</v>
      </c>
      <c r="C166" s="914" t="s">
        <v>1489</v>
      </c>
      <c r="D166" s="914" t="s">
        <v>1490</v>
      </c>
      <c r="E166" s="914" t="s">
        <v>1495</v>
      </c>
      <c r="F166" s="915" t="s">
        <v>1507</v>
      </c>
      <c r="G166" s="921" t="s">
        <v>1497</v>
      </c>
      <c r="H166" s="921" t="s">
        <v>1210</v>
      </c>
      <c r="I166" s="917" t="s">
        <v>1498</v>
      </c>
      <c r="J166" s="917" t="s">
        <v>1507</v>
      </c>
      <c r="K166" s="916" t="s">
        <v>1492</v>
      </c>
      <c r="L166" s="914">
        <v>2016</v>
      </c>
      <c r="M166" s="918" t="s">
        <v>168</v>
      </c>
      <c r="N166" s="918" t="s">
        <v>168</v>
      </c>
      <c r="O166" s="918" t="s">
        <v>168</v>
      </c>
      <c r="P166" s="933" t="s">
        <v>168</v>
      </c>
      <c r="Q166" s="919" t="s">
        <v>168</v>
      </c>
      <c r="R166" s="919" t="s">
        <v>168</v>
      </c>
      <c r="S166" s="918" t="s">
        <v>168</v>
      </c>
      <c r="T166" s="918" t="s">
        <v>168</v>
      </c>
      <c r="U166" s="918" t="s">
        <v>168</v>
      </c>
      <c r="V166" s="918" t="s">
        <v>168</v>
      </c>
      <c r="W166" s="918" t="s">
        <v>168</v>
      </c>
      <c r="X166" s="934" t="s">
        <v>168</v>
      </c>
      <c r="Y166" s="918" t="s">
        <v>168</v>
      </c>
      <c r="Z166" s="918" t="s">
        <v>168</v>
      </c>
      <c r="AA166" s="919" t="s">
        <v>168</v>
      </c>
      <c r="AB166" s="919" t="s">
        <v>168</v>
      </c>
      <c r="AC166" s="919" t="s">
        <v>168</v>
      </c>
      <c r="AD166" s="919" t="s">
        <v>168</v>
      </c>
      <c r="AE166" s="919" t="s">
        <v>168</v>
      </c>
      <c r="AF166" s="916"/>
      <c r="AG166" s="916"/>
      <c r="AH166" s="916"/>
    </row>
    <row r="167" spans="1:34" ht="57">
      <c r="A167" s="914">
        <v>160</v>
      </c>
      <c r="B167" s="914" t="s">
        <v>228</v>
      </c>
      <c r="C167" s="914" t="s">
        <v>1489</v>
      </c>
      <c r="D167" s="914" t="s">
        <v>1490</v>
      </c>
      <c r="E167" s="914" t="s">
        <v>1495</v>
      </c>
      <c r="F167" s="915" t="s">
        <v>1508</v>
      </c>
      <c r="G167" s="921" t="s">
        <v>1497</v>
      </c>
      <c r="H167" s="921" t="s">
        <v>1210</v>
      </c>
      <c r="I167" s="917" t="s">
        <v>1498</v>
      </c>
      <c r="J167" s="917" t="s">
        <v>1508</v>
      </c>
      <c r="K167" s="916" t="s">
        <v>1492</v>
      </c>
      <c r="L167" s="914">
        <v>2016</v>
      </c>
      <c r="M167" s="918" t="s">
        <v>168</v>
      </c>
      <c r="N167" s="918" t="s">
        <v>168</v>
      </c>
      <c r="O167" s="918" t="s">
        <v>168</v>
      </c>
      <c r="P167" s="933" t="s">
        <v>168</v>
      </c>
      <c r="Q167" s="919" t="s">
        <v>168</v>
      </c>
      <c r="R167" s="919" t="s">
        <v>168</v>
      </c>
      <c r="S167" s="918" t="s">
        <v>168</v>
      </c>
      <c r="T167" s="918" t="s">
        <v>168</v>
      </c>
      <c r="U167" s="918" t="s">
        <v>168</v>
      </c>
      <c r="V167" s="918" t="s">
        <v>168</v>
      </c>
      <c r="W167" s="918" t="s">
        <v>168</v>
      </c>
      <c r="X167" s="934" t="s">
        <v>168</v>
      </c>
      <c r="Y167" s="918" t="s">
        <v>168</v>
      </c>
      <c r="Z167" s="918" t="s">
        <v>168</v>
      </c>
      <c r="AA167" s="919" t="s">
        <v>168</v>
      </c>
      <c r="AB167" s="919" t="s">
        <v>168</v>
      </c>
      <c r="AC167" s="919" t="s">
        <v>168</v>
      </c>
      <c r="AD167" s="919" t="s">
        <v>168</v>
      </c>
      <c r="AE167" s="919" t="s">
        <v>168</v>
      </c>
      <c r="AF167" s="916"/>
      <c r="AG167" s="916"/>
      <c r="AH167" s="916"/>
    </row>
    <row r="168" spans="1:34" ht="57">
      <c r="A168" s="914">
        <v>161</v>
      </c>
      <c r="B168" s="914" t="s">
        <v>228</v>
      </c>
      <c r="C168" s="914" t="s">
        <v>1489</v>
      </c>
      <c r="D168" s="914" t="s">
        <v>1490</v>
      </c>
      <c r="E168" s="914" t="s">
        <v>1495</v>
      </c>
      <c r="F168" s="915" t="s">
        <v>1509</v>
      </c>
      <c r="G168" s="921" t="s">
        <v>1497</v>
      </c>
      <c r="H168" s="921" t="s">
        <v>1210</v>
      </c>
      <c r="I168" s="917" t="s">
        <v>1498</v>
      </c>
      <c r="J168" s="917" t="s">
        <v>1509</v>
      </c>
      <c r="K168" s="916" t="s">
        <v>1492</v>
      </c>
      <c r="L168" s="914">
        <v>2016</v>
      </c>
      <c r="M168" s="926">
        <v>5.742990937659162E-2</v>
      </c>
      <c r="N168" s="918">
        <v>42882609.756999999</v>
      </c>
      <c r="O168" s="918">
        <v>746694714</v>
      </c>
      <c r="P168" s="927">
        <v>5.6882730197241931E-2</v>
      </c>
      <c r="Q168" s="927">
        <v>6.8041731984196982E-2</v>
      </c>
      <c r="R168" s="927">
        <v>7.2150749092289412E-2</v>
      </c>
      <c r="S168" s="926">
        <v>5.742990937659162E-2</v>
      </c>
      <c r="T168" s="926">
        <v>5.8865657111006407E-2</v>
      </c>
      <c r="U168" s="926">
        <v>6.0301404845421201E-2</v>
      </c>
      <c r="V168" s="926">
        <v>6.3172900314250782E-2</v>
      </c>
      <c r="W168" s="926">
        <v>6.6044395783080356E-2</v>
      </c>
      <c r="X168" s="927">
        <v>7.8406523812074053E-2</v>
      </c>
      <c r="Y168" s="918">
        <v>53225020.850000001</v>
      </c>
      <c r="Z168" s="918">
        <v>678834085</v>
      </c>
      <c r="AA168" s="927">
        <v>6.3172900314250782E-2</v>
      </c>
      <c r="AB168" s="926">
        <v>6.6044395783080356E-2</v>
      </c>
      <c r="AC168" s="926">
        <v>6.6044395783080356E-2</v>
      </c>
      <c r="AD168" s="926">
        <v>6.6044395783080356E-2</v>
      </c>
      <c r="AE168" s="926">
        <v>6.6044395783080356E-2</v>
      </c>
      <c r="AF168" s="916" t="s">
        <v>1503</v>
      </c>
      <c r="AG168" s="916" t="s">
        <v>802</v>
      </c>
      <c r="AH168" s="916"/>
    </row>
    <row r="169" spans="1:34" ht="57">
      <c r="A169" s="914">
        <v>162</v>
      </c>
      <c r="B169" s="914" t="s">
        <v>228</v>
      </c>
      <c r="C169" s="914" t="s">
        <v>1489</v>
      </c>
      <c r="D169" s="914" t="s">
        <v>1490</v>
      </c>
      <c r="E169" s="914" t="s">
        <v>1495</v>
      </c>
      <c r="F169" s="915" t="s">
        <v>1510</v>
      </c>
      <c r="G169" s="921" t="s">
        <v>1497</v>
      </c>
      <c r="H169" s="921" t="s">
        <v>1210</v>
      </c>
      <c r="I169" s="917" t="s">
        <v>1498</v>
      </c>
      <c r="J169" s="917" t="s">
        <v>1510</v>
      </c>
      <c r="K169" s="916" t="s">
        <v>1492</v>
      </c>
      <c r="L169" s="914">
        <v>2016</v>
      </c>
      <c r="M169" s="926">
        <v>3.5981790930423002E-2</v>
      </c>
      <c r="N169" s="918">
        <v>26867413.088</v>
      </c>
      <c r="O169" s="918">
        <v>746694714</v>
      </c>
      <c r="P169" s="927">
        <v>3.6116376399347165E-2</v>
      </c>
      <c r="Q169" s="927">
        <v>4.5071312271919038E-2</v>
      </c>
      <c r="R169" s="927">
        <v>4.8333910451311468E-2</v>
      </c>
      <c r="S169" s="926">
        <v>3.5981790930423002E-2</v>
      </c>
      <c r="T169" s="926">
        <v>3.6881335703683571E-2</v>
      </c>
      <c r="U169" s="926">
        <v>3.7780880476944154E-2</v>
      </c>
      <c r="V169" s="926">
        <v>3.9579970023465305E-2</v>
      </c>
      <c r="W169" s="926">
        <v>4.137905956998645E-2</v>
      </c>
      <c r="X169" s="927">
        <v>5.2602282352984676E-2</v>
      </c>
      <c r="Y169" s="918">
        <v>35708222.210000001</v>
      </c>
      <c r="Z169" s="918">
        <v>678834085</v>
      </c>
      <c r="AA169" s="927">
        <v>3.9579970023465305E-2</v>
      </c>
      <c r="AB169" s="926">
        <v>4.137905956998645E-2</v>
      </c>
      <c r="AC169" s="926">
        <v>4.137905956998645E-2</v>
      </c>
      <c r="AD169" s="926">
        <v>4.137905956998645E-2</v>
      </c>
      <c r="AE169" s="926">
        <v>4.137905956998645E-2</v>
      </c>
      <c r="AF169" s="916" t="s">
        <v>1503</v>
      </c>
      <c r="AG169" s="916" t="s">
        <v>802</v>
      </c>
      <c r="AH169" s="916"/>
    </row>
    <row r="170" spans="1:34" ht="28.5">
      <c r="A170" s="914">
        <v>163</v>
      </c>
      <c r="B170" s="914" t="s">
        <v>228</v>
      </c>
      <c r="C170" s="914" t="s">
        <v>1489</v>
      </c>
      <c r="D170" s="914" t="s">
        <v>1511</v>
      </c>
      <c r="E170" s="914" t="s">
        <v>1234</v>
      </c>
      <c r="F170" s="915" t="s">
        <v>1235</v>
      </c>
      <c r="G170" s="921" t="s">
        <v>1236</v>
      </c>
      <c r="H170" s="921" t="s">
        <v>1210</v>
      </c>
      <c r="I170" s="917" t="s">
        <v>1512</v>
      </c>
      <c r="J170" s="917" t="s">
        <v>1299</v>
      </c>
      <c r="K170" s="916" t="s">
        <v>1492</v>
      </c>
      <c r="L170" s="914">
        <v>2016</v>
      </c>
      <c r="M170" s="918">
        <v>20242.810000000001</v>
      </c>
      <c r="N170" s="918" t="s">
        <v>168</v>
      </c>
      <c r="O170" s="918" t="s">
        <v>168</v>
      </c>
      <c r="P170" s="934">
        <v>20128.39</v>
      </c>
      <c r="Q170" s="919">
        <v>28764.880000000001</v>
      </c>
      <c r="R170" s="919">
        <v>28480.46</v>
      </c>
      <c r="S170" s="918">
        <v>20242.810000000001</v>
      </c>
      <c r="T170" s="918">
        <v>20748.880249999998</v>
      </c>
      <c r="U170" s="918">
        <v>21254.950500000003</v>
      </c>
      <c r="V170" s="918">
        <v>22267.091000000004</v>
      </c>
      <c r="W170" s="918">
        <v>23279.231499999998</v>
      </c>
      <c r="X170" s="934">
        <v>32618.83</v>
      </c>
      <c r="Y170" s="918" t="s">
        <v>168</v>
      </c>
      <c r="Z170" s="918" t="s">
        <v>168</v>
      </c>
      <c r="AA170" s="919">
        <v>22267.091000000004</v>
      </c>
      <c r="AB170" s="919">
        <v>40844</v>
      </c>
      <c r="AC170" s="919">
        <v>40963</v>
      </c>
      <c r="AD170" s="919">
        <v>40763</v>
      </c>
      <c r="AE170" s="919">
        <v>41852</v>
      </c>
      <c r="AF170" s="916" t="s">
        <v>1240</v>
      </c>
      <c r="AG170" s="916"/>
      <c r="AH170" s="916"/>
    </row>
    <row r="171" spans="1:34" ht="42.75">
      <c r="A171" s="914">
        <v>164</v>
      </c>
      <c r="B171" s="914" t="s">
        <v>228</v>
      </c>
      <c r="C171" s="914" t="s">
        <v>1489</v>
      </c>
      <c r="D171" s="914" t="s">
        <v>1513</v>
      </c>
      <c r="E171" s="914" t="s">
        <v>1514</v>
      </c>
      <c r="F171" s="915" t="s">
        <v>1515</v>
      </c>
      <c r="G171" s="921" t="s">
        <v>1516</v>
      </c>
      <c r="H171" s="921" t="s">
        <v>1210</v>
      </c>
      <c r="I171" s="917" t="s">
        <v>1517</v>
      </c>
      <c r="J171" s="935" t="s">
        <v>1515</v>
      </c>
      <c r="K171" s="916" t="s">
        <v>1492</v>
      </c>
      <c r="L171" s="914">
        <v>2016</v>
      </c>
      <c r="M171" s="918" t="s">
        <v>168</v>
      </c>
      <c r="N171" s="918" t="s">
        <v>168</v>
      </c>
      <c r="O171" s="918" t="s">
        <v>168</v>
      </c>
      <c r="P171" s="934" t="s">
        <v>168</v>
      </c>
      <c r="Q171" s="919" t="s">
        <v>168</v>
      </c>
      <c r="R171" s="919" t="s">
        <v>168</v>
      </c>
      <c r="S171" s="918" t="s">
        <v>168</v>
      </c>
      <c r="T171" s="918" t="s">
        <v>168</v>
      </c>
      <c r="U171" s="918" t="s">
        <v>168</v>
      </c>
      <c r="V171" s="918" t="s">
        <v>168</v>
      </c>
      <c r="W171" s="918" t="s">
        <v>168</v>
      </c>
      <c r="X171" s="934" t="s">
        <v>168</v>
      </c>
      <c r="Y171" s="918" t="s">
        <v>168</v>
      </c>
      <c r="Z171" s="918" t="s">
        <v>168</v>
      </c>
      <c r="AA171" s="919" t="s">
        <v>168</v>
      </c>
      <c r="AB171" s="919" t="s">
        <v>168</v>
      </c>
      <c r="AC171" s="919" t="s">
        <v>168</v>
      </c>
      <c r="AD171" s="919" t="s">
        <v>168</v>
      </c>
      <c r="AE171" s="919" t="s">
        <v>168</v>
      </c>
      <c r="AF171" s="936"/>
      <c r="AG171" s="916"/>
      <c r="AH171" s="916"/>
    </row>
    <row r="172" spans="1:34" ht="42.75">
      <c r="A172" s="914">
        <v>165</v>
      </c>
      <c r="B172" s="914" t="s">
        <v>228</v>
      </c>
      <c r="C172" s="914" t="s">
        <v>1489</v>
      </c>
      <c r="D172" s="914" t="s">
        <v>1513</v>
      </c>
      <c r="E172" s="914" t="s">
        <v>1514</v>
      </c>
      <c r="F172" s="915" t="s">
        <v>1518</v>
      </c>
      <c r="G172" s="921" t="s">
        <v>1516</v>
      </c>
      <c r="H172" s="921" t="s">
        <v>1210</v>
      </c>
      <c r="I172" s="917" t="s">
        <v>1517</v>
      </c>
      <c r="J172" s="935" t="s">
        <v>1518</v>
      </c>
      <c r="K172" s="916" t="s">
        <v>1492</v>
      </c>
      <c r="L172" s="914">
        <v>2016</v>
      </c>
      <c r="M172" s="918" t="s">
        <v>168</v>
      </c>
      <c r="N172" s="918" t="s">
        <v>168</v>
      </c>
      <c r="O172" s="918" t="s">
        <v>168</v>
      </c>
      <c r="P172" s="934" t="s">
        <v>168</v>
      </c>
      <c r="Q172" s="919" t="s">
        <v>168</v>
      </c>
      <c r="R172" s="919" t="s">
        <v>168</v>
      </c>
      <c r="S172" s="918" t="s">
        <v>168</v>
      </c>
      <c r="T172" s="918" t="s">
        <v>168</v>
      </c>
      <c r="U172" s="918" t="s">
        <v>168</v>
      </c>
      <c r="V172" s="918" t="s">
        <v>168</v>
      </c>
      <c r="W172" s="918" t="s">
        <v>168</v>
      </c>
      <c r="X172" s="934" t="s">
        <v>168</v>
      </c>
      <c r="Y172" s="918" t="s">
        <v>168</v>
      </c>
      <c r="Z172" s="918" t="s">
        <v>168</v>
      </c>
      <c r="AA172" s="919" t="s">
        <v>168</v>
      </c>
      <c r="AB172" s="919" t="s">
        <v>168</v>
      </c>
      <c r="AC172" s="919" t="s">
        <v>168</v>
      </c>
      <c r="AD172" s="919" t="s">
        <v>168</v>
      </c>
      <c r="AE172" s="919" t="s">
        <v>168</v>
      </c>
      <c r="AF172" s="916"/>
      <c r="AG172" s="916"/>
      <c r="AH172" s="916"/>
    </row>
    <row r="173" spans="1:34" ht="85.5">
      <c r="A173" s="914">
        <v>166</v>
      </c>
      <c r="B173" s="914" t="s">
        <v>228</v>
      </c>
      <c r="C173" s="914" t="s">
        <v>1489</v>
      </c>
      <c r="D173" s="914" t="s">
        <v>1513</v>
      </c>
      <c r="E173" s="914" t="s">
        <v>1514</v>
      </c>
      <c r="F173" s="915" t="s">
        <v>1519</v>
      </c>
      <c r="G173" s="921" t="s">
        <v>1516</v>
      </c>
      <c r="H173" s="921" t="s">
        <v>1210</v>
      </c>
      <c r="I173" s="917" t="s">
        <v>1517</v>
      </c>
      <c r="J173" s="935" t="s">
        <v>1519</v>
      </c>
      <c r="K173" s="916" t="s">
        <v>1492</v>
      </c>
      <c r="L173" s="914">
        <v>2016</v>
      </c>
      <c r="M173" s="926">
        <v>0.10013207843654781</v>
      </c>
      <c r="N173" s="918">
        <v>3552480.9723</v>
      </c>
      <c r="O173" s="918">
        <v>35477951</v>
      </c>
      <c r="P173" s="927">
        <v>7.7602021506643651E-2</v>
      </c>
      <c r="Q173" s="927">
        <v>9.1870323523909142E-2</v>
      </c>
      <c r="R173" s="927">
        <v>8.3812307479988316E-2</v>
      </c>
      <c r="S173" s="926">
        <v>0.10013207843654781</v>
      </c>
      <c r="T173" s="926">
        <v>0.10263538039746149</v>
      </c>
      <c r="U173" s="926">
        <v>0.1051386823583752</v>
      </c>
      <c r="V173" s="937">
        <v>0.11014528628020261</v>
      </c>
      <c r="W173" s="937">
        <v>0.11515189020202997</v>
      </c>
      <c r="X173" s="938">
        <v>0.14205436375955879</v>
      </c>
      <c r="Y173" s="918">
        <f>A166</f>
        <v>159</v>
      </c>
      <c r="Z173" s="918">
        <v>43257310</v>
      </c>
      <c r="AA173" s="938">
        <v>0.11014528628020261</v>
      </c>
      <c r="AB173" s="926">
        <v>0.11515189020202997</v>
      </c>
      <c r="AC173" s="926">
        <v>0.11515189020202997</v>
      </c>
      <c r="AD173" s="926">
        <v>0.11515189020202997</v>
      </c>
      <c r="AE173" s="926">
        <v>0.11515189020202997</v>
      </c>
      <c r="AF173" s="916" t="s">
        <v>1520</v>
      </c>
      <c r="AG173" s="916"/>
      <c r="AH173" s="916" t="s">
        <v>1521</v>
      </c>
    </row>
    <row r="174" spans="1:34" ht="128.25">
      <c r="A174" s="914">
        <v>167</v>
      </c>
      <c r="B174" s="914" t="s">
        <v>228</v>
      </c>
      <c r="C174" s="914" t="s">
        <v>1489</v>
      </c>
      <c r="D174" s="914" t="s">
        <v>1522</v>
      </c>
      <c r="E174" s="914" t="s">
        <v>1523</v>
      </c>
      <c r="F174" s="915" t="s">
        <v>1338</v>
      </c>
      <c r="G174" s="921" t="s">
        <v>1339</v>
      </c>
      <c r="H174" s="921" t="s">
        <v>1210</v>
      </c>
      <c r="I174" s="917" t="s">
        <v>1524</v>
      </c>
      <c r="J174" s="917" t="s">
        <v>1525</v>
      </c>
      <c r="K174" s="916" t="s">
        <v>1492</v>
      </c>
      <c r="L174" s="914">
        <v>2016</v>
      </c>
      <c r="M174" s="926">
        <v>5.8779761904761904E-2</v>
      </c>
      <c r="N174" s="918">
        <v>79</v>
      </c>
      <c r="O174" s="918">
        <v>1344</v>
      </c>
      <c r="P174" s="927">
        <v>6.5789473684210523E-2</v>
      </c>
      <c r="Q174" s="927">
        <v>6.3093622795115337E-2</v>
      </c>
      <c r="R174" s="927">
        <v>8.017676767676768E-2</v>
      </c>
      <c r="S174" s="926">
        <v>5.8779761904761904E-2</v>
      </c>
      <c r="T174" s="926">
        <v>6.0249255952380946E-2</v>
      </c>
      <c r="U174" s="926">
        <v>6.1718750000000003E-2</v>
      </c>
      <c r="V174" s="926">
        <v>6.4657738095238101E-2</v>
      </c>
      <c r="W174" s="926">
        <v>6.7596726190476186E-2</v>
      </c>
      <c r="X174" s="927">
        <v>5.9024807527801537E-2</v>
      </c>
      <c r="Y174" s="918">
        <v>69</v>
      </c>
      <c r="Z174" s="918">
        <v>1169</v>
      </c>
      <c r="AA174" s="927">
        <v>6.4657738095238101E-2</v>
      </c>
      <c r="AB174" s="926">
        <v>6.7596726190476186E-2</v>
      </c>
      <c r="AC174" s="926">
        <v>6.7596726190476186E-2</v>
      </c>
      <c r="AD174" s="926">
        <v>6.7596726190476186E-2</v>
      </c>
      <c r="AE174" s="926">
        <v>6.7596726190476186E-2</v>
      </c>
      <c r="AF174" s="916" t="s">
        <v>1526</v>
      </c>
      <c r="AG174" s="916" t="s">
        <v>1446</v>
      </c>
      <c r="AH174" s="916"/>
    </row>
    <row r="175" spans="1:34" ht="128.25">
      <c r="A175" s="914">
        <v>168</v>
      </c>
      <c r="B175" s="914" t="s">
        <v>228</v>
      </c>
      <c r="C175" s="914" t="s">
        <v>1489</v>
      </c>
      <c r="D175" s="914" t="s">
        <v>1522</v>
      </c>
      <c r="E175" s="914" t="s">
        <v>1527</v>
      </c>
      <c r="F175" s="915" t="s">
        <v>1338</v>
      </c>
      <c r="G175" s="921" t="s">
        <v>1339</v>
      </c>
      <c r="H175" s="921" t="s">
        <v>1210</v>
      </c>
      <c r="I175" s="917" t="s">
        <v>1524</v>
      </c>
      <c r="J175" s="917" t="s">
        <v>1528</v>
      </c>
      <c r="K175" s="916" t="s">
        <v>1492</v>
      </c>
      <c r="L175" s="914">
        <v>2016</v>
      </c>
      <c r="M175" s="926">
        <v>4.1201117318435752E-2</v>
      </c>
      <c r="N175" s="918">
        <v>590</v>
      </c>
      <c r="O175" s="918">
        <v>14320</v>
      </c>
      <c r="P175" s="931">
        <v>4.1103486518333683E-2</v>
      </c>
      <c r="Q175" s="931">
        <v>6.8875502008032122E-2</v>
      </c>
      <c r="R175" s="931">
        <v>8.5269271383315734E-2</v>
      </c>
      <c r="S175" s="929">
        <v>0.05</v>
      </c>
      <c r="T175" s="929">
        <v>0.05</v>
      </c>
      <c r="U175" s="929">
        <v>0.05</v>
      </c>
      <c r="V175" s="929">
        <v>0.06</v>
      </c>
      <c r="W175" s="929">
        <v>0.08</v>
      </c>
      <c r="X175" s="931">
        <v>8.0417841154037467E-2</v>
      </c>
      <c r="Y175" s="918">
        <v>970</v>
      </c>
      <c r="Z175" s="918">
        <v>12062</v>
      </c>
      <c r="AA175" s="927">
        <v>0.06</v>
      </c>
      <c r="AB175" s="929">
        <v>0.08</v>
      </c>
      <c r="AC175" s="929">
        <v>0.08</v>
      </c>
      <c r="AD175" s="929">
        <v>0.08</v>
      </c>
      <c r="AE175" s="929">
        <v>0.08</v>
      </c>
      <c r="AF175" s="916" t="s">
        <v>1526</v>
      </c>
      <c r="AG175" s="916" t="s">
        <v>1446</v>
      </c>
      <c r="AH175" s="916"/>
    </row>
    <row r="176" spans="1:34" ht="128.25">
      <c r="A176" s="914">
        <v>169</v>
      </c>
      <c r="B176" s="914" t="s">
        <v>228</v>
      </c>
      <c r="C176" s="914" t="s">
        <v>1489</v>
      </c>
      <c r="D176" s="914" t="s">
        <v>1522</v>
      </c>
      <c r="E176" s="914" t="s">
        <v>1529</v>
      </c>
      <c r="F176" s="915" t="s">
        <v>1338</v>
      </c>
      <c r="G176" s="921" t="s">
        <v>1339</v>
      </c>
      <c r="H176" s="921" t="s">
        <v>1210</v>
      </c>
      <c r="I176" s="917" t="s">
        <v>1530</v>
      </c>
      <c r="J176" s="917" t="s">
        <v>1531</v>
      </c>
      <c r="K176" s="916" t="s">
        <v>1492</v>
      </c>
      <c r="L176" s="914">
        <v>2016</v>
      </c>
      <c r="M176" s="926">
        <v>6.9279516893222424E-3</v>
      </c>
      <c r="N176" s="918">
        <v>1161</v>
      </c>
      <c r="O176" s="918">
        <v>167582</v>
      </c>
      <c r="P176" s="931">
        <v>8.5663729510646689E-3</v>
      </c>
      <c r="Q176" s="931">
        <v>2.2788114647603049E-2</v>
      </c>
      <c r="R176" s="931">
        <v>2.5001658334790657E-2</v>
      </c>
      <c r="S176" s="929">
        <v>6.9279516893222424E-3</v>
      </c>
      <c r="T176" s="929">
        <v>7.1011504815552979E-3</v>
      </c>
      <c r="U176" s="929">
        <v>7.2743492737883551E-3</v>
      </c>
      <c r="V176" s="929">
        <v>7.6207468582544669E-3</v>
      </c>
      <c r="W176" s="929">
        <v>7.9671444427205779E-3</v>
      </c>
      <c r="X176" s="931">
        <v>2.3052261669837093E-2</v>
      </c>
      <c r="Y176" s="918">
        <v>3890</v>
      </c>
      <c r="Z176" s="918">
        <v>168747</v>
      </c>
      <c r="AA176" s="931">
        <v>7.6207468582544669E-3</v>
      </c>
      <c r="AB176" s="929">
        <v>7.9671444427205779E-3</v>
      </c>
      <c r="AC176" s="929">
        <v>7.9671444427205779E-3</v>
      </c>
      <c r="AD176" s="929">
        <v>7.9671444427205779E-3</v>
      </c>
      <c r="AE176" s="929">
        <v>7.9671444427205779E-3</v>
      </c>
      <c r="AF176" s="916" t="s">
        <v>1526</v>
      </c>
      <c r="AG176" s="916" t="s">
        <v>1446</v>
      </c>
      <c r="AH176" s="916"/>
    </row>
    <row r="177" spans="1:34" ht="171">
      <c r="A177" s="914">
        <v>170</v>
      </c>
      <c r="B177" s="914" t="s">
        <v>228</v>
      </c>
      <c r="C177" s="914" t="s">
        <v>1489</v>
      </c>
      <c r="D177" s="914" t="s">
        <v>1522</v>
      </c>
      <c r="E177" s="914" t="s">
        <v>1451</v>
      </c>
      <c r="F177" s="915" t="s">
        <v>1338</v>
      </c>
      <c r="G177" s="921" t="s">
        <v>1452</v>
      </c>
      <c r="H177" s="921" t="s">
        <v>1210</v>
      </c>
      <c r="I177" s="917" t="s">
        <v>1532</v>
      </c>
      <c r="J177" s="917" t="s">
        <v>1533</v>
      </c>
      <c r="K177" s="916" t="s">
        <v>1492</v>
      </c>
      <c r="L177" s="914">
        <v>2016</v>
      </c>
      <c r="M177" s="926">
        <v>1.0079052414876012E-2</v>
      </c>
      <c r="N177" s="918">
        <v>10915010.786</v>
      </c>
      <c r="O177" s="918">
        <v>1082940175</v>
      </c>
      <c r="P177" s="927">
        <v>1.1208573971820611E-2</v>
      </c>
      <c r="Q177" s="927">
        <v>1.8763045759460778E-2</v>
      </c>
      <c r="R177" s="927">
        <v>2.1273468657208184E-2</v>
      </c>
      <c r="S177" s="926">
        <v>1.0079052414876012E-2</v>
      </c>
      <c r="T177" s="926">
        <v>1.0331028725247911E-2</v>
      </c>
      <c r="U177" s="926">
        <v>1.0583005035619812E-2</v>
      </c>
      <c r="V177" s="926">
        <v>1.1086957656363614E-2</v>
      </c>
      <c r="W177" s="926">
        <v>1.1590910277107413E-2</v>
      </c>
      <c r="X177" s="927">
        <v>1.930832389998479E-2</v>
      </c>
      <c r="Y177" s="918">
        <v>20178684</v>
      </c>
      <c r="Z177" s="918">
        <v>1045076937</v>
      </c>
      <c r="AA177" s="927">
        <v>1.1086957656363614E-2</v>
      </c>
      <c r="AB177" s="926">
        <v>1.1590910277107413E-2</v>
      </c>
      <c r="AC177" s="926">
        <v>1.1590910277107413E-2</v>
      </c>
      <c r="AD177" s="926">
        <v>1.1590910277107413E-2</v>
      </c>
      <c r="AE177" s="926">
        <v>1.1590910277107413E-2</v>
      </c>
      <c r="AF177" s="916" t="s">
        <v>1534</v>
      </c>
      <c r="AG177" s="916" t="s">
        <v>1535</v>
      </c>
      <c r="AH177" s="916" t="s">
        <v>1536</v>
      </c>
    </row>
    <row r="178" spans="1:34" ht="99.75">
      <c r="A178" s="914">
        <v>171</v>
      </c>
      <c r="B178" s="914" t="s">
        <v>228</v>
      </c>
      <c r="C178" s="914" t="s">
        <v>1489</v>
      </c>
      <c r="D178" s="914" t="s">
        <v>1522</v>
      </c>
      <c r="E178" s="914" t="s">
        <v>1349</v>
      </c>
      <c r="F178" s="915" t="s">
        <v>1338</v>
      </c>
      <c r="G178" s="921" t="s">
        <v>1350</v>
      </c>
      <c r="H178" s="921" t="s">
        <v>1210</v>
      </c>
      <c r="I178" s="917" t="s">
        <v>1537</v>
      </c>
      <c r="J178" s="917" t="s">
        <v>1352</v>
      </c>
      <c r="K178" s="916" t="s">
        <v>1492</v>
      </c>
      <c r="L178" s="914">
        <v>2016</v>
      </c>
      <c r="M178" s="926">
        <v>7.5904528970228557E-4</v>
      </c>
      <c r="N178" s="918">
        <v>63</v>
      </c>
      <c r="O178" s="918">
        <v>82999</v>
      </c>
      <c r="P178" s="932">
        <v>1.3632853971624361E-3</v>
      </c>
      <c r="Q178" s="938">
        <v>1.8834421190560748E-2</v>
      </c>
      <c r="R178" s="938">
        <v>2.0088904086168577E-2</v>
      </c>
      <c r="S178" s="937">
        <v>7.5904528970228557E-4</v>
      </c>
      <c r="T178" s="937">
        <v>7.7802142194484262E-4</v>
      </c>
      <c r="U178" s="937">
        <v>7.9699755418739988E-4</v>
      </c>
      <c r="V178" s="937">
        <v>8.349498186725142E-4</v>
      </c>
      <c r="W178" s="937">
        <v>8.729020831576283E-4</v>
      </c>
      <c r="X178" s="932">
        <v>1.8974590654342545E-2</v>
      </c>
      <c r="Y178" s="918">
        <v>1554</v>
      </c>
      <c r="Z178" s="918">
        <v>81899</v>
      </c>
      <c r="AA178" s="938">
        <v>8.349498186725142E-4</v>
      </c>
      <c r="AB178" s="937">
        <v>8.729020831576283E-4</v>
      </c>
      <c r="AC178" s="937">
        <v>8.729020831576283E-4</v>
      </c>
      <c r="AD178" s="937">
        <v>8.729020831576283E-4</v>
      </c>
      <c r="AE178" s="937">
        <v>8.729020831576283E-4</v>
      </c>
      <c r="AF178" s="916" t="s">
        <v>1538</v>
      </c>
      <c r="AG178" s="916" t="s">
        <v>1281</v>
      </c>
      <c r="AH178" s="916"/>
    </row>
    <row r="179" spans="1:34" ht="171">
      <c r="A179" s="914">
        <v>172</v>
      </c>
      <c r="B179" s="914" t="s">
        <v>228</v>
      </c>
      <c r="C179" s="914" t="s">
        <v>1489</v>
      </c>
      <c r="D179" s="914" t="s">
        <v>1539</v>
      </c>
      <c r="E179" s="914" t="s">
        <v>1540</v>
      </c>
      <c r="F179" s="915" t="s">
        <v>1338</v>
      </c>
      <c r="G179" s="921" t="s">
        <v>1541</v>
      </c>
      <c r="H179" s="921" t="s">
        <v>1210</v>
      </c>
      <c r="I179" s="917" t="s">
        <v>1542</v>
      </c>
      <c r="J179" s="917" t="s">
        <v>1543</v>
      </c>
      <c r="K179" s="916" t="s">
        <v>1492</v>
      </c>
      <c r="L179" s="914">
        <v>2016</v>
      </c>
      <c r="M179" s="926">
        <v>3.0765309819630617E-3</v>
      </c>
      <c r="N179" s="918">
        <v>3331699</v>
      </c>
      <c r="O179" s="918">
        <v>1082940175</v>
      </c>
      <c r="P179" s="931">
        <v>2.6023585342130925E-3</v>
      </c>
      <c r="Q179" s="931">
        <v>4.4458662972401307E-3</v>
      </c>
      <c r="R179" s="931">
        <v>4.4401002002687189E-3</v>
      </c>
      <c r="S179" s="929">
        <v>1.12E-2</v>
      </c>
      <c r="T179" s="929">
        <v>2.2499999999999999E-2</v>
      </c>
      <c r="U179" s="929">
        <v>2.24E-2</v>
      </c>
      <c r="V179" s="929">
        <v>2.24E-2</v>
      </c>
      <c r="W179" s="929">
        <v>2.23E-2</v>
      </c>
      <c r="X179" s="931">
        <v>4.3083804077861873E-3</v>
      </c>
      <c r="Y179" s="918">
        <v>4502589</v>
      </c>
      <c r="Z179" s="918">
        <v>1045076937</v>
      </c>
      <c r="AA179" s="927">
        <v>2.24E-2</v>
      </c>
      <c r="AB179" s="929">
        <v>2.23E-2</v>
      </c>
      <c r="AC179" s="929">
        <v>2.23E-2</v>
      </c>
      <c r="AD179" s="929">
        <v>2.23E-2</v>
      </c>
      <c r="AE179" s="929">
        <v>2.23E-2</v>
      </c>
      <c r="AF179" s="916" t="s">
        <v>1534</v>
      </c>
      <c r="AG179" s="916" t="s">
        <v>1535</v>
      </c>
      <c r="AH179" s="916" t="s">
        <v>1536</v>
      </c>
    </row>
    <row r="180" spans="1:34" ht="85.5">
      <c r="A180" s="914">
        <v>173</v>
      </c>
      <c r="B180" s="914" t="s">
        <v>228</v>
      </c>
      <c r="C180" s="914" t="s">
        <v>1489</v>
      </c>
      <c r="D180" s="914" t="s">
        <v>1539</v>
      </c>
      <c r="E180" s="914" t="s">
        <v>1544</v>
      </c>
      <c r="F180" s="915" t="s">
        <v>1338</v>
      </c>
      <c r="G180" s="921" t="s">
        <v>1545</v>
      </c>
      <c r="H180" s="921" t="s">
        <v>1210</v>
      </c>
      <c r="I180" s="917" t="s">
        <v>1546</v>
      </c>
      <c r="J180" s="917" t="s">
        <v>1547</v>
      </c>
      <c r="K180" s="916" t="s">
        <v>1492</v>
      </c>
      <c r="L180" s="914">
        <v>2016</v>
      </c>
      <c r="M180" s="926">
        <v>1.7857142857142856E-2</v>
      </c>
      <c r="N180" s="918">
        <v>24</v>
      </c>
      <c r="O180" s="918">
        <v>1344</v>
      </c>
      <c r="P180" s="927">
        <v>2.9970760233918127E-2</v>
      </c>
      <c r="Q180" s="927">
        <v>2.3744911804613297E-2</v>
      </c>
      <c r="R180" s="927">
        <v>2.3989898989898988E-2</v>
      </c>
      <c r="S180" s="926">
        <v>1</v>
      </c>
      <c r="T180" s="926">
        <v>1</v>
      </c>
      <c r="U180" s="926">
        <v>1</v>
      </c>
      <c r="V180" s="926">
        <v>1</v>
      </c>
      <c r="W180" s="926">
        <v>1</v>
      </c>
      <c r="X180" s="927">
        <v>1.7108639863130881E-2</v>
      </c>
      <c r="Y180" s="918">
        <v>20</v>
      </c>
      <c r="Z180" s="918">
        <v>1169</v>
      </c>
      <c r="AA180" s="927">
        <v>1</v>
      </c>
      <c r="AB180" s="926">
        <v>1</v>
      </c>
      <c r="AC180" s="926">
        <v>1</v>
      </c>
      <c r="AD180" s="926">
        <v>1</v>
      </c>
      <c r="AE180" s="926">
        <v>1</v>
      </c>
      <c r="AF180" s="916" t="s">
        <v>1548</v>
      </c>
      <c r="AG180" s="916" t="s">
        <v>1549</v>
      </c>
      <c r="AH180" s="916"/>
    </row>
    <row r="181" spans="1:34" ht="85.5">
      <c r="A181" s="914">
        <v>174</v>
      </c>
      <c r="B181" s="914" t="s">
        <v>228</v>
      </c>
      <c r="C181" s="914" t="s">
        <v>1489</v>
      </c>
      <c r="D181" s="914" t="s">
        <v>1539</v>
      </c>
      <c r="E181" s="914" t="s">
        <v>1550</v>
      </c>
      <c r="F181" s="915" t="s">
        <v>1338</v>
      </c>
      <c r="G181" s="921" t="s">
        <v>1545</v>
      </c>
      <c r="H181" s="921" t="s">
        <v>1210</v>
      </c>
      <c r="I181" s="917" t="s">
        <v>1551</v>
      </c>
      <c r="J181" s="917" t="s">
        <v>1552</v>
      </c>
      <c r="K181" s="916" t="s">
        <v>1492</v>
      </c>
      <c r="L181" s="914">
        <v>2016</v>
      </c>
      <c r="M181" s="926">
        <v>8.1005586592178772E-3</v>
      </c>
      <c r="N181" s="918">
        <v>116</v>
      </c>
      <c r="O181" s="918">
        <v>14320</v>
      </c>
      <c r="P181" s="938">
        <v>1.2961807721633049E-2</v>
      </c>
      <c r="Q181" s="938">
        <v>1.4926372155287818E-2</v>
      </c>
      <c r="R181" s="938">
        <v>1.6235480464625134E-2</v>
      </c>
      <c r="S181" s="937">
        <v>0.02</v>
      </c>
      <c r="T181" s="937">
        <v>0.2</v>
      </c>
      <c r="U181" s="937">
        <v>0.2</v>
      </c>
      <c r="V181" s="937">
        <v>0.2</v>
      </c>
      <c r="W181" s="937">
        <v>0.2</v>
      </c>
      <c r="X181" s="938">
        <v>1.8902337920742827E-2</v>
      </c>
      <c r="Y181" s="918">
        <v>228</v>
      </c>
      <c r="Z181" s="918">
        <v>12062</v>
      </c>
      <c r="AA181" s="927">
        <v>0.2</v>
      </c>
      <c r="AB181" s="937">
        <v>0.2</v>
      </c>
      <c r="AC181" s="937">
        <v>0.2</v>
      </c>
      <c r="AD181" s="937">
        <v>0.2</v>
      </c>
      <c r="AE181" s="937">
        <v>0.2</v>
      </c>
      <c r="AF181" s="916" t="s">
        <v>1553</v>
      </c>
      <c r="AG181" s="916" t="s">
        <v>1549</v>
      </c>
      <c r="AH181" s="916"/>
    </row>
    <row r="182" spans="1:34" ht="85.5">
      <c r="A182" s="914">
        <v>175</v>
      </c>
      <c r="B182" s="914" t="s">
        <v>228</v>
      </c>
      <c r="C182" s="914" t="s">
        <v>1489</v>
      </c>
      <c r="D182" s="914" t="s">
        <v>1539</v>
      </c>
      <c r="E182" s="914" t="s">
        <v>1554</v>
      </c>
      <c r="F182" s="915" t="s">
        <v>1338</v>
      </c>
      <c r="G182" s="921" t="s">
        <v>1545</v>
      </c>
      <c r="H182" s="921" t="s">
        <v>1210</v>
      </c>
      <c r="I182" s="917" t="s">
        <v>1555</v>
      </c>
      <c r="J182" s="917" t="s">
        <v>1556</v>
      </c>
      <c r="K182" s="916" t="s">
        <v>1492</v>
      </c>
      <c r="L182" s="914">
        <v>2016</v>
      </c>
      <c r="M182" s="926">
        <v>2.0049886025945507E-3</v>
      </c>
      <c r="N182" s="918">
        <v>336</v>
      </c>
      <c r="O182" s="918">
        <v>167582</v>
      </c>
      <c r="P182" s="931">
        <v>2.1161870374577061E-3</v>
      </c>
      <c r="Q182" s="931">
        <v>2.6045286165783384E-3</v>
      </c>
      <c r="R182" s="931">
        <v>2.5508204234482509E-3</v>
      </c>
      <c r="S182" s="929">
        <v>2.0999999999999999E-3</v>
      </c>
      <c r="T182" s="929">
        <v>2E-3</v>
      </c>
      <c r="U182" s="929">
        <v>2E-3</v>
      </c>
      <c r="V182" s="929">
        <v>1.9E-3</v>
      </c>
      <c r="W182" s="929">
        <v>1.8E-3</v>
      </c>
      <c r="X182" s="931">
        <v>2.5956016995857703E-3</v>
      </c>
      <c r="Y182" s="922">
        <v>438</v>
      </c>
      <c r="Z182" s="918">
        <v>168747</v>
      </c>
      <c r="AA182" s="931">
        <v>1.9E-3</v>
      </c>
      <c r="AB182" s="929">
        <v>1.8E-3</v>
      </c>
      <c r="AC182" s="929">
        <v>1.8E-3</v>
      </c>
      <c r="AD182" s="929">
        <v>1.8E-3</v>
      </c>
      <c r="AE182" s="929">
        <v>1.8E-3</v>
      </c>
      <c r="AF182" s="916" t="s">
        <v>1557</v>
      </c>
      <c r="AG182" s="916" t="s">
        <v>1549</v>
      </c>
      <c r="AH182" s="916"/>
    </row>
    <row r="183" spans="1:34" ht="99.75">
      <c r="A183" s="914">
        <v>176</v>
      </c>
      <c r="B183" s="914" t="s">
        <v>228</v>
      </c>
      <c r="C183" s="914" t="s">
        <v>1489</v>
      </c>
      <c r="D183" s="914" t="s">
        <v>1539</v>
      </c>
      <c r="E183" s="914" t="s">
        <v>1469</v>
      </c>
      <c r="F183" s="915" t="s">
        <v>1338</v>
      </c>
      <c r="G183" s="921" t="s">
        <v>1470</v>
      </c>
      <c r="H183" s="921" t="s">
        <v>1210</v>
      </c>
      <c r="I183" s="917" t="s">
        <v>1558</v>
      </c>
      <c r="J183" s="917" t="s">
        <v>1559</v>
      </c>
      <c r="K183" s="916" t="s">
        <v>1492</v>
      </c>
      <c r="L183" s="914">
        <v>2016</v>
      </c>
      <c r="M183" s="926">
        <v>1.0144287572651001E-4</v>
      </c>
      <c r="N183" s="918">
        <v>17</v>
      </c>
      <c r="O183" s="918">
        <v>167582</v>
      </c>
      <c r="P183" s="931">
        <v>6.755060317308497E-4</v>
      </c>
      <c r="Q183" s="931">
        <v>1.4382315794562517E-3</v>
      </c>
      <c r="R183" s="931">
        <v>1.3146002793525593E-3</v>
      </c>
      <c r="S183" s="929">
        <v>1E-3</v>
      </c>
      <c r="T183" s="929">
        <v>1E-3</v>
      </c>
      <c r="U183" s="929">
        <v>1E-3</v>
      </c>
      <c r="V183" s="929">
        <v>1E-3</v>
      </c>
      <c r="W183" s="929">
        <v>1E-3</v>
      </c>
      <c r="X183" s="931">
        <v>1.3133455692446339E-3</v>
      </c>
      <c r="Y183" s="918">
        <v>239</v>
      </c>
      <c r="Z183" s="918">
        <v>181978</v>
      </c>
      <c r="AA183" s="931">
        <v>1E-3</v>
      </c>
      <c r="AB183" s="931">
        <v>1E-3</v>
      </c>
      <c r="AC183" s="931">
        <v>1E-3</v>
      </c>
      <c r="AD183" s="931">
        <v>1E-3</v>
      </c>
      <c r="AE183" s="931">
        <v>1E-3</v>
      </c>
      <c r="AF183" s="916" t="s">
        <v>1560</v>
      </c>
      <c r="AG183" s="916"/>
      <c r="AH183" s="916"/>
    </row>
    <row r="184" spans="1:34" ht="28.5">
      <c r="A184" s="914">
        <v>177</v>
      </c>
      <c r="B184" s="914" t="s">
        <v>228</v>
      </c>
      <c r="C184" s="914" t="s">
        <v>1489</v>
      </c>
      <c r="D184" s="914" t="s">
        <v>1561</v>
      </c>
      <c r="E184" s="914" t="s">
        <v>1283</v>
      </c>
      <c r="F184" s="915" t="s">
        <v>1284</v>
      </c>
      <c r="G184" s="921" t="s">
        <v>1285</v>
      </c>
      <c r="H184" s="921" t="s">
        <v>1210</v>
      </c>
      <c r="I184" s="917" t="s">
        <v>1562</v>
      </c>
      <c r="J184" s="917" t="s">
        <v>1284</v>
      </c>
      <c r="K184" s="916" t="s">
        <v>1492</v>
      </c>
      <c r="L184" s="914">
        <v>2016</v>
      </c>
      <c r="M184" s="918" t="s">
        <v>168</v>
      </c>
      <c r="N184" s="918" t="s">
        <v>168</v>
      </c>
      <c r="O184" s="918" t="s">
        <v>168</v>
      </c>
      <c r="P184" s="934" t="s">
        <v>168</v>
      </c>
      <c r="Q184" s="919" t="s">
        <v>168</v>
      </c>
      <c r="R184" s="919" t="s">
        <v>168</v>
      </c>
      <c r="S184" s="918" t="s">
        <v>168</v>
      </c>
      <c r="T184" s="918" t="s">
        <v>168</v>
      </c>
      <c r="U184" s="918" t="s">
        <v>168</v>
      </c>
      <c r="V184" s="918" t="s">
        <v>168</v>
      </c>
      <c r="W184" s="918" t="s">
        <v>168</v>
      </c>
      <c r="X184" s="934" t="s">
        <v>168</v>
      </c>
      <c r="Y184" s="918" t="s">
        <v>168</v>
      </c>
      <c r="Z184" s="918" t="s">
        <v>168</v>
      </c>
      <c r="AA184" s="919" t="s">
        <v>168</v>
      </c>
      <c r="AB184" s="919" t="s">
        <v>168</v>
      </c>
      <c r="AC184" s="919" t="s">
        <v>168</v>
      </c>
      <c r="AD184" s="919" t="s">
        <v>168</v>
      </c>
      <c r="AE184" s="919" t="s">
        <v>168</v>
      </c>
      <c r="AF184" s="916"/>
      <c r="AG184" s="916"/>
      <c r="AH184" s="916"/>
    </row>
    <row r="185" spans="1:34" ht="28.5">
      <c r="A185" s="914">
        <v>178</v>
      </c>
      <c r="B185" s="914" t="s">
        <v>228</v>
      </c>
      <c r="C185" s="914" t="s">
        <v>1489</v>
      </c>
      <c r="D185" s="914" t="s">
        <v>1561</v>
      </c>
      <c r="E185" s="914" t="s">
        <v>1283</v>
      </c>
      <c r="F185" s="915" t="s">
        <v>1287</v>
      </c>
      <c r="G185" s="921" t="s">
        <v>1285</v>
      </c>
      <c r="H185" s="921" t="s">
        <v>1210</v>
      </c>
      <c r="I185" s="917" t="s">
        <v>1562</v>
      </c>
      <c r="J185" s="917" t="s">
        <v>1287</v>
      </c>
      <c r="K185" s="916" t="s">
        <v>1492</v>
      </c>
      <c r="L185" s="914">
        <v>2016</v>
      </c>
      <c r="M185" s="918" t="s">
        <v>168</v>
      </c>
      <c r="N185" s="918" t="s">
        <v>168</v>
      </c>
      <c r="O185" s="918" t="s">
        <v>168</v>
      </c>
      <c r="P185" s="934" t="s">
        <v>168</v>
      </c>
      <c r="Q185" s="919" t="s">
        <v>168</v>
      </c>
      <c r="R185" s="919" t="s">
        <v>168</v>
      </c>
      <c r="S185" s="918" t="s">
        <v>168</v>
      </c>
      <c r="T185" s="918" t="s">
        <v>168</v>
      </c>
      <c r="U185" s="918" t="s">
        <v>168</v>
      </c>
      <c r="V185" s="918" t="s">
        <v>168</v>
      </c>
      <c r="W185" s="918" t="s">
        <v>168</v>
      </c>
      <c r="X185" s="934" t="s">
        <v>168</v>
      </c>
      <c r="Y185" s="918" t="s">
        <v>168</v>
      </c>
      <c r="Z185" s="918" t="s">
        <v>168</v>
      </c>
      <c r="AA185" s="919" t="s">
        <v>168</v>
      </c>
      <c r="AB185" s="919" t="s">
        <v>168</v>
      </c>
      <c r="AC185" s="919" t="s">
        <v>168</v>
      </c>
      <c r="AD185" s="919" t="s">
        <v>168</v>
      </c>
      <c r="AE185" s="919" t="s">
        <v>168</v>
      </c>
      <c r="AF185" s="916"/>
      <c r="AG185" s="916"/>
      <c r="AH185" s="916"/>
    </row>
    <row r="186" spans="1:34" ht="28.5">
      <c r="A186" s="914">
        <v>179</v>
      </c>
      <c r="B186" s="914" t="s">
        <v>228</v>
      </c>
      <c r="C186" s="914" t="s">
        <v>1489</v>
      </c>
      <c r="D186" s="914" t="s">
        <v>1561</v>
      </c>
      <c r="E186" s="914" t="s">
        <v>1283</v>
      </c>
      <c r="F186" s="915" t="s">
        <v>1288</v>
      </c>
      <c r="G186" s="921" t="s">
        <v>1285</v>
      </c>
      <c r="H186" s="921" t="s">
        <v>1210</v>
      </c>
      <c r="I186" s="917" t="s">
        <v>1562</v>
      </c>
      <c r="J186" s="917" t="s">
        <v>1288</v>
      </c>
      <c r="K186" s="916" t="s">
        <v>1492</v>
      </c>
      <c r="L186" s="914">
        <v>2016</v>
      </c>
      <c r="M186" s="922">
        <v>0.49752645355984487</v>
      </c>
      <c r="N186" s="918">
        <v>13367248.75</v>
      </c>
      <c r="O186" s="918">
        <v>26867413.088</v>
      </c>
      <c r="P186" s="933">
        <v>0.28606531312521799</v>
      </c>
      <c r="Q186" s="923">
        <v>0.41749255684676401</v>
      </c>
      <c r="R186" s="923">
        <v>0.58481646990440617</v>
      </c>
      <c r="S186" s="922">
        <v>0.5</v>
      </c>
      <c r="T186" s="922">
        <v>0.5</v>
      </c>
      <c r="U186" s="922">
        <v>0.5</v>
      </c>
      <c r="V186" s="922">
        <v>0.5</v>
      </c>
      <c r="W186" s="922">
        <v>0.5</v>
      </c>
      <c r="X186" s="933">
        <v>0.46995575840514514</v>
      </c>
      <c r="Y186" s="918">
        <v>16781284.649999999</v>
      </c>
      <c r="Z186" s="918">
        <v>35708222.210000001</v>
      </c>
      <c r="AA186" s="923">
        <v>0.5</v>
      </c>
      <c r="AB186" s="923">
        <v>0.54</v>
      </c>
      <c r="AC186" s="923">
        <v>0.53</v>
      </c>
      <c r="AD186" s="923">
        <v>0.55000000000000004</v>
      </c>
      <c r="AE186" s="923">
        <v>0.53</v>
      </c>
      <c r="AF186" s="916" t="s">
        <v>1240</v>
      </c>
      <c r="AG186" s="916" t="s">
        <v>1563</v>
      </c>
      <c r="AH186" s="916"/>
    </row>
    <row r="187" spans="1:34" ht="28.5">
      <c r="A187" s="914">
        <v>180</v>
      </c>
      <c r="B187" s="914" t="s">
        <v>228</v>
      </c>
      <c r="C187" s="914" t="s">
        <v>1489</v>
      </c>
      <c r="D187" s="914" t="s">
        <v>1561</v>
      </c>
      <c r="E187" s="914" t="s">
        <v>1283</v>
      </c>
      <c r="F187" s="915" t="s">
        <v>1290</v>
      </c>
      <c r="G187" s="921" t="s">
        <v>1285</v>
      </c>
      <c r="H187" s="921" t="s">
        <v>1210</v>
      </c>
      <c r="I187" s="917" t="s">
        <v>1562</v>
      </c>
      <c r="J187" s="917" t="s">
        <v>1290</v>
      </c>
      <c r="K187" s="916" t="s">
        <v>1492</v>
      </c>
      <c r="L187" s="914">
        <v>2016</v>
      </c>
      <c r="M187" s="918" t="s">
        <v>168</v>
      </c>
      <c r="N187" s="918" t="s">
        <v>168</v>
      </c>
      <c r="O187" s="918" t="s">
        <v>168</v>
      </c>
      <c r="P187" s="934" t="s">
        <v>168</v>
      </c>
      <c r="Q187" s="919" t="s">
        <v>168</v>
      </c>
      <c r="R187" s="919" t="s">
        <v>168</v>
      </c>
      <c r="S187" s="918" t="s">
        <v>168</v>
      </c>
      <c r="T187" s="918" t="s">
        <v>168</v>
      </c>
      <c r="U187" s="918" t="s">
        <v>168</v>
      </c>
      <c r="V187" s="918" t="s">
        <v>168</v>
      </c>
      <c r="W187" s="918" t="s">
        <v>168</v>
      </c>
      <c r="X187" s="934" t="s">
        <v>168</v>
      </c>
      <c r="Y187" s="918" t="s">
        <v>168</v>
      </c>
      <c r="Z187" s="918" t="s">
        <v>168</v>
      </c>
      <c r="AA187" s="919" t="s">
        <v>168</v>
      </c>
      <c r="AB187" s="919" t="s">
        <v>168</v>
      </c>
      <c r="AC187" s="919" t="s">
        <v>168</v>
      </c>
      <c r="AD187" s="919" t="s">
        <v>168</v>
      </c>
      <c r="AE187" s="919" t="s">
        <v>168</v>
      </c>
      <c r="AF187" s="916"/>
      <c r="AG187" s="916"/>
      <c r="AH187" s="916"/>
    </row>
    <row r="188" spans="1:34" ht="28.5">
      <c r="A188" s="914">
        <v>181</v>
      </c>
      <c r="B188" s="914" t="s">
        <v>228</v>
      </c>
      <c r="C188" s="914" t="s">
        <v>1489</v>
      </c>
      <c r="D188" s="914" t="s">
        <v>1561</v>
      </c>
      <c r="E188" s="914" t="s">
        <v>1283</v>
      </c>
      <c r="F188" s="915" t="s">
        <v>1291</v>
      </c>
      <c r="G188" s="921" t="s">
        <v>1285</v>
      </c>
      <c r="H188" s="921" t="s">
        <v>1210</v>
      </c>
      <c r="I188" s="917" t="s">
        <v>1562</v>
      </c>
      <c r="J188" s="917" t="s">
        <v>1291</v>
      </c>
      <c r="K188" s="916" t="s">
        <v>1492</v>
      </c>
      <c r="L188" s="914">
        <v>2016</v>
      </c>
      <c r="M188" s="918" t="s">
        <v>168</v>
      </c>
      <c r="N188" s="918" t="s">
        <v>168</v>
      </c>
      <c r="O188" s="918" t="s">
        <v>168</v>
      </c>
      <c r="P188" s="934" t="s">
        <v>168</v>
      </c>
      <c r="Q188" s="919" t="s">
        <v>168</v>
      </c>
      <c r="R188" s="919" t="s">
        <v>168</v>
      </c>
      <c r="S188" s="918" t="s">
        <v>168</v>
      </c>
      <c r="T188" s="918" t="s">
        <v>168</v>
      </c>
      <c r="U188" s="918" t="s">
        <v>168</v>
      </c>
      <c r="V188" s="918" t="s">
        <v>168</v>
      </c>
      <c r="W188" s="918" t="s">
        <v>168</v>
      </c>
      <c r="X188" s="934" t="s">
        <v>168</v>
      </c>
      <c r="Y188" s="918" t="s">
        <v>168</v>
      </c>
      <c r="Z188" s="918" t="s">
        <v>168</v>
      </c>
      <c r="AA188" s="919" t="s">
        <v>168</v>
      </c>
      <c r="AB188" s="919" t="s">
        <v>168</v>
      </c>
      <c r="AC188" s="919" t="s">
        <v>168</v>
      </c>
      <c r="AD188" s="919" t="s">
        <v>168</v>
      </c>
      <c r="AE188" s="919" t="s">
        <v>168</v>
      </c>
      <c r="AF188" s="916"/>
      <c r="AG188" s="916"/>
      <c r="AH188" s="916"/>
    </row>
    <row r="189" spans="1:34" ht="28.5">
      <c r="A189" s="914">
        <v>182</v>
      </c>
      <c r="B189" s="914" t="s">
        <v>228</v>
      </c>
      <c r="C189" s="914" t="s">
        <v>1489</v>
      </c>
      <c r="D189" s="914" t="s">
        <v>1561</v>
      </c>
      <c r="E189" s="914" t="s">
        <v>1283</v>
      </c>
      <c r="F189" s="915" t="s">
        <v>1292</v>
      </c>
      <c r="G189" s="921" t="s">
        <v>1285</v>
      </c>
      <c r="H189" s="921" t="s">
        <v>1210</v>
      </c>
      <c r="I189" s="917" t="s">
        <v>1562</v>
      </c>
      <c r="J189" s="917" t="s">
        <v>1292</v>
      </c>
      <c r="K189" s="916" t="s">
        <v>1492</v>
      </c>
      <c r="L189" s="914">
        <v>2016</v>
      </c>
      <c r="M189" s="922">
        <v>0.61392944218240175</v>
      </c>
      <c r="N189" s="918">
        <v>16494695.93</v>
      </c>
      <c r="O189" s="918">
        <v>26867413.088</v>
      </c>
      <c r="P189" s="933">
        <v>0.41794949378112445</v>
      </c>
      <c r="Q189" s="923">
        <v>0.57332075759052314</v>
      </c>
      <c r="R189" s="923">
        <v>0.76348329215781485</v>
      </c>
      <c r="S189" s="922">
        <v>0.61</v>
      </c>
      <c r="T189" s="922">
        <v>0.61</v>
      </c>
      <c r="U189" s="922">
        <v>0.61</v>
      </c>
      <c r="V189" s="922">
        <v>0.61</v>
      </c>
      <c r="W189" s="922">
        <v>0.61</v>
      </c>
      <c r="X189" s="933">
        <v>0.57059088184720919</v>
      </c>
      <c r="Y189" s="918">
        <v>20374786</v>
      </c>
      <c r="Z189" s="918">
        <v>35708222.210000001</v>
      </c>
      <c r="AA189" s="923">
        <v>0.61</v>
      </c>
      <c r="AB189" s="923">
        <v>0.67</v>
      </c>
      <c r="AC189" s="923">
        <v>0.66</v>
      </c>
      <c r="AD189" s="923">
        <v>0.68</v>
      </c>
      <c r="AE189" s="923">
        <v>0.66</v>
      </c>
      <c r="AF189" s="916" t="s">
        <v>1240</v>
      </c>
      <c r="AG189" s="916" t="s">
        <v>1564</v>
      </c>
      <c r="AH189" s="916"/>
    </row>
    <row r="190" spans="1:34" ht="85.5">
      <c r="A190" s="914">
        <v>183</v>
      </c>
      <c r="B190" s="914" t="s">
        <v>228</v>
      </c>
      <c r="C190" s="914" t="s">
        <v>1565</v>
      </c>
      <c r="D190" s="914" t="s">
        <v>1566</v>
      </c>
      <c r="E190" s="914" t="s">
        <v>1567</v>
      </c>
      <c r="F190" s="915" t="s">
        <v>1338</v>
      </c>
      <c r="G190" s="921" t="s">
        <v>1568</v>
      </c>
      <c r="H190" s="921" t="s">
        <v>1360</v>
      </c>
      <c r="I190" s="917" t="s">
        <v>1569</v>
      </c>
      <c r="J190" s="917" t="s">
        <v>1570</v>
      </c>
      <c r="K190" s="916" t="s">
        <v>1492</v>
      </c>
      <c r="L190" s="914">
        <v>2016</v>
      </c>
      <c r="M190" s="918">
        <v>0</v>
      </c>
      <c r="N190" s="918" t="s">
        <v>1363</v>
      </c>
      <c r="O190" s="918" t="s">
        <v>1363</v>
      </c>
      <c r="P190" s="919">
        <v>0</v>
      </c>
      <c r="Q190" s="919">
        <v>0</v>
      </c>
      <c r="R190" s="919">
        <v>0</v>
      </c>
      <c r="S190" s="918" t="s">
        <v>1363</v>
      </c>
      <c r="T190" s="918" t="s">
        <v>1363</v>
      </c>
      <c r="U190" s="918" t="s">
        <v>1363</v>
      </c>
      <c r="V190" s="918" t="s">
        <v>1363</v>
      </c>
      <c r="W190" s="918" t="s">
        <v>1363</v>
      </c>
      <c r="X190" s="934">
        <v>0</v>
      </c>
      <c r="Y190" s="918" t="s">
        <v>168</v>
      </c>
      <c r="Z190" s="918" t="s">
        <v>168</v>
      </c>
      <c r="AA190" s="919" t="s">
        <v>1363</v>
      </c>
      <c r="AB190" s="919" t="s">
        <v>1363</v>
      </c>
      <c r="AC190" s="919" t="s">
        <v>1363</v>
      </c>
      <c r="AD190" s="919" t="s">
        <v>1363</v>
      </c>
      <c r="AE190" s="919" t="s">
        <v>1363</v>
      </c>
      <c r="AF190" s="916" t="s">
        <v>1571</v>
      </c>
      <c r="AG190" s="916"/>
      <c r="AH190" s="916"/>
    </row>
    <row r="191" spans="1:34" ht="57">
      <c r="A191" s="914">
        <v>184</v>
      </c>
      <c r="B191" s="914" t="s">
        <v>228</v>
      </c>
      <c r="C191" s="914" t="s">
        <v>1565</v>
      </c>
      <c r="D191" s="914" t="s">
        <v>1566</v>
      </c>
      <c r="E191" s="914" t="s">
        <v>1572</v>
      </c>
      <c r="F191" s="915" t="s">
        <v>1338</v>
      </c>
      <c r="G191" s="921" t="s">
        <v>1568</v>
      </c>
      <c r="H191" s="921" t="s">
        <v>1360</v>
      </c>
      <c r="I191" s="917" t="s">
        <v>1573</v>
      </c>
      <c r="J191" s="917" t="s">
        <v>1574</v>
      </c>
      <c r="K191" s="916" t="s">
        <v>1492</v>
      </c>
      <c r="L191" s="914">
        <v>2016</v>
      </c>
      <c r="M191" s="918">
        <v>0</v>
      </c>
      <c r="N191" s="918" t="s">
        <v>1363</v>
      </c>
      <c r="O191" s="918" t="s">
        <v>1363</v>
      </c>
      <c r="P191" s="919">
        <v>0</v>
      </c>
      <c r="Q191" s="919">
        <v>0</v>
      </c>
      <c r="R191" s="919">
        <v>0</v>
      </c>
      <c r="S191" s="918" t="s">
        <v>1363</v>
      </c>
      <c r="T191" s="918" t="s">
        <v>1363</v>
      </c>
      <c r="U191" s="918" t="s">
        <v>1363</v>
      </c>
      <c r="V191" s="918" t="s">
        <v>1363</v>
      </c>
      <c r="W191" s="918" t="s">
        <v>1363</v>
      </c>
      <c r="X191" s="934">
        <v>0</v>
      </c>
      <c r="Y191" s="918" t="s">
        <v>168</v>
      </c>
      <c r="Z191" s="918" t="s">
        <v>168</v>
      </c>
      <c r="AA191" s="919" t="s">
        <v>1363</v>
      </c>
      <c r="AB191" s="919" t="s">
        <v>1363</v>
      </c>
      <c r="AC191" s="919" t="s">
        <v>1363</v>
      </c>
      <c r="AD191" s="919" t="s">
        <v>1363</v>
      </c>
      <c r="AE191" s="919" t="s">
        <v>1363</v>
      </c>
      <c r="AF191" s="916" t="s">
        <v>1575</v>
      </c>
      <c r="AG191" s="916"/>
      <c r="AH191" s="916"/>
    </row>
    <row r="192" spans="1:34" ht="42.75">
      <c r="A192" s="914">
        <v>185</v>
      </c>
      <c r="B192" s="914" t="s">
        <v>228</v>
      </c>
      <c r="C192" s="914" t="s">
        <v>1565</v>
      </c>
      <c r="D192" s="914" t="s">
        <v>1576</v>
      </c>
      <c r="E192" s="914" t="s">
        <v>1577</v>
      </c>
      <c r="F192" s="915" t="s">
        <v>1338</v>
      </c>
      <c r="G192" s="921" t="s">
        <v>1578</v>
      </c>
      <c r="H192" s="921" t="s">
        <v>1360</v>
      </c>
      <c r="I192" s="917" t="s">
        <v>1579</v>
      </c>
      <c r="J192" s="917" t="s">
        <v>1580</v>
      </c>
      <c r="K192" s="916" t="s">
        <v>1492</v>
      </c>
      <c r="L192" s="914" t="s">
        <v>1364</v>
      </c>
      <c r="M192" s="918" t="s">
        <v>1363</v>
      </c>
      <c r="N192" s="918" t="s">
        <v>1363</v>
      </c>
      <c r="O192" s="918" t="s">
        <v>1363</v>
      </c>
      <c r="P192" s="919" t="s">
        <v>1364</v>
      </c>
      <c r="Q192" s="919" t="s">
        <v>1364</v>
      </c>
      <c r="R192" s="919" t="s">
        <v>1364</v>
      </c>
      <c r="S192" s="918" t="s">
        <v>1363</v>
      </c>
      <c r="T192" s="918" t="s">
        <v>1363</v>
      </c>
      <c r="U192" s="918" t="s">
        <v>1363</v>
      </c>
      <c r="V192" s="918" t="s">
        <v>1363</v>
      </c>
      <c r="W192" s="918" t="s">
        <v>1363</v>
      </c>
      <c r="X192" s="934" t="s">
        <v>1364</v>
      </c>
      <c r="Y192" s="918" t="s">
        <v>168</v>
      </c>
      <c r="Z192" s="918" t="s">
        <v>168</v>
      </c>
      <c r="AA192" s="919" t="s">
        <v>1363</v>
      </c>
      <c r="AB192" s="919" t="s">
        <v>1363</v>
      </c>
      <c r="AC192" s="919" t="s">
        <v>1363</v>
      </c>
      <c r="AD192" s="919" t="s">
        <v>1363</v>
      </c>
      <c r="AE192" s="919" t="s">
        <v>1363</v>
      </c>
      <c r="AF192" s="916" t="s">
        <v>1581</v>
      </c>
      <c r="AG192" s="916"/>
      <c r="AH192" s="916"/>
    </row>
    <row r="193" spans="1:34" ht="42.75">
      <c r="A193" s="914">
        <v>186</v>
      </c>
      <c r="B193" s="914" t="s">
        <v>228</v>
      </c>
      <c r="C193" s="914" t="s">
        <v>1565</v>
      </c>
      <c r="D193" s="914" t="s">
        <v>1576</v>
      </c>
      <c r="E193" s="914" t="s">
        <v>1582</v>
      </c>
      <c r="F193" s="915" t="s">
        <v>1338</v>
      </c>
      <c r="G193" s="921" t="s">
        <v>1578</v>
      </c>
      <c r="H193" s="921" t="s">
        <v>1360</v>
      </c>
      <c r="I193" s="917" t="s">
        <v>1583</v>
      </c>
      <c r="J193" s="917" t="s">
        <v>1584</v>
      </c>
      <c r="K193" s="916" t="s">
        <v>1492</v>
      </c>
      <c r="L193" s="914" t="s">
        <v>1364</v>
      </c>
      <c r="M193" s="918" t="s">
        <v>1363</v>
      </c>
      <c r="N193" s="918" t="s">
        <v>1363</v>
      </c>
      <c r="O193" s="918" t="s">
        <v>1363</v>
      </c>
      <c r="P193" s="919" t="s">
        <v>1364</v>
      </c>
      <c r="Q193" s="919" t="s">
        <v>1364</v>
      </c>
      <c r="R193" s="919" t="s">
        <v>1364</v>
      </c>
      <c r="S193" s="918" t="s">
        <v>1363</v>
      </c>
      <c r="T193" s="918" t="s">
        <v>1363</v>
      </c>
      <c r="U193" s="918" t="s">
        <v>1363</v>
      </c>
      <c r="V193" s="918" t="s">
        <v>1363</v>
      </c>
      <c r="W193" s="918" t="s">
        <v>1363</v>
      </c>
      <c r="X193" s="934" t="s">
        <v>1364</v>
      </c>
      <c r="Y193" s="918" t="s">
        <v>168</v>
      </c>
      <c r="Z193" s="918" t="s">
        <v>168</v>
      </c>
      <c r="AA193" s="919" t="s">
        <v>1363</v>
      </c>
      <c r="AB193" s="919" t="s">
        <v>1363</v>
      </c>
      <c r="AC193" s="919" t="s">
        <v>1363</v>
      </c>
      <c r="AD193" s="919" t="s">
        <v>1363</v>
      </c>
      <c r="AE193" s="919" t="s">
        <v>1363</v>
      </c>
      <c r="AF193" s="916" t="s">
        <v>1581</v>
      </c>
      <c r="AG193" s="916"/>
      <c r="AH193" s="916"/>
    </row>
    <row r="194" spans="1:34" ht="57">
      <c r="A194" s="914">
        <v>187</v>
      </c>
      <c r="B194" s="914" t="s">
        <v>228</v>
      </c>
      <c r="C194" s="914" t="s">
        <v>1565</v>
      </c>
      <c r="D194" s="914" t="s">
        <v>1585</v>
      </c>
      <c r="E194" s="914" t="s">
        <v>1586</v>
      </c>
      <c r="F194" s="915" t="s">
        <v>1338</v>
      </c>
      <c r="G194" s="921" t="s">
        <v>1587</v>
      </c>
      <c r="H194" s="921" t="s">
        <v>1360</v>
      </c>
      <c r="I194" s="917" t="s">
        <v>1588</v>
      </c>
      <c r="J194" s="917" t="s">
        <v>1589</v>
      </c>
      <c r="K194" s="916" t="s">
        <v>1492</v>
      </c>
      <c r="L194" s="914" t="s">
        <v>1364</v>
      </c>
      <c r="M194" s="918" t="s">
        <v>1363</v>
      </c>
      <c r="N194" s="918" t="s">
        <v>1363</v>
      </c>
      <c r="O194" s="918" t="s">
        <v>1363</v>
      </c>
      <c r="P194" s="919" t="s">
        <v>1364</v>
      </c>
      <c r="Q194" s="919" t="s">
        <v>1364</v>
      </c>
      <c r="R194" s="919" t="s">
        <v>1364</v>
      </c>
      <c r="S194" s="918" t="s">
        <v>1363</v>
      </c>
      <c r="T194" s="918" t="s">
        <v>1363</v>
      </c>
      <c r="U194" s="918" t="s">
        <v>1363</v>
      </c>
      <c r="V194" s="918" t="s">
        <v>1363</v>
      </c>
      <c r="W194" s="918" t="s">
        <v>1363</v>
      </c>
      <c r="X194" s="934" t="s">
        <v>1364</v>
      </c>
      <c r="Y194" s="918" t="s">
        <v>168</v>
      </c>
      <c r="Z194" s="918" t="s">
        <v>168</v>
      </c>
      <c r="AA194" s="919" t="s">
        <v>1363</v>
      </c>
      <c r="AB194" s="919" t="s">
        <v>1363</v>
      </c>
      <c r="AC194" s="919" t="s">
        <v>1363</v>
      </c>
      <c r="AD194" s="919" t="s">
        <v>1363</v>
      </c>
      <c r="AE194" s="919" t="s">
        <v>1363</v>
      </c>
      <c r="AF194" s="916" t="s">
        <v>1590</v>
      </c>
      <c r="AG194" s="916"/>
      <c r="AH194" s="916"/>
    </row>
    <row r="195" spans="1:34" ht="57">
      <c r="A195" s="914">
        <v>188</v>
      </c>
      <c r="B195" s="914" t="s">
        <v>228</v>
      </c>
      <c r="C195" s="914" t="s">
        <v>1565</v>
      </c>
      <c r="D195" s="914" t="s">
        <v>1337</v>
      </c>
      <c r="E195" s="914" t="s">
        <v>1242</v>
      </c>
      <c r="F195" s="915" t="s">
        <v>1243</v>
      </c>
      <c r="G195" s="921" t="s">
        <v>1244</v>
      </c>
      <c r="H195" s="921" t="s">
        <v>1210</v>
      </c>
      <c r="I195" s="917" t="s">
        <v>1591</v>
      </c>
      <c r="J195" s="917" t="s">
        <v>1243</v>
      </c>
      <c r="K195" s="916" t="s">
        <v>1592</v>
      </c>
      <c r="L195" s="914">
        <v>2016</v>
      </c>
      <c r="M195" s="918" t="s">
        <v>168</v>
      </c>
      <c r="N195" s="918" t="s">
        <v>168</v>
      </c>
      <c r="O195" s="918" t="s">
        <v>168</v>
      </c>
      <c r="P195" s="919" t="s">
        <v>168</v>
      </c>
      <c r="Q195" s="919" t="s">
        <v>168</v>
      </c>
      <c r="R195" s="919" t="s">
        <v>168</v>
      </c>
      <c r="S195" s="918" t="s">
        <v>168</v>
      </c>
      <c r="T195" s="918" t="s">
        <v>168</v>
      </c>
      <c r="U195" s="918" t="s">
        <v>168</v>
      </c>
      <c r="V195" s="918" t="s">
        <v>168</v>
      </c>
      <c r="W195" s="918" t="s">
        <v>168</v>
      </c>
      <c r="X195" s="934" t="s">
        <v>168</v>
      </c>
      <c r="Y195" s="918" t="s">
        <v>168</v>
      </c>
      <c r="Z195" s="918" t="s">
        <v>168</v>
      </c>
      <c r="AA195" s="919" t="s">
        <v>168</v>
      </c>
      <c r="AB195" s="919" t="s">
        <v>168</v>
      </c>
      <c r="AC195" s="919" t="s">
        <v>168</v>
      </c>
      <c r="AD195" s="919" t="s">
        <v>168</v>
      </c>
      <c r="AE195" s="919" t="s">
        <v>168</v>
      </c>
      <c r="AF195" s="916"/>
      <c r="AG195" s="916"/>
      <c r="AH195" s="916"/>
    </row>
    <row r="196" spans="1:34" ht="57">
      <c r="A196" s="914">
        <v>189</v>
      </c>
      <c r="B196" s="914" t="s">
        <v>228</v>
      </c>
      <c r="C196" s="914" t="s">
        <v>1565</v>
      </c>
      <c r="D196" s="914" t="s">
        <v>1337</v>
      </c>
      <c r="E196" s="914" t="s">
        <v>1242</v>
      </c>
      <c r="F196" s="915" t="s">
        <v>1246</v>
      </c>
      <c r="G196" s="921" t="s">
        <v>1244</v>
      </c>
      <c r="H196" s="921" t="s">
        <v>1210</v>
      </c>
      <c r="I196" s="917" t="s">
        <v>1591</v>
      </c>
      <c r="J196" s="917" t="s">
        <v>1246</v>
      </c>
      <c r="K196" s="916" t="s">
        <v>1592</v>
      </c>
      <c r="L196" s="914">
        <v>2016</v>
      </c>
      <c r="M196" s="918" t="s">
        <v>168</v>
      </c>
      <c r="N196" s="918" t="s">
        <v>168</v>
      </c>
      <c r="O196" s="918" t="s">
        <v>168</v>
      </c>
      <c r="P196" s="919" t="s">
        <v>168</v>
      </c>
      <c r="Q196" s="919" t="s">
        <v>168</v>
      </c>
      <c r="R196" s="919" t="s">
        <v>168</v>
      </c>
      <c r="S196" s="918" t="s">
        <v>168</v>
      </c>
      <c r="T196" s="918" t="s">
        <v>168</v>
      </c>
      <c r="U196" s="918" t="s">
        <v>168</v>
      </c>
      <c r="V196" s="918" t="s">
        <v>168</v>
      </c>
      <c r="W196" s="918" t="s">
        <v>168</v>
      </c>
      <c r="X196" s="934" t="s">
        <v>168</v>
      </c>
      <c r="Y196" s="918" t="s">
        <v>168</v>
      </c>
      <c r="Z196" s="918" t="s">
        <v>168</v>
      </c>
      <c r="AA196" s="919" t="s">
        <v>168</v>
      </c>
      <c r="AB196" s="919" t="s">
        <v>168</v>
      </c>
      <c r="AC196" s="919" t="s">
        <v>168</v>
      </c>
      <c r="AD196" s="919" t="s">
        <v>168</v>
      </c>
      <c r="AE196" s="919" t="s">
        <v>168</v>
      </c>
      <c r="AF196" s="916"/>
      <c r="AG196" s="916"/>
      <c r="AH196" s="916"/>
    </row>
    <row r="197" spans="1:34" ht="57">
      <c r="A197" s="914">
        <v>190</v>
      </c>
      <c r="B197" s="914" t="s">
        <v>228</v>
      </c>
      <c r="C197" s="914" t="s">
        <v>1565</v>
      </c>
      <c r="D197" s="914" t="s">
        <v>1337</v>
      </c>
      <c r="E197" s="914" t="s">
        <v>1242</v>
      </c>
      <c r="F197" s="915" t="s">
        <v>1247</v>
      </c>
      <c r="G197" s="921" t="s">
        <v>1244</v>
      </c>
      <c r="H197" s="921" t="s">
        <v>1210</v>
      </c>
      <c r="I197" s="917" t="s">
        <v>1591</v>
      </c>
      <c r="J197" s="917" t="s">
        <v>1247</v>
      </c>
      <c r="K197" s="916" t="s">
        <v>1592</v>
      </c>
      <c r="L197" s="914">
        <v>2016</v>
      </c>
      <c r="M197" s="918" t="s">
        <v>168</v>
      </c>
      <c r="N197" s="918" t="s">
        <v>168</v>
      </c>
      <c r="O197" s="918" t="s">
        <v>168</v>
      </c>
      <c r="P197" s="919" t="s">
        <v>168</v>
      </c>
      <c r="Q197" s="919" t="s">
        <v>168</v>
      </c>
      <c r="R197" s="919" t="s">
        <v>168</v>
      </c>
      <c r="S197" s="918" t="s">
        <v>168</v>
      </c>
      <c r="T197" s="918" t="s">
        <v>168</v>
      </c>
      <c r="U197" s="918" t="s">
        <v>168</v>
      </c>
      <c r="V197" s="918" t="s">
        <v>168</v>
      </c>
      <c r="W197" s="918" t="s">
        <v>168</v>
      </c>
      <c r="X197" s="934" t="s">
        <v>168</v>
      </c>
      <c r="Y197" s="918" t="s">
        <v>168</v>
      </c>
      <c r="Z197" s="918" t="s">
        <v>168</v>
      </c>
      <c r="AA197" s="919" t="s">
        <v>168</v>
      </c>
      <c r="AB197" s="919" t="s">
        <v>168</v>
      </c>
      <c r="AC197" s="919" t="s">
        <v>168</v>
      </c>
      <c r="AD197" s="919" t="s">
        <v>168</v>
      </c>
      <c r="AE197" s="919" t="s">
        <v>168</v>
      </c>
      <c r="AF197" s="916"/>
      <c r="AG197" s="916"/>
      <c r="AH197" s="916"/>
    </row>
    <row r="198" spans="1:34" ht="57">
      <c r="A198" s="914">
        <v>191</v>
      </c>
      <c r="B198" s="914" t="s">
        <v>228</v>
      </c>
      <c r="C198" s="914" t="s">
        <v>1565</v>
      </c>
      <c r="D198" s="914" t="s">
        <v>1337</v>
      </c>
      <c r="E198" s="914" t="s">
        <v>1242</v>
      </c>
      <c r="F198" s="915" t="s">
        <v>1248</v>
      </c>
      <c r="G198" s="921" t="s">
        <v>1244</v>
      </c>
      <c r="H198" s="921" t="s">
        <v>1210</v>
      </c>
      <c r="I198" s="917" t="s">
        <v>1591</v>
      </c>
      <c r="J198" s="917" t="s">
        <v>1248</v>
      </c>
      <c r="K198" s="916" t="s">
        <v>1592</v>
      </c>
      <c r="L198" s="914">
        <v>2016</v>
      </c>
      <c r="M198" s="918" t="s">
        <v>168</v>
      </c>
      <c r="N198" s="918" t="s">
        <v>168</v>
      </c>
      <c r="O198" s="918" t="s">
        <v>168</v>
      </c>
      <c r="P198" s="919" t="s">
        <v>168</v>
      </c>
      <c r="Q198" s="919" t="s">
        <v>168</v>
      </c>
      <c r="R198" s="919" t="s">
        <v>168</v>
      </c>
      <c r="S198" s="918" t="s">
        <v>168</v>
      </c>
      <c r="T198" s="918" t="s">
        <v>168</v>
      </c>
      <c r="U198" s="918" t="s">
        <v>168</v>
      </c>
      <c r="V198" s="918" t="s">
        <v>168</v>
      </c>
      <c r="W198" s="918" t="s">
        <v>168</v>
      </c>
      <c r="X198" s="934" t="s">
        <v>168</v>
      </c>
      <c r="Y198" s="918" t="s">
        <v>168</v>
      </c>
      <c r="Z198" s="918" t="s">
        <v>168</v>
      </c>
      <c r="AA198" s="919" t="s">
        <v>168</v>
      </c>
      <c r="AB198" s="919" t="s">
        <v>168</v>
      </c>
      <c r="AC198" s="919" t="s">
        <v>168</v>
      </c>
      <c r="AD198" s="919" t="s">
        <v>168</v>
      </c>
      <c r="AE198" s="919" t="s">
        <v>168</v>
      </c>
      <c r="AF198" s="916"/>
      <c r="AG198" s="916"/>
      <c r="AH198" s="916"/>
    </row>
    <row r="199" spans="1:34" ht="57">
      <c r="A199" s="914">
        <v>192</v>
      </c>
      <c r="B199" s="914" t="s">
        <v>228</v>
      </c>
      <c r="C199" s="914" t="s">
        <v>1565</v>
      </c>
      <c r="D199" s="914" t="s">
        <v>1337</v>
      </c>
      <c r="E199" s="914" t="s">
        <v>1242</v>
      </c>
      <c r="F199" s="915" t="s">
        <v>1249</v>
      </c>
      <c r="G199" s="921" t="s">
        <v>1244</v>
      </c>
      <c r="H199" s="921" t="s">
        <v>1210</v>
      </c>
      <c r="I199" s="917" t="s">
        <v>1591</v>
      </c>
      <c r="J199" s="917" t="s">
        <v>1249</v>
      </c>
      <c r="K199" s="916" t="s">
        <v>1592</v>
      </c>
      <c r="L199" s="914">
        <v>2016</v>
      </c>
      <c r="M199" s="918">
        <v>884283.07996999996</v>
      </c>
      <c r="N199" s="918" t="s">
        <v>168</v>
      </c>
      <c r="O199" s="918" t="s">
        <v>168</v>
      </c>
      <c r="P199" s="919">
        <v>815152.67656000005</v>
      </c>
      <c r="Q199" s="919">
        <v>721490.05</v>
      </c>
      <c r="R199" s="919">
        <v>1408766.01</v>
      </c>
      <c r="S199" s="918">
        <v>897547.32616954984</v>
      </c>
      <c r="T199" s="918">
        <v>897547.32616954984</v>
      </c>
      <c r="U199" s="918">
        <v>901968.74156939995</v>
      </c>
      <c r="V199" s="918">
        <v>3050776.6258964995</v>
      </c>
      <c r="W199" s="918">
        <v>2387564.3159190002</v>
      </c>
      <c r="X199" s="934">
        <v>1284951.8400000001</v>
      </c>
      <c r="Y199" s="918" t="s">
        <v>168</v>
      </c>
      <c r="Z199" s="918" t="s">
        <v>168</v>
      </c>
      <c r="AA199" s="919">
        <v>3051133</v>
      </c>
      <c r="AB199" s="919">
        <v>2928274</v>
      </c>
      <c r="AC199" s="919">
        <v>3252342</v>
      </c>
      <c r="AD199" s="919">
        <v>3240597</v>
      </c>
      <c r="AE199" s="919">
        <v>3246605</v>
      </c>
      <c r="AF199" s="916" t="s">
        <v>1493</v>
      </c>
      <c r="AG199" s="916" t="s">
        <v>1593</v>
      </c>
      <c r="AH199" s="916"/>
    </row>
    <row r="200" spans="1:34" ht="57">
      <c r="A200" s="914">
        <v>193</v>
      </c>
      <c r="B200" s="914" t="s">
        <v>228</v>
      </c>
      <c r="C200" s="914" t="s">
        <v>1565</v>
      </c>
      <c r="D200" s="914" t="s">
        <v>1337</v>
      </c>
      <c r="E200" s="914" t="s">
        <v>1242</v>
      </c>
      <c r="F200" s="915" t="s">
        <v>1250</v>
      </c>
      <c r="G200" s="921" t="s">
        <v>1244</v>
      </c>
      <c r="H200" s="921" t="s">
        <v>1210</v>
      </c>
      <c r="I200" s="917" t="s">
        <v>1591</v>
      </c>
      <c r="J200" s="917" t="s">
        <v>1250</v>
      </c>
      <c r="K200" s="916" t="s">
        <v>1592</v>
      </c>
      <c r="L200" s="914">
        <v>2016</v>
      </c>
      <c r="M200" s="918">
        <v>630567.46573000005</v>
      </c>
      <c r="N200" s="918" t="s">
        <v>168</v>
      </c>
      <c r="O200" s="918" t="s">
        <v>168</v>
      </c>
      <c r="P200" s="919">
        <v>567915.30524999998</v>
      </c>
      <c r="Q200" s="919">
        <v>530464.17000000004</v>
      </c>
      <c r="R200" s="919">
        <v>1083631.48</v>
      </c>
      <c r="S200" s="918">
        <v>640025.97771594999</v>
      </c>
      <c r="T200" s="918">
        <v>640025.97771594999</v>
      </c>
      <c r="U200" s="918">
        <v>643178.81504460005</v>
      </c>
      <c r="V200" s="918">
        <v>2175457.7567685</v>
      </c>
      <c r="W200" s="918">
        <v>1702532.1574710002</v>
      </c>
      <c r="X200" s="934">
        <v>1113089.55</v>
      </c>
      <c r="Y200" s="918" t="s">
        <v>168</v>
      </c>
      <c r="Z200" s="918" t="s">
        <v>168</v>
      </c>
      <c r="AA200" s="919">
        <v>2175457.7567685</v>
      </c>
      <c r="AB200" s="919">
        <v>1755361</v>
      </c>
      <c r="AC200" s="919">
        <v>1946199</v>
      </c>
      <c r="AD200" s="919">
        <v>1940919</v>
      </c>
      <c r="AE200" s="919">
        <v>1937501</v>
      </c>
      <c r="AF200" s="916" t="s">
        <v>1493</v>
      </c>
      <c r="AG200" s="916" t="s">
        <v>1593</v>
      </c>
      <c r="AH200" s="916"/>
    </row>
    <row r="201" spans="1:34" ht="57">
      <c r="A201" s="914">
        <v>194</v>
      </c>
      <c r="B201" s="914" t="s">
        <v>228</v>
      </c>
      <c r="C201" s="914" t="s">
        <v>1565</v>
      </c>
      <c r="D201" s="914" t="s">
        <v>1337</v>
      </c>
      <c r="E201" s="914" t="s">
        <v>1242</v>
      </c>
      <c r="F201" s="915" t="s">
        <v>1251</v>
      </c>
      <c r="G201" s="921" t="s">
        <v>1244</v>
      </c>
      <c r="H201" s="921" t="s">
        <v>1210</v>
      </c>
      <c r="I201" s="917" t="s">
        <v>1591</v>
      </c>
      <c r="J201" s="917" t="s">
        <v>1251</v>
      </c>
      <c r="K201" s="916" t="s">
        <v>1592</v>
      </c>
      <c r="L201" s="914">
        <v>2016</v>
      </c>
      <c r="M201" s="918" t="s">
        <v>168</v>
      </c>
      <c r="N201" s="918" t="s">
        <v>168</v>
      </c>
      <c r="O201" s="918" t="s">
        <v>168</v>
      </c>
      <c r="P201" s="919" t="s">
        <v>168</v>
      </c>
      <c r="Q201" s="919" t="s">
        <v>168</v>
      </c>
      <c r="R201" s="919" t="s">
        <v>168</v>
      </c>
      <c r="S201" s="918" t="s">
        <v>168</v>
      </c>
      <c r="T201" s="918" t="s">
        <v>168</v>
      </c>
      <c r="U201" s="918" t="s">
        <v>168</v>
      </c>
      <c r="V201" s="918" t="s">
        <v>168</v>
      </c>
      <c r="W201" s="918" t="s">
        <v>168</v>
      </c>
      <c r="X201" s="934" t="s">
        <v>168</v>
      </c>
      <c r="Y201" s="918" t="s">
        <v>168</v>
      </c>
      <c r="Z201" s="918" t="s">
        <v>168</v>
      </c>
      <c r="AA201" s="919" t="s">
        <v>168</v>
      </c>
      <c r="AB201" s="919" t="s">
        <v>168</v>
      </c>
      <c r="AC201" s="919" t="s">
        <v>168</v>
      </c>
      <c r="AD201" s="919" t="s">
        <v>168</v>
      </c>
      <c r="AE201" s="919" t="s">
        <v>168</v>
      </c>
      <c r="AF201" s="916"/>
      <c r="AG201" s="916"/>
      <c r="AH201" s="916"/>
    </row>
    <row r="202" spans="1:34" ht="57">
      <c r="A202" s="914">
        <v>195</v>
      </c>
      <c r="B202" s="914" t="s">
        <v>228</v>
      </c>
      <c r="C202" s="914" t="s">
        <v>1565</v>
      </c>
      <c r="D202" s="914" t="s">
        <v>1337</v>
      </c>
      <c r="E202" s="914" t="s">
        <v>1242</v>
      </c>
      <c r="F202" s="915" t="s">
        <v>1252</v>
      </c>
      <c r="G202" s="921" t="s">
        <v>1244</v>
      </c>
      <c r="H202" s="921" t="s">
        <v>1210</v>
      </c>
      <c r="I202" s="917" t="s">
        <v>1591</v>
      </c>
      <c r="J202" s="917" t="s">
        <v>1252</v>
      </c>
      <c r="K202" s="916" t="s">
        <v>1592</v>
      </c>
      <c r="L202" s="914">
        <v>2016</v>
      </c>
      <c r="M202" s="918" t="s">
        <v>168</v>
      </c>
      <c r="N202" s="918" t="s">
        <v>168</v>
      </c>
      <c r="O202" s="918" t="s">
        <v>168</v>
      </c>
      <c r="P202" s="919" t="s">
        <v>168</v>
      </c>
      <c r="Q202" s="919" t="s">
        <v>168</v>
      </c>
      <c r="R202" s="919" t="s">
        <v>168</v>
      </c>
      <c r="S202" s="918" t="s">
        <v>168</v>
      </c>
      <c r="T202" s="918" t="s">
        <v>168</v>
      </c>
      <c r="U202" s="918" t="s">
        <v>168</v>
      </c>
      <c r="V202" s="918" t="s">
        <v>168</v>
      </c>
      <c r="W202" s="918" t="s">
        <v>168</v>
      </c>
      <c r="X202" s="934" t="s">
        <v>168</v>
      </c>
      <c r="Y202" s="918" t="s">
        <v>168</v>
      </c>
      <c r="Z202" s="918" t="s">
        <v>168</v>
      </c>
      <c r="AA202" s="919" t="s">
        <v>168</v>
      </c>
      <c r="AB202" s="919" t="s">
        <v>168</v>
      </c>
      <c r="AC202" s="919" t="s">
        <v>168</v>
      </c>
      <c r="AD202" s="919" t="s">
        <v>168</v>
      </c>
      <c r="AE202" s="919" t="s">
        <v>168</v>
      </c>
      <c r="AF202" s="916"/>
      <c r="AG202" s="916"/>
      <c r="AH202" s="916"/>
    </row>
    <row r="203" spans="1:34" ht="57">
      <c r="A203" s="914">
        <v>196</v>
      </c>
      <c r="B203" s="914" t="s">
        <v>228</v>
      </c>
      <c r="C203" s="914" t="s">
        <v>1565</v>
      </c>
      <c r="D203" s="914" t="s">
        <v>1337</v>
      </c>
      <c r="E203" s="914" t="s">
        <v>1242</v>
      </c>
      <c r="F203" s="915" t="s">
        <v>1253</v>
      </c>
      <c r="G203" s="921" t="s">
        <v>1244</v>
      </c>
      <c r="H203" s="921" t="s">
        <v>1210</v>
      </c>
      <c r="I203" s="917" t="s">
        <v>1591</v>
      </c>
      <c r="J203" s="917" t="s">
        <v>1253</v>
      </c>
      <c r="K203" s="916" t="s">
        <v>1592</v>
      </c>
      <c r="L203" s="914">
        <v>2016</v>
      </c>
      <c r="M203" s="918" t="s">
        <v>168</v>
      </c>
      <c r="N203" s="918" t="s">
        <v>168</v>
      </c>
      <c r="O203" s="918" t="s">
        <v>168</v>
      </c>
      <c r="P203" s="919" t="s">
        <v>168</v>
      </c>
      <c r="Q203" s="919" t="s">
        <v>168</v>
      </c>
      <c r="R203" s="919" t="s">
        <v>168</v>
      </c>
      <c r="S203" s="918" t="s">
        <v>168</v>
      </c>
      <c r="T203" s="918" t="s">
        <v>168</v>
      </c>
      <c r="U203" s="918" t="s">
        <v>168</v>
      </c>
      <c r="V203" s="918" t="s">
        <v>168</v>
      </c>
      <c r="W203" s="918" t="s">
        <v>168</v>
      </c>
      <c r="X203" s="934" t="s">
        <v>168</v>
      </c>
      <c r="Y203" s="918" t="s">
        <v>168</v>
      </c>
      <c r="Z203" s="918" t="s">
        <v>168</v>
      </c>
      <c r="AA203" s="919" t="s">
        <v>168</v>
      </c>
      <c r="AB203" s="919" t="s">
        <v>168</v>
      </c>
      <c r="AC203" s="919" t="s">
        <v>168</v>
      </c>
      <c r="AD203" s="919" t="s">
        <v>168</v>
      </c>
      <c r="AE203" s="919" t="s">
        <v>168</v>
      </c>
      <c r="AF203" s="916"/>
      <c r="AG203" s="916"/>
      <c r="AH203" s="916"/>
    </row>
    <row r="204" spans="1:34" ht="57">
      <c r="A204" s="914">
        <v>197</v>
      </c>
      <c r="B204" s="914" t="s">
        <v>228</v>
      </c>
      <c r="C204" s="914" t="s">
        <v>1565</v>
      </c>
      <c r="D204" s="914" t="s">
        <v>1337</v>
      </c>
      <c r="E204" s="914" t="s">
        <v>1242</v>
      </c>
      <c r="F204" s="915" t="s">
        <v>1254</v>
      </c>
      <c r="G204" s="921" t="s">
        <v>1244</v>
      </c>
      <c r="H204" s="921" t="s">
        <v>1210</v>
      </c>
      <c r="I204" s="917" t="s">
        <v>1591</v>
      </c>
      <c r="J204" s="917" t="s">
        <v>1254</v>
      </c>
      <c r="K204" s="916" t="s">
        <v>1592</v>
      </c>
      <c r="L204" s="914">
        <v>2016</v>
      </c>
      <c r="M204" s="918" t="s">
        <v>168</v>
      </c>
      <c r="N204" s="918" t="s">
        <v>168</v>
      </c>
      <c r="O204" s="918" t="s">
        <v>168</v>
      </c>
      <c r="P204" s="919" t="s">
        <v>168</v>
      </c>
      <c r="Q204" s="919" t="s">
        <v>168</v>
      </c>
      <c r="R204" s="919" t="s">
        <v>168</v>
      </c>
      <c r="S204" s="918" t="s">
        <v>168</v>
      </c>
      <c r="T204" s="918" t="s">
        <v>168</v>
      </c>
      <c r="U204" s="918" t="s">
        <v>168</v>
      </c>
      <c r="V204" s="918" t="s">
        <v>168</v>
      </c>
      <c r="W204" s="918" t="s">
        <v>168</v>
      </c>
      <c r="X204" s="934" t="s">
        <v>168</v>
      </c>
      <c r="Y204" s="918" t="s">
        <v>168</v>
      </c>
      <c r="Z204" s="918" t="s">
        <v>168</v>
      </c>
      <c r="AA204" s="919" t="s">
        <v>168</v>
      </c>
      <c r="AB204" s="919" t="s">
        <v>168</v>
      </c>
      <c r="AC204" s="919" t="s">
        <v>168</v>
      </c>
      <c r="AD204" s="919" t="s">
        <v>168</v>
      </c>
      <c r="AE204" s="919" t="s">
        <v>168</v>
      </c>
      <c r="AF204" s="916"/>
      <c r="AG204" s="916"/>
      <c r="AH204" s="916"/>
    </row>
    <row r="205" spans="1:34" ht="57">
      <c r="A205" s="914">
        <v>198</v>
      </c>
      <c r="B205" s="914" t="s">
        <v>228</v>
      </c>
      <c r="C205" s="914" t="s">
        <v>1565</v>
      </c>
      <c r="D205" s="914" t="s">
        <v>1337</v>
      </c>
      <c r="E205" s="914" t="s">
        <v>1242</v>
      </c>
      <c r="F205" s="915" t="s">
        <v>1255</v>
      </c>
      <c r="G205" s="921" t="s">
        <v>1244</v>
      </c>
      <c r="H205" s="921" t="s">
        <v>1210</v>
      </c>
      <c r="I205" s="917" t="s">
        <v>1591</v>
      </c>
      <c r="J205" s="917" t="s">
        <v>1255</v>
      </c>
      <c r="K205" s="916" t="s">
        <v>1592</v>
      </c>
      <c r="L205" s="914">
        <v>2016</v>
      </c>
      <c r="M205" s="918">
        <v>7687113.2713000001</v>
      </c>
      <c r="N205" s="918" t="s">
        <v>168</v>
      </c>
      <c r="O205" s="918" t="s">
        <v>168</v>
      </c>
      <c r="P205" s="919">
        <v>8570955.6152999997</v>
      </c>
      <c r="Q205" s="919">
        <v>7535756.9800000004</v>
      </c>
      <c r="R205" s="919">
        <v>15074701.77</v>
      </c>
      <c r="S205" s="918">
        <v>7802419.9703694992</v>
      </c>
      <c r="T205" s="918">
        <v>7802419.9703694992</v>
      </c>
      <c r="U205" s="918">
        <v>7840855.5367260007</v>
      </c>
      <c r="V205" s="918">
        <v>26520540.785984997</v>
      </c>
      <c r="W205" s="918">
        <v>20755205.832510002</v>
      </c>
      <c r="X205" s="934">
        <v>7171766.4299999997</v>
      </c>
      <c r="Y205" s="918" t="s">
        <v>168</v>
      </c>
      <c r="Z205" s="918" t="s">
        <v>168</v>
      </c>
      <c r="AA205" s="919">
        <v>26520540.785984997</v>
      </c>
      <c r="AB205" s="919">
        <v>22867693</v>
      </c>
      <c r="AC205" s="919">
        <v>24776743</v>
      </c>
      <c r="AD205" s="919">
        <v>24447649</v>
      </c>
      <c r="AE205" s="919">
        <v>24332681</v>
      </c>
      <c r="AF205" s="916" t="s">
        <v>1493</v>
      </c>
      <c r="AG205" s="916" t="s">
        <v>1593</v>
      </c>
      <c r="AH205" s="916"/>
    </row>
    <row r="206" spans="1:34" ht="57">
      <c r="A206" s="914">
        <v>199</v>
      </c>
      <c r="B206" s="914" t="s">
        <v>228</v>
      </c>
      <c r="C206" s="914" t="s">
        <v>1565</v>
      </c>
      <c r="D206" s="914" t="s">
        <v>1337</v>
      </c>
      <c r="E206" s="914" t="s">
        <v>1242</v>
      </c>
      <c r="F206" s="915" t="s">
        <v>1256</v>
      </c>
      <c r="G206" s="921" t="s">
        <v>1244</v>
      </c>
      <c r="H206" s="921" t="s">
        <v>1210</v>
      </c>
      <c r="I206" s="917" t="s">
        <v>1591</v>
      </c>
      <c r="J206" s="917" t="s">
        <v>1256</v>
      </c>
      <c r="K206" s="916" t="s">
        <v>1592</v>
      </c>
      <c r="L206" s="914">
        <v>2016</v>
      </c>
      <c r="M206" s="918">
        <v>5425342.3039999995</v>
      </c>
      <c r="N206" s="918" t="s">
        <v>168</v>
      </c>
      <c r="O206" s="918" t="s">
        <v>168</v>
      </c>
      <c r="P206" s="919">
        <v>5899598.1352000004</v>
      </c>
      <c r="Q206" s="919">
        <v>5723254.8499999996</v>
      </c>
      <c r="R206" s="919">
        <v>11502254.970000001</v>
      </c>
      <c r="S206" s="918">
        <v>5506722.4385599988</v>
      </c>
      <c r="T206" s="918">
        <v>5506722.4385599988</v>
      </c>
      <c r="U206" s="918">
        <v>5533849.1500800001</v>
      </c>
      <c r="V206" s="918">
        <v>18717430.948799998</v>
      </c>
      <c r="W206" s="918">
        <v>14648424.220799999</v>
      </c>
      <c r="X206" s="934">
        <v>6088112.7199999997</v>
      </c>
      <c r="Y206" s="918" t="s">
        <v>168</v>
      </c>
      <c r="Z206" s="918" t="s">
        <v>168</v>
      </c>
      <c r="AA206" s="919">
        <v>18717430.948799998</v>
      </c>
      <c r="AB206" s="919">
        <v>13711563</v>
      </c>
      <c r="AC206" s="919">
        <v>14810476</v>
      </c>
      <c r="AD206" s="919">
        <v>14648315</v>
      </c>
      <c r="AE206" s="919">
        <v>14466770</v>
      </c>
      <c r="AF206" s="916" t="s">
        <v>1493</v>
      </c>
      <c r="AG206" s="916" t="s">
        <v>1593</v>
      </c>
      <c r="AH206" s="916"/>
    </row>
    <row r="207" spans="1:34" ht="57">
      <c r="A207" s="914">
        <v>200</v>
      </c>
      <c r="B207" s="914" t="s">
        <v>228</v>
      </c>
      <c r="C207" s="914" t="s">
        <v>1565</v>
      </c>
      <c r="D207" s="914" t="s">
        <v>1451</v>
      </c>
      <c r="E207" s="914" t="s">
        <v>1234</v>
      </c>
      <c r="F207" s="915" t="s">
        <v>1235</v>
      </c>
      <c r="G207" s="921" t="s">
        <v>1236</v>
      </c>
      <c r="H207" s="921" t="s">
        <v>1210</v>
      </c>
      <c r="I207" s="917" t="s">
        <v>1594</v>
      </c>
      <c r="J207" s="917" t="s">
        <v>1299</v>
      </c>
      <c r="K207" s="916" t="s">
        <v>1592</v>
      </c>
      <c r="L207" s="914">
        <v>2016</v>
      </c>
      <c r="M207" s="918">
        <v>5210.03</v>
      </c>
      <c r="N207" s="918" t="s">
        <v>168</v>
      </c>
      <c r="O207" s="918" t="s">
        <v>168</v>
      </c>
      <c r="P207" s="919">
        <v>4770.25</v>
      </c>
      <c r="Q207" s="919">
        <v>3825.21</v>
      </c>
      <c r="R207" s="919">
        <v>7477.26</v>
      </c>
      <c r="S207" s="918">
        <v>5288.1804499999989</v>
      </c>
      <c r="T207" s="918">
        <v>5288.1804499999989</v>
      </c>
      <c r="U207" s="918">
        <v>5314.2305999999999</v>
      </c>
      <c r="V207" s="918">
        <v>5991.5344999999988</v>
      </c>
      <c r="W207" s="918">
        <v>7033.5405000000001</v>
      </c>
      <c r="X207" s="934">
        <v>6820.02</v>
      </c>
      <c r="Y207" s="918" t="s">
        <v>168</v>
      </c>
      <c r="Z207" s="918" t="s">
        <v>168</v>
      </c>
      <c r="AA207" s="919">
        <v>5991.5344999999988</v>
      </c>
      <c r="AB207" s="919">
        <v>13485</v>
      </c>
      <c r="AC207" s="919">
        <v>14280</v>
      </c>
      <c r="AD207" s="919">
        <v>13958</v>
      </c>
      <c r="AE207" s="919">
        <v>14285</v>
      </c>
      <c r="AF207" s="916" t="s">
        <v>1240</v>
      </c>
      <c r="AG207" s="916"/>
      <c r="AH207" s="916"/>
    </row>
    <row r="208" spans="1:34" ht="42.75">
      <c r="A208" s="914">
        <v>201</v>
      </c>
      <c r="B208" s="914" t="s">
        <v>228</v>
      </c>
      <c r="C208" s="914" t="s">
        <v>1565</v>
      </c>
      <c r="D208" s="914" t="s">
        <v>1595</v>
      </c>
      <c r="E208" s="914" t="s">
        <v>1596</v>
      </c>
      <c r="F208" s="915" t="s">
        <v>1597</v>
      </c>
      <c r="G208" s="921" t="s">
        <v>1419</v>
      </c>
      <c r="H208" s="921" t="s">
        <v>1360</v>
      </c>
      <c r="I208" s="917" t="s">
        <v>1598</v>
      </c>
      <c r="J208" s="917" t="s">
        <v>1599</v>
      </c>
      <c r="K208" s="916" t="s">
        <v>1592</v>
      </c>
      <c r="L208" s="914" t="s">
        <v>1363</v>
      </c>
      <c r="M208" s="918" t="s">
        <v>1363</v>
      </c>
      <c r="N208" s="918" t="s">
        <v>1363</v>
      </c>
      <c r="O208" s="918" t="s">
        <v>1363</v>
      </c>
      <c r="P208" s="919" t="s">
        <v>1364</v>
      </c>
      <c r="Q208" s="919" t="s">
        <v>1364</v>
      </c>
      <c r="R208" s="919" t="s">
        <v>1364</v>
      </c>
      <c r="S208" s="918" t="s">
        <v>1364</v>
      </c>
      <c r="T208" s="918" t="s">
        <v>1364</v>
      </c>
      <c r="U208" s="918" t="s">
        <v>1364</v>
      </c>
      <c r="V208" s="918" t="s">
        <v>1364</v>
      </c>
      <c r="W208" s="918" t="s">
        <v>1364</v>
      </c>
      <c r="X208" s="934" t="s">
        <v>1364</v>
      </c>
      <c r="Y208" s="918" t="s">
        <v>168</v>
      </c>
      <c r="Z208" s="918" t="s">
        <v>168</v>
      </c>
      <c r="AA208" s="919" t="s">
        <v>1364</v>
      </c>
      <c r="AB208" s="919" t="s">
        <v>168</v>
      </c>
      <c r="AC208" s="919" t="s">
        <v>168</v>
      </c>
      <c r="AD208" s="919" t="s">
        <v>168</v>
      </c>
      <c r="AE208" s="919" t="s">
        <v>168</v>
      </c>
      <c r="AF208" s="916"/>
      <c r="AG208" s="916"/>
      <c r="AH208" s="916"/>
    </row>
    <row r="209" spans="1:34" ht="42.75">
      <c r="A209" s="914">
        <v>202</v>
      </c>
      <c r="B209" s="914" t="s">
        <v>228</v>
      </c>
      <c r="C209" s="914" t="s">
        <v>1565</v>
      </c>
      <c r="D209" s="914" t="s">
        <v>1595</v>
      </c>
      <c r="E209" s="914" t="s">
        <v>1596</v>
      </c>
      <c r="F209" s="915" t="s">
        <v>1600</v>
      </c>
      <c r="G209" s="921" t="s">
        <v>1419</v>
      </c>
      <c r="H209" s="921" t="s">
        <v>1360</v>
      </c>
      <c r="I209" s="917" t="s">
        <v>1598</v>
      </c>
      <c r="J209" s="917" t="s">
        <v>1601</v>
      </c>
      <c r="K209" s="916" t="s">
        <v>1592</v>
      </c>
      <c r="L209" s="914" t="s">
        <v>1363</v>
      </c>
      <c r="M209" s="918" t="s">
        <v>1363</v>
      </c>
      <c r="N209" s="918" t="s">
        <v>1363</v>
      </c>
      <c r="O209" s="918" t="s">
        <v>1363</v>
      </c>
      <c r="P209" s="919" t="s">
        <v>1364</v>
      </c>
      <c r="Q209" s="919" t="s">
        <v>1364</v>
      </c>
      <c r="R209" s="919" t="s">
        <v>1364</v>
      </c>
      <c r="S209" s="918" t="s">
        <v>1363</v>
      </c>
      <c r="T209" s="918" t="s">
        <v>1363</v>
      </c>
      <c r="U209" s="918" t="s">
        <v>1363</v>
      </c>
      <c r="V209" s="918" t="s">
        <v>1364</v>
      </c>
      <c r="W209" s="918" t="s">
        <v>1364</v>
      </c>
      <c r="X209" s="934" t="s">
        <v>1364</v>
      </c>
      <c r="Y209" s="918" t="s">
        <v>168</v>
      </c>
      <c r="Z209" s="918" t="s">
        <v>168</v>
      </c>
      <c r="AA209" s="919" t="s">
        <v>1364</v>
      </c>
      <c r="AB209" s="919" t="s">
        <v>168</v>
      </c>
      <c r="AC209" s="919" t="s">
        <v>168</v>
      </c>
      <c r="AD209" s="919" t="s">
        <v>168</v>
      </c>
      <c r="AE209" s="919" t="s">
        <v>168</v>
      </c>
      <c r="AF209" s="916"/>
      <c r="AG209" s="916"/>
      <c r="AH209" s="916"/>
    </row>
    <row r="210" spans="1:34" ht="71.25">
      <c r="A210" s="914">
        <v>203</v>
      </c>
      <c r="B210" s="914" t="s">
        <v>228</v>
      </c>
      <c r="C210" s="914" t="s">
        <v>1565</v>
      </c>
      <c r="D210" s="914" t="s">
        <v>1595</v>
      </c>
      <c r="E210" s="914" t="s">
        <v>1596</v>
      </c>
      <c r="F210" s="915" t="s">
        <v>1602</v>
      </c>
      <c r="G210" s="921" t="s">
        <v>1419</v>
      </c>
      <c r="H210" s="921" t="s">
        <v>1360</v>
      </c>
      <c r="I210" s="917" t="s">
        <v>1598</v>
      </c>
      <c r="J210" s="917" t="s">
        <v>1603</v>
      </c>
      <c r="K210" s="916" t="s">
        <v>1592</v>
      </c>
      <c r="L210" s="914" t="s">
        <v>1363</v>
      </c>
      <c r="M210" s="918">
        <v>17729.876810457514</v>
      </c>
      <c r="N210" s="918" t="s">
        <v>1363</v>
      </c>
      <c r="O210" s="918" t="s">
        <v>1363</v>
      </c>
      <c r="P210" s="919">
        <v>33331.062910734465</v>
      </c>
      <c r="Q210" s="919">
        <v>30442.844946808509</v>
      </c>
      <c r="R210" s="919">
        <v>42132.802087912089</v>
      </c>
      <c r="S210" s="918" t="s">
        <v>1363</v>
      </c>
      <c r="T210" s="918" t="s">
        <v>1363</v>
      </c>
      <c r="U210" s="918" t="s">
        <v>1363</v>
      </c>
      <c r="V210" s="918" t="s">
        <v>1364</v>
      </c>
      <c r="W210" s="918" t="s">
        <v>1364</v>
      </c>
      <c r="X210" s="934">
        <v>6704.9699559471364</v>
      </c>
      <c r="Y210" s="918">
        <v>6088112.7199999997</v>
      </c>
      <c r="Z210" s="918">
        <v>908</v>
      </c>
      <c r="AA210" s="919" t="s">
        <v>1364</v>
      </c>
      <c r="AB210" s="919" t="s">
        <v>1364</v>
      </c>
      <c r="AC210" s="919" t="s">
        <v>1364</v>
      </c>
      <c r="AD210" s="919" t="s">
        <v>1364</v>
      </c>
      <c r="AE210" s="919" t="s">
        <v>1364</v>
      </c>
      <c r="AF210" s="916" t="s">
        <v>1604</v>
      </c>
      <c r="AG210" s="916" t="s">
        <v>1605</v>
      </c>
      <c r="AH210" s="916"/>
    </row>
    <row r="211" spans="1:34" ht="57">
      <c r="A211" s="914">
        <v>204</v>
      </c>
      <c r="B211" s="914" t="s">
        <v>228</v>
      </c>
      <c r="C211" s="914" t="s">
        <v>1565</v>
      </c>
      <c r="D211" s="914" t="s">
        <v>1595</v>
      </c>
      <c r="E211" s="914" t="s">
        <v>1434</v>
      </c>
      <c r="F211" s="915" t="s">
        <v>1606</v>
      </c>
      <c r="G211" s="921" t="s">
        <v>1435</v>
      </c>
      <c r="H211" s="921" t="s">
        <v>1360</v>
      </c>
      <c r="I211" s="917" t="s">
        <v>1607</v>
      </c>
      <c r="J211" s="917" t="s">
        <v>1608</v>
      </c>
      <c r="K211" s="916" t="s">
        <v>1592</v>
      </c>
      <c r="L211" s="914" t="s">
        <v>1363</v>
      </c>
      <c r="M211" s="918" t="s">
        <v>1363</v>
      </c>
      <c r="N211" s="918" t="s">
        <v>1363</v>
      </c>
      <c r="O211" s="918" t="s">
        <v>1363</v>
      </c>
      <c r="P211" s="919" t="s">
        <v>1364</v>
      </c>
      <c r="Q211" s="919" t="s">
        <v>1364</v>
      </c>
      <c r="R211" s="919" t="s">
        <v>1364</v>
      </c>
      <c r="S211" s="918" t="s">
        <v>1363</v>
      </c>
      <c r="T211" s="918" t="s">
        <v>1363</v>
      </c>
      <c r="U211" s="918" t="s">
        <v>1363</v>
      </c>
      <c r="V211" s="918" t="s">
        <v>1364</v>
      </c>
      <c r="W211" s="918" t="s">
        <v>1364</v>
      </c>
      <c r="X211" s="934" t="s">
        <v>1364</v>
      </c>
      <c r="Y211" s="918" t="s">
        <v>168</v>
      </c>
      <c r="Z211" s="918" t="s">
        <v>168</v>
      </c>
      <c r="AA211" s="919" t="s">
        <v>1364</v>
      </c>
      <c r="AB211" s="919" t="s">
        <v>168</v>
      </c>
      <c r="AC211" s="919" t="s">
        <v>168</v>
      </c>
      <c r="AD211" s="919" t="s">
        <v>168</v>
      </c>
      <c r="AE211" s="919" t="s">
        <v>168</v>
      </c>
      <c r="AF211" s="916"/>
      <c r="AG211" s="916"/>
      <c r="AH211" s="916"/>
    </row>
    <row r="212" spans="1:34" ht="57">
      <c r="A212" s="914">
        <v>205</v>
      </c>
      <c r="B212" s="914" t="s">
        <v>228</v>
      </c>
      <c r="C212" s="914" t="s">
        <v>1565</v>
      </c>
      <c r="D212" s="914" t="s">
        <v>1595</v>
      </c>
      <c r="E212" s="914" t="s">
        <v>1434</v>
      </c>
      <c r="F212" s="915" t="s">
        <v>1609</v>
      </c>
      <c r="G212" s="921" t="s">
        <v>1435</v>
      </c>
      <c r="H212" s="921" t="s">
        <v>1360</v>
      </c>
      <c r="I212" s="917" t="s">
        <v>1607</v>
      </c>
      <c r="J212" s="917" t="s">
        <v>1608</v>
      </c>
      <c r="K212" s="916" t="s">
        <v>1592</v>
      </c>
      <c r="L212" s="914" t="s">
        <v>1363</v>
      </c>
      <c r="M212" s="918" t="s">
        <v>1363</v>
      </c>
      <c r="N212" s="918" t="s">
        <v>1363</v>
      </c>
      <c r="O212" s="918" t="s">
        <v>1363</v>
      </c>
      <c r="P212" s="919" t="s">
        <v>1364</v>
      </c>
      <c r="Q212" s="919" t="s">
        <v>1364</v>
      </c>
      <c r="R212" s="919" t="s">
        <v>1364</v>
      </c>
      <c r="S212" s="918" t="s">
        <v>1363</v>
      </c>
      <c r="T212" s="918" t="s">
        <v>1363</v>
      </c>
      <c r="U212" s="918" t="s">
        <v>1363</v>
      </c>
      <c r="V212" s="918" t="s">
        <v>1364</v>
      </c>
      <c r="W212" s="918" t="s">
        <v>1364</v>
      </c>
      <c r="X212" s="934" t="s">
        <v>1364</v>
      </c>
      <c r="Y212" s="918" t="s">
        <v>168</v>
      </c>
      <c r="Z212" s="918" t="s">
        <v>168</v>
      </c>
      <c r="AA212" s="919" t="s">
        <v>1364</v>
      </c>
      <c r="AB212" s="919" t="s">
        <v>168</v>
      </c>
      <c r="AC212" s="919" t="s">
        <v>168</v>
      </c>
      <c r="AD212" s="919" t="s">
        <v>168</v>
      </c>
      <c r="AE212" s="919" t="s">
        <v>168</v>
      </c>
      <c r="AF212" s="916"/>
      <c r="AG212" s="916"/>
      <c r="AH212" s="916"/>
    </row>
    <row r="213" spans="1:34" ht="71.25">
      <c r="A213" s="914">
        <v>206</v>
      </c>
      <c r="B213" s="914" t="s">
        <v>228</v>
      </c>
      <c r="C213" s="914" t="s">
        <v>1565</v>
      </c>
      <c r="D213" s="914" t="s">
        <v>1595</v>
      </c>
      <c r="E213" s="914" t="s">
        <v>1434</v>
      </c>
      <c r="F213" s="915" t="s">
        <v>1610</v>
      </c>
      <c r="G213" s="921" t="s">
        <v>1435</v>
      </c>
      <c r="H213" s="921" t="s">
        <v>1360</v>
      </c>
      <c r="I213" s="917" t="s">
        <v>1607</v>
      </c>
      <c r="J213" s="917" t="s">
        <v>1611</v>
      </c>
      <c r="K213" s="916" t="s">
        <v>1592</v>
      </c>
      <c r="L213" s="914" t="s">
        <v>1363</v>
      </c>
      <c r="M213" s="918">
        <v>1.8771044053985229</v>
      </c>
      <c r="N213" s="918" t="s">
        <v>1363</v>
      </c>
      <c r="O213" s="918" t="s">
        <v>1363</v>
      </c>
      <c r="P213" s="939">
        <v>3.1367459919757636</v>
      </c>
      <c r="Q213" s="939">
        <v>2.8649392948248171</v>
      </c>
      <c r="R213" s="939">
        <v>3.9650670137316104</v>
      </c>
      <c r="S213" s="918" t="s">
        <v>1363</v>
      </c>
      <c r="T213" s="918" t="s">
        <v>1363</v>
      </c>
      <c r="U213" s="918" t="s">
        <v>1363</v>
      </c>
      <c r="V213" s="918" t="s">
        <v>1364</v>
      </c>
      <c r="W213" s="918" t="s">
        <v>1364</v>
      </c>
      <c r="X213" s="934">
        <v>0.63099660793780687</v>
      </c>
      <c r="Y213" s="918">
        <v>6088112.7199999997</v>
      </c>
      <c r="Z213" s="918">
        <v>9648408</v>
      </c>
      <c r="AA213" s="919" t="s">
        <v>1364</v>
      </c>
      <c r="AB213" s="934">
        <v>0.63099660793780687</v>
      </c>
      <c r="AC213" s="934">
        <v>0.63099660793780687</v>
      </c>
      <c r="AD213" s="934">
        <v>0.63099660793780687</v>
      </c>
      <c r="AE213" s="934">
        <v>0.63099660793780687</v>
      </c>
      <c r="AF213" s="916" t="s">
        <v>1612</v>
      </c>
      <c r="AG213" s="916"/>
      <c r="AH213" s="916"/>
    </row>
    <row r="214" spans="1:34" ht="71.25">
      <c r="A214" s="914">
        <v>207</v>
      </c>
      <c r="B214" s="914" t="s">
        <v>228</v>
      </c>
      <c r="C214" s="914" t="s">
        <v>1565</v>
      </c>
      <c r="D214" s="914" t="s">
        <v>1595</v>
      </c>
      <c r="E214" s="914" t="s">
        <v>1613</v>
      </c>
      <c r="F214" s="915" t="s">
        <v>1606</v>
      </c>
      <c r="G214" s="921" t="s">
        <v>1614</v>
      </c>
      <c r="H214" s="921" t="s">
        <v>1360</v>
      </c>
      <c r="I214" s="917" t="s">
        <v>1615</v>
      </c>
      <c r="J214" s="917" t="s">
        <v>1616</v>
      </c>
      <c r="K214" s="916" t="s">
        <v>1592</v>
      </c>
      <c r="L214" s="914" t="s">
        <v>1363</v>
      </c>
      <c r="M214" s="918">
        <v>0</v>
      </c>
      <c r="N214" s="918" t="s">
        <v>1363</v>
      </c>
      <c r="O214" s="918" t="s">
        <v>1363</v>
      </c>
      <c r="P214" s="919">
        <v>0</v>
      </c>
      <c r="Q214" s="919">
        <v>0</v>
      </c>
      <c r="R214" s="919">
        <v>0</v>
      </c>
      <c r="S214" s="918" t="s">
        <v>1363</v>
      </c>
      <c r="T214" s="918" t="s">
        <v>1363</v>
      </c>
      <c r="U214" s="918" t="s">
        <v>1363</v>
      </c>
      <c r="V214" s="918" t="s">
        <v>1364</v>
      </c>
      <c r="W214" s="918" t="s">
        <v>1364</v>
      </c>
      <c r="X214" s="934">
        <v>0</v>
      </c>
      <c r="Y214" s="918" t="s">
        <v>168</v>
      </c>
      <c r="Z214" s="918" t="s">
        <v>168</v>
      </c>
      <c r="AA214" s="919" t="s">
        <v>1364</v>
      </c>
      <c r="AB214" s="919" t="s">
        <v>168</v>
      </c>
      <c r="AC214" s="919" t="s">
        <v>168</v>
      </c>
      <c r="AD214" s="919" t="s">
        <v>168</v>
      </c>
      <c r="AE214" s="919" t="s">
        <v>168</v>
      </c>
      <c r="AF214" s="916"/>
      <c r="AG214" s="916"/>
      <c r="AH214" s="916"/>
    </row>
    <row r="215" spans="1:34" ht="71.25">
      <c r="A215" s="914">
        <v>208</v>
      </c>
      <c r="B215" s="914" t="s">
        <v>228</v>
      </c>
      <c r="C215" s="914" t="s">
        <v>1565</v>
      </c>
      <c r="D215" s="914" t="s">
        <v>1595</v>
      </c>
      <c r="E215" s="914" t="s">
        <v>1613</v>
      </c>
      <c r="F215" s="915" t="s">
        <v>1609</v>
      </c>
      <c r="G215" s="921" t="s">
        <v>1614</v>
      </c>
      <c r="H215" s="921" t="s">
        <v>1360</v>
      </c>
      <c r="I215" s="917" t="s">
        <v>1615</v>
      </c>
      <c r="J215" s="917" t="s">
        <v>1617</v>
      </c>
      <c r="K215" s="916" t="s">
        <v>1592</v>
      </c>
      <c r="L215" s="914" t="s">
        <v>1363</v>
      </c>
      <c r="M215" s="918">
        <v>0</v>
      </c>
      <c r="N215" s="918" t="s">
        <v>1363</v>
      </c>
      <c r="O215" s="918" t="s">
        <v>1363</v>
      </c>
      <c r="P215" s="919">
        <v>0</v>
      </c>
      <c r="Q215" s="919">
        <v>0</v>
      </c>
      <c r="R215" s="919">
        <v>0</v>
      </c>
      <c r="S215" s="918" t="s">
        <v>1363</v>
      </c>
      <c r="T215" s="918" t="s">
        <v>1363</v>
      </c>
      <c r="U215" s="918" t="s">
        <v>1363</v>
      </c>
      <c r="V215" s="918" t="s">
        <v>1364</v>
      </c>
      <c r="W215" s="918" t="s">
        <v>1364</v>
      </c>
      <c r="X215" s="934">
        <v>0</v>
      </c>
      <c r="Y215" s="918" t="s">
        <v>168</v>
      </c>
      <c r="Z215" s="918" t="s">
        <v>168</v>
      </c>
      <c r="AA215" s="919" t="s">
        <v>1364</v>
      </c>
      <c r="AB215" s="919" t="s">
        <v>168</v>
      </c>
      <c r="AC215" s="919" t="s">
        <v>168</v>
      </c>
      <c r="AD215" s="919" t="s">
        <v>168</v>
      </c>
      <c r="AE215" s="919" t="s">
        <v>168</v>
      </c>
      <c r="AF215" s="916"/>
      <c r="AG215" s="916"/>
      <c r="AH215" s="916"/>
    </row>
    <row r="216" spans="1:34" ht="85.5">
      <c r="A216" s="914">
        <v>209</v>
      </c>
      <c r="B216" s="914" t="s">
        <v>228</v>
      </c>
      <c r="C216" s="914" t="s">
        <v>1565</v>
      </c>
      <c r="D216" s="914" t="s">
        <v>1595</v>
      </c>
      <c r="E216" s="914" t="s">
        <v>1613</v>
      </c>
      <c r="F216" s="915" t="s">
        <v>1610</v>
      </c>
      <c r="G216" s="921" t="s">
        <v>1614</v>
      </c>
      <c r="H216" s="921" t="s">
        <v>1360</v>
      </c>
      <c r="I216" s="917" t="s">
        <v>1615</v>
      </c>
      <c r="J216" s="917" t="s">
        <v>1618</v>
      </c>
      <c r="K216" s="916" t="s">
        <v>1592</v>
      </c>
      <c r="L216" s="914" t="s">
        <v>1363</v>
      </c>
      <c r="M216" s="918">
        <v>0</v>
      </c>
      <c r="N216" s="918" t="s">
        <v>1363</v>
      </c>
      <c r="O216" s="918" t="s">
        <v>1363</v>
      </c>
      <c r="P216" s="919">
        <v>0</v>
      </c>
      <c r="Q216" s="919">
        <v>0</v>
      </c>
      <c r="R216" s="919">
        <v>0</v>
      </c>
      <c r="S216" s="918" t="s">
        <v>1363</v>
      </c>
      <c r="T216" s="918" t="s">
        <v>1363</v>
      </c>
      <c r="U216" s="918" t="s">
        <v>1363</v>
      </c>
      <c r="V216" s="918" t="s">
        <v>1364</v>
      </c>
      <c r="W216" s="918" t="s">
        <v>1364</v>
      </c>
      <c r="X216" s="934">
        <v>0</v>
      </c>
      <c r="Y216" s="918" t="s">
        <v>168</v>
      </c>
      <c r="Z216" s="918" t="s">
        <v>168</v>
      </c>
      <c r="AA216" s="919" t="s">
        <v>1364</v>
      </c>
      <c r="AB216" s="919" t="s">
        <v>168</v>
      </c>
      <c r="AC216" s="919" t="s">
        <v>168</v>
      </c>
      <c r="AD216" s="919" t="s">
        <v>168</v>
      </c>
      <c r="AE216" s="919" t="s">
        <v>168</v>
      </c>
      <c r="AF216" s="916" t="s">
        <v>1619</v>
      </c>
      <c r="AG216" s="916"/>
      <c r="AH216" s="916"/>
    </row>
    <row r="217" spans="1:34" ht="128.25">
      <c r="A217" s="914">
        <v>210</v>
      </c>
      <c r="B217" s="914" t="s">
        <v>228</v>
      </c>
      <c r="C217" s="914" t="s">
        <v>1620</v>
      </c>
      <c r="D217" s="914" t="s">
        <v>1349</v>
      </c>
      <c r="E217" s="914" t="s">
        <v>1337</v>
      </c>
      <c r="F217" s="915" t="s">
        <v>1338</v>
      </c>
      <c r="G217" s="921" t="s">
        <v>1339</v>
      </c>
      <c r="H217" s="921" t="s">
        <v>1210</v>
      </c>
      <c r="I217" s="917" t="s">
        <v>1621</v>
      </c>
      <c r="J217" s="917" t="s">
        <v>1622</v>
      </c>
      <c r="K217" s="916" t="s">
        <v>1592</v>
      </c>
      <c r="L217" s="914">
        <v>2016</v>
      </c>
      <c r="M217" s="926">
        <v>2.0392862498125656E-2</v>
      </c>
      <c r="N217" s="918">
        <v>272</v>
      </c>
      <c r="O217" s="918">
        <v>13338</v>
      </c>
      <c r="P217" s="927">
        <v>1.3390830685428961E-2</v>
      </c>
      <c r="Q217" s="927">
        <v>1.3414634146341463E-2</v>
      </c>
      <c r="R217" s="927">
        <v>2.098350152170431E-2</v>
      </c>
      <c r="S217" s="926">
        <v>2.141250562303194E-2</v>
      </c>
      <c r="T217" s="926">
        <v>1.406037221970041E-2</v>
      </c>
      <c r="U217" s="926">
        <v>2.2483130904183538E-2</v>
      </c>
      <c r="V217" s="926">
        <v>1.8278483885610534E-2</v>
      </c>
      <c r="W217" s="926">
        <v>3.1476383265856951E-2</v>
      </c>
      <c r="X217" s="927">
        <v>7.0513833992094863E-2</v>
      </c>
      <c r="Y217" s="918" t="s">
        <v>168</v>
      </c>
      <c r="Z217" s="918" t="s">
        <v>168</v>
      </c>
      <c r="AA217" s="927">
        <v>1.8278483885610534E-2</v>
      </c>
      <c r="AB217" s="927">
        <v>0.03</v>
      </c>
      <c r="AC217" s="927">
        <v>0.03</v>
      </c>
      <c r="AD217" s="927">
        <v>0.03</v>
      </c>
      <c r="AE217" s="927">
        <v>0.03</v>
      </c>
      <c r="AF217" s="916" t="s">
        <v>1623</v>
      </c>
      <c r="AG217" s="916" t="s">
        <v>1446</v>
      </c>
      <c r="AH217" s="916"/>
    </row>
    <row r="218" spans="1:34" ht="128.25">
      <c r="A218" s="914">
        <v>211</v>
      </c>
      <c r="B218" s="914" t="s">
        <v>228</v>
      </c>
      <c r="C218" s="914" t="s">
        <v>1620</v>
      </c>
      <c r="D218" s="914" t="s">
        <v>1624</v>
      </c>
      <c r="E218" s="914" t="s">
        <v>1451</v>
      </c>
      <c r="F218" s="915" t="s">
        <v>1338</v>
      </c>
      <c r="G218" s="921" t="s">
        <v>1452</v>
      </c>
      <c r="H218" s="921" t="s">
        <v>1360</v>
      </c>
      <c r="I218" s="917" t="s">
        <v>1625</v>
      </c>
      <c r="J218" s="917" t="s">
        <v>1626</v>
      </c>
      <c r="K218" s="916" t="s">
        <v>1592</v>
      </c>
      <c r="L218" s="914" t="s">
        <v>1363</v>
      </c>
      <c r="M218" s="918" t="s">
        <v>1363</v>
      </c>
      <c r="N218" s="918" t="s">
        <v>1363</v>
      </c>
      <c r="O218" s="918" t="s">
        <v>1363</v>
      </c>
      <c r="P218" s="919" t="s">
        <v>1364</v>
      </c>
      <c r="Q218" s="919" t="s">
        <v>1364</v>
      </c>
      <c r="R218" s="919" t="s">
        <v>1364</v>
      </c>
      <c r="S218" s="918" t="s">
        <v>1363</v>
      </c>
      <c r="T218" s="918" t="s">
        <v>1363</v>
      </c>
      <c r="U218" s="918" t="s">
        <v>1363</v>
      </c>
      <c r="V218" s="918" t="s">
        <v>1363</v>
      </c>
      <c r="W218" s="918" t="s">
        <v>1363</v>
      </c>
      <c r="X218" s="934" t="s">
        <v>1364</v>
      </c>
      <c r="Y218" s="918" t="s">
        <v>168</v>
      </c>
      <c r="Z218" s="918" t="s">
        <v>168</v>
      </c>
      <c r="AA218" s="919" t="s">
        <v>1363</v>
      </c>
      <c r="AB218" s="934" t="s">
        <v>1364</v>
      </c>
      <c r="AC218" s="934" t="s">
        <v>1364</v>
      </c>
      <c r="AD218" s="934" t="s">
        <v>1364</v>
      </c>
      <c r="AE218" s="934" t="s">
        <v>1364</v>
      </c>
      <c r="AF218" s="916" t="s">
        <v>1627</v>
      </c>
      <c r="AG218" s="916"/>
      <c r="AH218" s="916"/>
    </row>
    <row r="219" spans="1:34" ht="128.25">
      <c r="A219" s="914">
        <v>212</v>
      </c>
      <c r="B219" s="914" t="s">
        <v>228</v>
      </c>
      <c r="C219" s="914" t="s">
        <v>1620</v>
      </c>
      <c r="D219" s="914" t="s">
        <v>1624</v>
      </c>
      <c r="E219" s="914" t="s">
        <v>1628</v>
      </c>
      <c r="F219" s="915" t="s">
        <v>1338</v>
      </c>
      <c r="G219" s="921" t="s">
        <v>1614</v>
      </c>
      <c r="H219" s="921" t="s">
        <v>1360</v>
      </c>
      <c r="I219" s="917" t="s">
        <v>1629</v>
      </c>
      <c r="J219" s="917" t="s">
        <v>1630</v>
      </c>
      <c r="K219" s="916" t="s">
        <v>1592</v>
      </c>
      <c r="L219" s="914" t="s">
        <v>1363</v>
      </c>
      <c r="M219" s="918">
        <v>0</v>
      </c>
      <c r="N219" s="918" t="s">
        <v>1363</v>
      </c>
      <c r="O219" s="918" t="s">
        <v>1363</v>
      </c>
      <c r="P219" s="919">
        <v>0</v>
      </c>
      <c r="Q219" s="919">
        <v>0</v>
      </c>
      <c r="R219" s="919">
        <v>0</v>
      </c>
      <c r="S219" s="918" t="s">
        <v>1364</v>
      </c>
      <c r="T219" s="918" t="s">
        <v>1364</v>
      </c>
      <c r="U219" s="918" t="s">
        <v>1364</v>
      </c>
      <c r="V219" s="918" t="s">
        <v>1364</v>
      </c>
      <c r="W219" s="918" t="s">
        <v>1364</v>
      </c>
      <c r="X219" s="934">
        <v>0</v>
      </c>
      <c r="Y219" s="918" t="s">
        <v>168</v>
      </c>
      <c r="Z219" s="918" t="s">
        <v>168</v>
      </c>
      <c r="AA219" s="918" t="s">
        <v>168</v>
      </c>
      <c r="AB219" s="918" t="s">
        <v>168</v>
      </c>
      <c r="AC219" s="918" t="s">
        <v>168</v>
      </c>
      <c r="AD219" s="918" t="s">
        <v>168</v>
      </c>
      <c r="AE219" s="918" t="s">
        <v>168</v>
      </c>
      <c r="AF219" s="916" t="s">
        <v>1631</v>
      </c>
      <c r="AG219" s="916"/>
      <c r="AH219" s="916"/>
    </row>
    <row r="220" spans="1:34" ht="28.5">
      <c r="A220" s="914">
        <v>213</v>
      </c>
      <c r="B220" s="914" t="s">
        <v>228</v>
      </c>
      <c r="C220" s="914" t="s">
        <v>1620</v>
      </c>
      <c r="D220" s="914" t="s">
        <v>1632</v>
      </c>
      <c r="E220" s="914" t="s">
        <v>1283</v>
      </c>
      <c r="F220" s="915" t="s">
        <v>1284</v>
      </c>
      <c r="G220" s="921" t="s">
        <v>1285</v>
      </c>
      <c r="H220" s="921" t="s">
        <v>1210</v>
      </c>
      <c r="I220" s="917" t="s">
        <v>1633</v>
      </c>
      <c r="J220" s="917" t="s">
        <v>1284</v>
      </c>
      <c r="K220" s="916" t="s">
        <v>1592</v>
      </c>
      <c r="L220" s="914">
        <v>2016</v>
      </c>
      <c r="M220" s="918" t="s">
        <v>168</v>
      </c>
      <c r="N220" s="918" t="s">
        <v>168</v>
      </c>
      <c r="O220" s="918" t="s">
        <v>168</v>
      </c>
      <c r="P220" s="919" t="s">
        <v>168</v>
      </c>
      <c r="Q220" s="919" t="s">
        <v>168</v>
      </c>
      <c r="R220" s="919" t="s">
        <v>168</v>
      </c>
      <c r="S220" s="918" t="s">
        <v>168</v>
      </c>
      <c r="T220" s="918" t="s">
        <v>168</v>
      </c>
      <c r="U220" s="918" t="s">
        <v>168</v>
      </c>
      <c r="V220" s="918" t="s">
        <v>168</v>
      </c>
      <c r="W220" s="918" t="s">
        <v>168</v>
      </c>
      <c r="X220" s="934" t="s">
        <v>168</v>
      </c>
      <c r="Y220" s="919" t="s">
        <v>168</v>
      </c>
      <c r="Z220" s="919" t="s">
        <v>168</v>
      </c>
      <c r="AA220" s="919" t="s">
        <v>168</v>
      </c>
      <c r="AB220" s="919" t="s">
        <v>168</v>
      </c>
      <c r="AC220" s="919" t="s">
        <v>168</v>
      </c>
      <c r="AD220" s="919" t="s">
        <v>168</v>
      </c>
      <c r="AE220" s="919" t="s">
        <v>168</v>
      </c>
      <c r="AF220" s="916"/>
      <c r="AG220" s="916"/>
      <c r="AH220" s="916"/>
    </row>
    <row r="221" spans="1:34" ht="28.5">
      <c r="A221" s="914">
        <v>214</v>
      </c>
      <c r="B221" s="914" t="s">
        <v>228</v>
      </c>
      <c r="C221" s="914" t="s">
        <v>1620</v>
      </c>
      <c r="D221" s="914" t="s">
        <v>1632</v>
      </c>
      <c r="E221" s="914" t="s">
        <v>1283</v>
      </c>
      <c r="F221" s="915" t="s">
        <v>1287</v>
      </c>
      <c r="G221" s="921" t="s">
        <v>1285</v>
      </c>
      <c r="H221" s="921" t="s">
        <v>1210</v>
      </c>
      <c r="I221" s="917" t="s">
        <v>1633</v>
      </c>
      <c r="J221" s="917" t="s">
        <v>1287</v>
      </c>
      <c r="K221" s="916" t="s">
        <v>1592</v>
      </c>
      <c r="L221" s="914">
        <v>2016</v>
      </c>
      <c r="M221" s="918" t="s">
        <v>168</v>
      </c>
      <c r="N221" s="918" t="s">
        <v>168</v>
      </c>
      <c r="O221" s="918" t="s">
        <v>168</v>
      </c>
      <c r="P221" s="919" t="s">
        <v>168</v>
      </c>
      <c r="Q221" s="919" t="s">
        <v>168</v>
      </c>
      <c r="R221" s="919" t="s">
        <v>168</v>
      </c>
      <c r="S221" s="918" t="s">
        <v>168</v>
      </c>
      <c r="T221" s="918" t="s">
        <v>168</v>
      </c>
      <c r="U221" s="918" t="s">
        <v>168</v>
      </c>
      <c r="V221" s="918" t="s">
        <v>168</v>
      </c>
      <c r="W221" s="918" t="s">
        <v>168</v>
      </c>
      <c r="X221" s="934" t="s">
        <v>168</v>
      </c>
      <c r="Y221" s="919" t="s">
        <v>168</v>
      </c>
      <c r="Z221" s="919" t="s">
        <v>168</v>
      </c>
      <c r="AA221" s="919" t="s">
        <v>168</v>
      </c>
      <c r="AB221" s="919" t="s">
        <v>168</v>
      </c>
      <c r="AC221" s="919" t="s">
        <v>168</v>
      </c>
      <c r="AD221" s="919" t="s">
        <v>168</v>
      </c>
      <c r="AE221" s="919" t="s">
        <v>168</v>
      </c>
      <c r="AF221" s="916"/>
      <c r="AG221" s="916"/>
      <c r="AH221" s="916"/>
    </row>
    <row r="222" spans="1:34" ht="28.5">
      <c r="A222" s="914">
        <v>215</v>
      </c>
      <c r="B222" s="914" t="s">
        <v>228</v>
      </c>
      <c r="C222" s="914" t="s">
        <v>1620</v>
      </c>
      <c r="D222" s="914" t="s">
        <v>1632</v>
      </c>
      <c r="E222" s="914" t="s">
        <v>1283</v>
      </c>
      <c r="F222" s="915" t="s">
        <v>1288</v>
      </c>
      <c r="G222" s="921" t="s">
        <v>1285</v>
      </c>
      <c r="H222" s="921" t="s">
        <v>1210</v>
      </c>
      <c r="I222" s="917" t="s">
        <v>1633</v>
      </c>
      <c r="J222" s="917" t="s">
        <v>1288</v>
      </c>
      <c r="K222" s="916" t="s">
        <v>1592</v>
      </c>
      <c r="L222" s="914">
        <v>2016</v>
      </c>
      <c r="M222" s="922">
        <v>0.59188386650414015</v>
      </c>
      <c r="N222" s="918">
        <v>3211172.58</v>
      </c>
      <c r="O222" s="918">
        <v>5425342.3039999995</v>
      </c>
      <c r="P222" s="923">
        <v>0.31684016049283531</v>
      </c>
      <c r="Q222" s="923">
        <v>0.31437490151255454</v>
      </c>
      <c r="R222" s="923">
        <v>0.23061868189485976</v>
      </c>
      <c r="S222" s="922">
        <v>0.59</v>
      </c>
      <c r="T222" s="922">
        <v>0.59</v>
      </c>
      <c r="U222" s="922">
        <v>0.59</v>
      </c>
      <c r="V222" s="922">
        <v>0.59</v>
      </c>
      <c r="W222" s="922">
        <v>0.59</v>
      </c>
      <c r="X222" s="933">
        <v>0.36609374078737494</v>
      </c>
      <c r="Y222" s="918">
        <v>2228819.96</v>
      </c>
      <c r="Z222" s="918">
        <v>6088112.7199999997</v>
      </c>
      <c r="AA222" s="923">
        <v>0.59</v>
      </c>
      <c r="AB222" s="923">
        <v>0.6</v>
      </c>
      <c r="AC222" s="923">
        <v>0.59</v>
      </c>
      <c r="AD222" s="923">
        <v>0.6</v>
      </c>
      <c r="AE222" s="923">
        <v>0.62</v>
      </c>
      <c r="AF222" s="916" t="s">
        <v>1240</v>
      </c>
      <c r="AG222" s="916" t="s">
        <v>1563</v>
      </c>
      <c r="AH222" s="916"/>
    </row>
    <row r="223" spans="1:34" ht="28.5">
      <c r="A223" s="914">
        <v>216</v>
      </c>
      <c r="B223" s="914" t="s">
        <v>228</v>
      </c>
      <c r="C223" s="914" t="s">
        <v>1620</v>
      </c>
      <c r="D223" s="914" t="s">
        <v>1632</v>
      </c>
      <c r="E223" s="914" t="s">
        <v>1283</v>
      </c>
      <c r="F223" s="915" t="s">
        <v>1290</v>
      </c>
      <c r="G223" s="921" t="s">
        <v>1285</v>
      </c>
      <c r="H223" s="921" t="s">
        <v>1210</v>
      </c>
      <c r="I223" s="917" t="s">
        <v>1633</v>
      </c>
      <c r="J223" s="917" t="s">
        <v>1290</v>
      </c>
      <c r="K223" s="916" t="s">
        <v>1592</v>
      </c>
      <c r="L223" s="914">
        <v>2016</v>
      </c>
      <c r="M223" s="918" t="s">
        <v>168</v>
      </c>
      <c r="N223" s="918" t="s">
        <v>168</v>
      </c>
      <c r="O223" s="918" t="s">
        <v>168</v>
      </c>
      <c r="P223" s="919" t="s">
        <v>168</v>
      </c>
      <c r="Q223" s="919" t="s">
        <v>168</v>
      </c>
      <c r="R223" s="919" t="s">
        <v>168</v>
      </c>
      <c r="S223" s="918" t="s">
        <v>168</v>
      </c>
      <c r="T223" s="918" t="s">
        <v>168</v>
      </c>
      <c r="U223" s="918" t="s">
        <v>168</v>
      </c>
      <c r="V223" s="918" t="s">
        <v>168</v>
      </c>
      <c r="W223" s="918" t="s">
        <v>168</v>
      </c>
      <c r="X223" s="934" t="s">
        <v>168</v>
      </c>
      <c r="Y223" s="918" t="s">
        <v>168</v>
      </c>
      <c r="Z223" s="918" t="s">
        <v>168</v>
      </c>
      <c r="AA223" s="919" t="s">
        <v>168</v>
      </c>
      <c r="AB223" s="919" t="s">
        <v>168</v>
      </c>
      <c r="AC223" s="919" t="s">
        <v>168</v>
      </c>
      <c r="AD223" s="919" t="s">
        <v>168</v>
      </c>
      <c r="AE223" s="919" t="s">
        <v>168</v>
      </c>
      <c r="AF223" s="916"/>
      <c r="AG223" s="916"/>
      <c r="AH223" s="916"/>
    </row>
    <row r="224" spans="1:34" ht="28.5">
      <c r="A224" s="914">
        <v>217</v>
      </c>
      <c r="B224" s="914" t="s">
        <v>228</v>
      </c>
      <c r="C224" s="914" t="s">
        <v>1620</v>
      </c>
      <c r="D224" s="914" t="s">
        <v>1632</v>
      </c>
      <c r="E224" s="914" t="s">
        <v>1283</v>
      </c>
      <c r="F224" s="915" t="s">
        <v>1291</v>
      </c>
      <c r="G224" s="921" t="s">
        <v>1285</v>
      </c>
      <c r="H224" s="921" t="s">
        <v>1210</v>
      </c>
      <c r="I224" s="917" t="s">
        <v>1633</v>
      </c>
      <c r="J224" s="917" t="s">
        <v>1291</v>
      </c>
      <c r="K224" s="916" t="s">
        <v>1592</v>
      </c>
      <c r="L224" s="914">
        <v>2016</v>
      </c>
      <c r="M224" s="918" t="s">
        <v>168</v>
      </c>
      <c r="N224" s="918" t="s">
        <v>168</v>
      </c>
      <c r="O224" s="918" t="s">
        <v>168</v>
      </c>
      <c r="P224" s="919" t="s">
        <v>168</v>
      </c>
      <c r="Q224" s="919" t="s">
        <v>168</v>
      </c>
      <c r="R224" s="919" t="s">
        <v>168</v>
      </c>
      <c r="S224" s="918" t="s">
        <v>168</v>
      </c>
      <c r="T224" s="918" t="s">
        <v>168</v>
      </c>
      <c r="U224" s="918" t="s">
        <v>168</v>
      </c>
      <c r="V224" s="918" t="s">
        <v>168</v>
      </c>
      <c r="W224" s="918" t="s">
        <v>168</v>
      </c>
      <c r="X224" s="934" t="s">
        <v>168</v>
      </c>
      <c r="Y224" s="918" t="s">
        <v>168</v>
      </c>
      <c r="Z224" s="918" t="s">
        <v>168</v>
      </c>
      <c r="AA224" s="919" t="s">
        <v>168</v>
      </c>
      <c r="AB224" s="919" t="s">
        <v>168</v>
      </c>
      <c r="AC224" s="919" t="s">
        <v>168</v>
      </c>
      <c r="AD224" s="919" t="s">
        <v>168</v>
      </c>
      <c r="AE224" s="919" t="s">
        <v>168</v>
      </c>
      <c r="AF224" s="916"/>
      <c r="AG224" s="916"/>
      <c r="AH224" s="916"/>
    </row>
    <row r="225" spans="1:34" ht="28.5">
      <c r="A225" s="914">
        <v>218</v>
      </c>
      <c r="B225" s="914" t="s">
        <v>228</v>
      </c>
      <c r="C225" s="914" t="s">
        <v>1620</v>
      </c>
      <c r="D225" s="914" t="s">
        <v>1632</v>
      </c>
      <c r="E225" s="914" t="s">
        <v>1283</v>
      </c>
      <c r="F225" s="915" t="s">
        <v>1292</v>
      </c>
      <c r="G225" s="921" t="s">
        <v>1285</v>
      </c>
      <c r="H225" s="921" t="s">
        <v>1210</v>
      </c>
      <c r="I225" s="917" t="s">
        <v>1633</v>
      </c>
      <c r="J225" s="917" t="s">
        <v>1292</v>
      </c>
      <c r="K225" s="916" t="s">
        <v>1592</v>
      </c>
      <c r="L225" s="914">
        <v>2016</v>
      </c>
      <c r="M225" s="922">
        <v>0.80329775077727517</v>
      </c>
      <c r="N225" s="918">
        <v>4358165.2699999996</v>
      </c>
      <c r="O225" s="918">
        <v>5425342.3039999995</v>
      </c>
      <c r="P225" s="923">
        <v>0.50170709125760793</v>
      </c>
      <c r="Q225" s="923">
        <v>0.64686998690963415</v>
      </c>
      <c r="R225" s="923">
        <v>0.36813183337040906</v>
      </c>
      <c r="S225" s="922">
        <v>0.8</v>
      </c>
      <c r="T225" s="922">
        <v>0.8</v>
      </c>
      <c r="U225" s="922">
        <v>0.8</v>
      </c>
      <c r="V225" s="922">
        <v>0.8</v>
      </c>
      <c r="W225" s="922">
        <v>0.8</v>
      </c>
      <c r="X225" s="933">
        <v>0.38160162875565157</v>
      </c>
      <c r="Y225" s="918">
        <v>2323233.73</v>
      </c>
      <c r="Z225" s="918">
        <v>6088112.7199999997</v>
      </c>
      <c r="AA225" s="923">
        <v>0.8</v>
      </c>
      <c r="AB225" s="923">
        <v>0.73914323071167376</v>
      </c>
      <c r="AC225" s="923">
        <v>0.7353246076746911</v>
      </c>
      <c r="AD225" s="923">
        <v>0.76584763509377485</v>
      </c>
      <c r="AE225" s="923">
        <v>0.77978967917052411</v>
      </c>
      <c r="AF225" s="916" t="s">
        <v>1240</v>
      </c>
      <c r="AG225" s="916" t="s">
        <v>1564</v>
      </c>
      <c r="AH225" s="916"/>
    </row>
    <row r="226" spans="1:34" ht="57">
      <c r="A226" s="914">
        <v>219</v>
      </c>
      <c r="B226" s="914" t="s">
        <v>228</v>
      </c>
      <c r="C226" s="914" t="s">
        <v>1620</v>
      </c>
      <c r="D226" s="914" t="s">
        <v>1634</v>
      </c>
      <c r="E226" s="914" t="s">
        <v>1635</v>
      </c>
      <c r="F226" s="915" t="s">
        <v>1636</v>
      </c>
      <c r="G226" s="921" t="s">
        <v>1637</v>
      </c>
      <c r="H226" s="921" t="s">
        <v>1360</v>
      </c>
      <c r="I226" s="917" t="s">
        <v>1638</v>
      </c>
      <c r="J226" s="917" t="s">
        <v>1639</v>
      </c>
      <c r="K226" s="916" t="s">
        <v>1592</v>
      </c>
      <c r="L226" s="914" t="s">
        <v>1363</v>
      </c>
      <c r="M226" s="918" t="s">
        <v>1363</v>
      </c>
      <c r="N226" s="918" t="s">
        <v>1363</v>
      </c>
      <c r="O226" s="918" t="s">
        <v>1363</v>
      </c>
      <c r="P226" s="919" t="s">
        <v>1364</v>
      </c>
      <c r="Q226" s="919" t="s">
        <v>1364</v>
      </c>
      <c r="R226" s="919" t="s">
        <v>1364</v>
      </c>
      <c r="S226" s="918" t="s">
        <v>1364</v>
      </c>
      <c r="T226" s="918" t="s">
        <v>1364</v>
      </c>
      <c r="U226" s="918" t="s">
        <v>1364</v>
      </c>
      <c r="V226" s="918" t="s">
        <v>1364</v>
      </c>
      <c r="W226" s="918" t="s">
        <v>1364</v>
      </c>
      <c r="X226" s="934" t="s">
        <v>1364</v>
      </c>
      <c r="Y226" s="918" t="s">
        <v>168</v>
      </c>
      <c r="Z226" s="918" t="s">
        <v>168</v>
      </c>
      <c r="AA226" s="918" t="s">
        <v>168</v>
      </c>
      <c r="AB226" s="919" t="s">
        <v>168</v>
      </c>
      <c r="AC226" s="919" t="s">
        <v>168</v>
      </c>
      <c r="AD226" s="919" t="s">
        <v>168</v>
      </c>
      <c r="AE226" s="919" t="s">
        <v>168</v>
      </c>
      <c r="AF226" s="916" t="s">
        <v>1640</v>
      </c>
      <c r="AG226" s="916" t="s">
        <v>1641</v>
      </c>
      <c r="AH226" s="916"/>
    </row>
    <row r="227" spans="1:34" ht="57">
      <c r="A227" s="914">
        <v>220</v>
      </c>
      <c r="B227" s="914" t="s">
        <v>228</v>
      </c>
      <c r="C227" s="914" t="s">
        <v>1620</v>
      </c>
      <c r="D227" s="914" t="s">
        <v>1642</v>
      </c>
      <c r="E227" s="914" t="s">
        <v>1643</v>
      </c>
      <c r="F227" s="915" t="s">
        <v>1338</v>
      </c>
      <c r="G227" s="921" t="s">
        <v>1644</v>
      </c>
      <c r="H227" s="921" t="s">
        <v>1210</v>
      </c>
      <c r="I227" s="917" t="s">
        <v>1645</v>
      </c>
      <c r="J227" s="917" t="s">
        <v>1646</v>
      </c>
      <c r="K227" s="916" t="s">
        <v>1592</v>
      </c>
      <c r="L227" s="914">
        <v>2016</v>
      </c>
      <c r="M227" s="926">
        <v>3.3813165392112758E-2</v>
      </c>
      <c r="N227" s="918">
        <v>451</v>
      </c>
      <c r="O227" s="918">
        <v>13338</v>
      </c>
      <c r="P227" s="927">
        <v>3.4952337721289153E-2</v>
      </c>
      <c r="Q227" s="927">
        <v>4.9756097560975612E-2</v>
      </c>
      <c r="R227" s="927">
        <v>4.8934806983821882E-2</v>
      </c>
      <c r="S227" s="926">
        <v>3.5999999999999997E-2</v>
      </c>
      <c r="T227" s="926">
        <v>3.5999999999999997E-2</v>
      </c>
      <c r="U227" s="926">
        <v>3.5999999999999997E-2</v>
      </c>
      <c r="V227" s="926">
        <v>0.04</v>
      </c>
      <c r="W227" s="926">
        <v>4.4999999999999998E-2</v>
      </c>
      <c r="X227" s="927">
        <v>4.9723320158102768E-2</v>
      </c>
      <c r="Y227" s="918">
        <v>629</v>
      </c>
      <c r="Z227" s="918">
        <v>12650</v>
      </c>
      <c r="AA227" s="927">
        <v>0.04</v>
      </c>
      <c r="AB227" s="927">
        <v>0.05</v>
      </c>
      <c r="AC227" s="927">
        <v>0.05</v>
      </c>
      <c r="AD227" s="927">
        <v>0.05</v>
      </c>
      <c r="AE227" s="927">
        <v>0.05</v>
      </c>
      <c r="AF227" s="916"/>
      <c r="AG227" s="916" t="s">
        <v>1647</v>
      </c>
      <c r="AH227" s="916"/>
    </row>
    <row r="228" spans="1:34" ht="57">
      <c r="A228" s="914">
        <v>221</v>
      </c>
      <c r="B228" s="914" t="s">
        <v>228</v>
      </c>
      <c r="C228" s="914" t="s">
        <v>1620</v>
      </c>
      <c r="D228" s="914" t="s">
        <v>1642</v>
      </c>
      <c r="E228" s="914" t="s">
        <v>1648</v>
      </c>
      <c r="F228" s="915" t="s">
        <v>1649</v>
      </c>
      <c r="G228" s="921" t="s">
        <v>1650</v>
      </c>
      <c r="H228" s="921" t="s">
        <v>1210</v>
      </c>
      <c r="I228" s="917" t="s">
        <v>1651</v>
      </c>
      <c r="J228" s="917" t="s">
        <v>1652</v>
      </c>
      <c r="K228" s="916" t="s">
        <v>1592</v>
      </c>
      <c r="L228" s="914">
        <v>2016</v>
      </c>
      <c r="M228" s="918">
        <v>106.08006918075569</v>
      </c>
      <c r="N228" s="918">
        <v>15034684500</v>
      </c>
      <c r="O228" s="918">
        <v>141729588</v>
      </c>
      <c r="P228" s="919">
        <v>107.03568006109994</v>
      </c>
      <c r="Q228" s="919">
        <v>116.01016145395785</v>
      </c>
      <c r="R228" s="919">
        <v>127.68679991795969</v>
      </c>
      <c r="S228" s="918">
        <v>105.01926848894813</v>
      </c>
      <c r="T228" s="918">
        <v>104.48886814304434</v>
      </c>
      <c r="U228" s="918">
        <v>103.95846779714057</v>
      </c>
      <c r="V228" s="918">
        <v>100.7760657217179</v>
      </c>
      <c r="W228" s="918">
        <v>95.472062262680126</v>
      </c>
      <c r="X228" s="934">
        <v>112.09532067291133</v>
      </c>
      <c r="Y228" s="918">
        <v>150677297</v>
      </c>
      <c r="Z228" s="918">
        <v>134418900</v>
      </c>
      <c r="AA228" s="919">
        <v>100.7760657217179</v>
      </c>
      <c r="AB228" s="919">
        <v>95</v>
      </c>
      <c r="AC228" s="919">
        <v>95</v>
      </c>
      <c r="AD228" s="919">
        <v>95</v>
      </c>
      <c r="AE228" s="919">
        <v>95</v>
      </c>
      <c r="AF228" s="916" t="s">
        <v>1653</v>
      </c>
      <c r="AG228" s="916"/>
      <c r="AH228" s="916"/>
    </row>
    <row r="229" spans="1:34" ht="99.75">
      <c r="A229" s="914">
        <v>222</v>
      </c>
      <c r="B229" s="914" t="s">
        <v>228</v>
      </c>
      <c r="C229" s="914" t="s">
        <v>1620</v>
      </c>
      <c r="D229" s="914" t="s">
        <v>1654</v>
      </c>
      <c r="E229" s="914" t="s">
        <v>1655</v>
      </c>
      <c r="F229" s="915" t="s">
        <v>1338</v>
      </c>
      <c r="G229" s="921" t="s">
        <v>1656</v>
      </c>
      <c r="H229" s="921" t="s">
        <v>1360</v>
      </c>
      <c r="I229" s="917" t="s">
        <v>1657</v>
      </c>
      <c r="J229" s="917" t="s">
        <v>1658</v>
      </c>
      <c r="K229" s="916" t="s">
        <v>1592</v>
      </c>
      <c r="L229" s="914" t="s">
        <v>1363</v>
      </c>
      <c r="M229" s="926">
        <v>2.0392862498125656E-2</v>
      </c>
      <c r="N229" s="918" t="s">
        <v>1363</v>
      </c>
      <c r="O229" s="918" t="s">
        <v>1363</v>
      </c>
      <c r="P229" s="927">
        <v>1.3390830685428961E-2</v>
      </c>
      <c r="Q229" s="927">
        <v>1.3414634146341463E-2</v>
      </c>
      <c r="R229" s="927">
        <v>2.098350152170431E-2</v>
      </c>
      <c r="S229" s="918" t="s">
        <v>1363</v>
      </c>
      <c r="T229" s="918" t="s">
        <v>1363</v>
      </c>
      <c r="U229" s="918" t="s">
        <v>1363</v>
      </c>
      <c r="V229" s="918" t="s">
        <v>1363</v>
      </c>
      <c r="W229" s="918" t="s">
        <v>1363</v>
      </c>
      <c r="X229" s="927">
        <v>7.0513833992094863E-2</v>
      </c>
      <c r="Y229" s="918">
        <v>9478392</v>
      </c>
      <c r="Z229" s="918">
        <v>134418900</v>
      </c>
      <c r="AA229" s="919" t="s">
        <v>1363</v>
      </c>
      <c r="AB229" s="927">
        <v>7.0000000000000007E-2</v>
      </c>
      <c r="AC229" s="927">
        <v>7.0000000000000007E-2</v>
      </c>
      <c r="AD229" s="927">
        <v>7.0000000000000007E-2</v>
      </c>
      <c r="AE229" s="927">
        <v>7.0000000000000007E-2</v>
      </c>
      <c r="AF229" s="916" t="s">
        <v>1659</v>
      </c>
      <c r="AG229" s="916"/>
      <c r="AH229" s="916"/>
    </row>
    <row r="230" spans="1:34" ht="57">
      <c r="A230" s="914">
        <v>223</v>
      </c>
      <c r="B230" s="914" t="s">
        <v>228</v>
      </c>
      <c r="C230" s="914" t="s">
        <v>1660</v>
      </c>
      <c r="D230" s="914" t="s">
        <v>1661</v>
      </c>
      <c r="E230" s="914" t="s">
        <v>1242</v>
      </c>
      <c r="F230" s="915" t="s">
        <v>1243</v>
      </c>
      <c r="G230" s="921" t="s">
        <v>1244</v>
      </c>
      <c r="H230" s="921" t="s">
        <v>1210</v>
      </c>
      <c r="I230" s="917" t="s">
        <v>1662</v>
      </c>
      <c r="J230" s="917" t="s">
        <v>1243</v>
      </c>
      <c r="K230" s="916" t="s">
        <v>1663</v>
      </c>
      <c r="L230" s="914">
        <v>2016</v>
      </c>
      <c r="M230" s="918" t="s">
        <v>168</v>
      </c>
      <c r="N230" s="918" t="s">
        <v>168</v>
      </c>
      <c r="O230" s="918" t="s">
        <v>168</v>
      </c>
      <c r="P230" s="933" t="s">
        <v>168</v>
      </c>
      <c r="Q230" s="933" t="s">
        <v>168</v>
      </c>
      <c r="R230" s="933" t="s">
        <v>168</v>
      </c>
      <c r="S230" s="918" t="s">
        <v>168</v>
      </c>
      <c r="T230" s="918" t="s">
        <v>168</v>
      </c>
      <c r="U230" s="918" t="s">
        <v>168</v>
      </c>
      <c r="V230" s="918" t="s">
        <v>168</v>
      </c>
      <c r="W230" s="918" t="s">
        <v>168</v>
      </c>
      <c r="X230" s="933" t="s">
        <v>168</v>
      </c>
      <c r="Y230" s="918" t="s">
        <v>168</v>
      </c>
      <c r="Z230" s="918" t="s">
        <v>168</v>
      </c>
      <c r="AA230" s="919" t="s">
        <v>168</v>
      </c>
      <c r="AB230" s="919" t="s">
        <v>168</v>
      </c>
      <c r="AC230" s="919" t="s">
        <v>168</v>
      </c>
      <c r="AD230" s="919" t="s">
        <v>168</v>
      </c>
      <c r="AE230" s="919" t="s">
        <v>168</v>
      </c>
      <c r="AF230" s="916"/>
      <c r="AG230" s="916"/>
      <c r="AH230" s="916"/>
    </row>
    <row r="231" spans="1:34" ht="57">
      <c r="A231" s="914">
        <v>224</v>
      </c>
      <c r="B231" s="914" t="s">
        <v>228</v>
      </c>
      <c r="C231" s="914" t="s">
        <v>1660</v>
      </c>
      <c r="D231" s="914" t="s">
        <v>1661</v>
      </c>
      <c r="E231" s="914" t="s">
        <v>1242</v>
      </c>
      <c r="F231" s="915" t="s">
        <v>1246</v>
      </c>
      <c r="G231" s="921" t="s">
        <v>1244</v>
      </c>
      <c r="H231" s="921" t="s">
        <v>1210</v>
      </c>
      <c r="I231" s="917" t="s">
        <v>1662</v>
      </c>
      <c r="J231" s="917" t="s">
        <v>1246</v>
      </c>
      <c r="K231" s="916" t="s">
        <v>1663</v>
      </c>
      <c r="L231" s="914">
        <v>2016</v>
      </c>
      <c r="M231" s="918" t="s">
        <v>168</v>
      </c>
      <c r="N231" s="918" t="s">
        <v>168</v>
      </c>
      <c r="O231" s="918" t="s">
        <v>168</v>
      </c>
      <c r="P231" s="933" t="s">
        <v>168</v>
      </c>
      <c r="Q231" s="933" t="s">
        <v>168</v>
      </c>
      <c r="R231" s="933" t="s">
        <v>168</v>
      </c>
      <c r="S231" s="918" t="s">
        <v>168</v>
      </c>
      <c r="T231" s="918" t="s">
        <v>168</v>
      </c>
      <c r="U231" s="918" t="s">
        <v>168</v>
      </c>
      <c r="V231" s="918" t="s">
        <v>168</v>
      </c>
      <c r="W231" s="918" t="s">
        <v>168</v>
      </c>
      <c r="X231" s="933" t="s">
        <v>168</v>
      </c>
      <c r="Y231" s="918" t="s">
        <v>168</v>
      </c>
      <c r="Z231" s="918" t="s">
        <v>168</v>
      </c>
      <c r="AA231" s="919" t="s">
        <v>168</v>
      </c>
      <c r="AB231" s="919" t="s">
        <v>168</v>
      </c>
      <c r="AC231" s="919" t="s">
        <v>168</v>
      </c>
      <c r="AD231" s="919" t="s">
        <v>168</v>
      </c>
      <c r="AE231" s="919" t="s">
        <v>168</v>
      </c>
      <c r="AF231" s="916"/>
      <c r="AG231" s="916"/>
      <c r="AH231" s="916"/>
    </row>
    <row r="232" spans="1:34" ht="57">
      <c r="A232" s="914">
        <v>225</v>
      </c>
      <c r="B232" s="914" t="s">
        <v>228</v>
      </c>
      <c r="C232" s="914" t="s">
        <v>1660</v>
      </c>
      <c r="D232" s="914" t="s">
        <v>1661</v>
      </c>
      <c r="E232" s="914" t="s">
        <v>1242</v>
      </c>
      <c r="F232" s="915" t="s">
        <v>1247</v>
      </c>
      <c r="G232" s="921" t="s">
        <v>1244</v>
      </c>
      <c r="H232" s="921" t="s">
        <v>1210</v>
      </c>
      <c r="I232" s="917" t="s">
        <v>1662</v>
      </c>
      <c r="J232" s="917" t="s">
        <v>1247</v>
      </c>
      <c r="K232" s="916" t="s">
        <v>1663</v>
      </c>
      <c r="L232" s="914">
        <v>2016</v>
      </c>
      <c r="M232" s="918" t="s">
        <v>168</v>
      </c>
      <c r="N232" s="918" t="s">
        <v>168</v>
      </c>
      <c r="O232" s="918" t="s">
        <v>168</v>
      </c>
      <c r="P232" s="933" t="s">
        <v>168</v>
      </c>
      <c r="Q232" s="933" t="s">
        <v>168</v>
      </c>
      <c r="R232" s="933" t="s">
        <v>168</v>
      </c>
      <c r="S232" s="918" t="s">
        <v>168</v>
      </c>
      <c r="T232" s="918" t="s">
        <v>168</v>
      </c>
      <c r="U232" s="918" t="s">
        <v>168</v>
      </c>
      <c r="V232" s="918" t="s">
        <v>168</v>
      </c>
      <c r="W232" s="918" t="s">
        <v>168</v>
      </c>
      <c r="X232" s="933" t="s">
        <v>168</v>
      </c>
      <c r="Y232" s="918" t="s">
        <v>168</v>
      </c>
      <c r="Z232" s="918" t="s">
        <v>168</v>
      </c>
      <c r="AA232" s="919" t="s">
        <v>168</v>
      </c>
      <c r="AB232" s="919" t="s">
        <v>168</v>
      </c>
      <c r="AC232" s="919" t="s">
        <v>168</v>
      </c>
      <c r="AD232" s="919" t="s">
        <v>168</v>
      </c>
      <c r="AE232" s="919" t="s">
        <v>168</v>
      </c>
      <c r="AF232" s="916"/>
      <c r="AG232" s="916"/>
      <c r="AH232" s="916"/>
    </row>
    <row r="233" spans="1:34" ht="57">
      <c r="A233" s="914">
        <v>226</v>
      </c>
      <c r="B233" s="914" t="s">
        <v>228</v>
      </c>
      <c r="C233" s="914" t="s">
        <v>1660</v>
      </c>
      <c r="D233" s="914" t="s">
        <v>1661</v>
      </c>
      <c r="E233" s="914" t="s">
        <v>1242</v>
      </c>
      <c r="F233" s="915" t="s">
        <v>1248</v>
      </c>
      <c r="G233" s="921" t="s">
        <v>1244</v>
      </c>
      <c r="H233" s="921" t="s">
        <v>1210</v>
      </c>
      <c r="I233" s="917" t="s">
        <v>1662</v>
      </c>
      <c r="J233" s="917" t="s">
        <v>1248</v>
      </c>
      <c r="K233" s="916" t="s">
        <v>1663</v>
      </c>
      <c r="L233" s="914">
        <v>2016</v>
      </c>
      <c r="M233" s="918" t="s">
        <v>168</v>
      </c>
      <c r="N233" s="918" t="s">
        <v>168</v>
      </c>
      <c r="O233" s="918" t="s">
        <v>168</v>
      </c>
      <c r="P233" s="934" t="s">
        <v>168</v>
      </c>
      <c r="Q233" s="934" t="s">
        <v>168</v>
      </c>
      <c r="R233" s="934" t="s">
        <v>168</v>
      </c>
      <c r="S233" s="918" t="s">
        <v>168</v>
      </c>
      <c r="T233" s="918" t="s">
        <v>168</v>
      </c>
      <c r="U233" s="918" t="s">
        <v>168</v>
      </c>
      <c r="V233" s="918" t="s">
        <v>168</v>
      </c>
      <c r="W233" s="918" t="s">
        <v>168</v>
      </c>
      <c r="X233" s="933" t="s">
        <v>168</v>
      </c>
      <c r="Y233" s="918" t="s">
        <v>168</v>
      </c>
      <c r="Z233" s="918" t="s">
        <v>168</v>
      </c>
      <c r="AA233" s="919" t="s">
        <v>168</v>
      </c>
      <c r="AB233" s="919" t="s">
        <v>168</v>
      </c>
      <c r="AC233" s="919" t="s">
        <v>168</v>
      </c>
      <c r="AD233" s="919" t="s">
        <v>168</v>
      </c>
      <c r="AE233" s="919" t="s">
        <v>168</v>
      </c>
      <c r="AF233" s="916"/>
      <c r="AG233" s="916"/>
      <c r="AH233" s="916"/>
    </row>
    <row r="234" spans="1:34" ht="57">
      <c r="A234" s="914">
        <v>227</v>
      </c>
      <c r="B234" s="914" t="s">
        <v>228</v>
      </c>
      <c r="C234" s="914" t="s">
        <v>1660</v>
      </c>
      <c r="D234" s="914" t="s">
        <v>1661</v>
      </c>
      <c r="E234" s="914" t="s">
        <v>1242</v>
      </c>
      <c r="F234" s="915" t="s">
        <v>1249</v>
      </c>
      <c r="G234" s="921" t="s">
        <v>1244</v>
      </c>
      <c r="H234" s="921" t="s">
        <v>1210</v>
      </c>
      <c r="I234" s="917" t="s">
        <v>1662</v>
      </c>
      <c r="J234" s="917" t="s">
        <v>1249</v>
      </c>
      <c r="K234" s="916" t="s">
        <v>1663</v>
      </c>
      <c r="L234" s="914">
        <v>2016</v>
      </c>
      <c r="M234" s="918">
        <v>4579094.51</v>
      </c>
      <c r="N234" s="918" t="s">
        <v>168</v>
      </c>
      <c r="O234" s="918" t="s">
        <v>168</v>
      </c>
      <c r="P234" s="934">
        <v>1429753.6862000001</v>
      </c>
      <c r="Q234" s="934">
        <v>936227.96</v>
      </c>
      <c r="R234" s="934">
        <v>674197.35</v>
      </c>
      <c r="S234" s="918">
        <v>3004424.0981000001</v>
      </c>
      <c r="T234" s="918">
        <v>4693571.8727499992</v>
      </c>
      <c r="U234" s="918">
        <v>4808049.2355000004</v>
      </c>
      <c r="V234" s="918">
        <v>15111011.883000001</v>
      </c>
      <c r="W234" s="918">
        <v>13737283.529999999</v>
      </c>
      <c r="X234" s="934">
        <v>6586959.4000000004</v>
      </c>
      <c r="Y234" s="918" t="s">
        <v>168</v>
      </c>
      <c r="Z234" s="918" t="s">
        <v>168</v>
      </c>
      <c r="AA234" s="919">
        <v>15111011.883000001</v>
      </c>
      <c r="AB234" s="919">
        <v>7268784</v>
      </c>
      <c r="AC234" s="919">
        <v>7283616</v>
      </c>
      <c r="AD234" s="919">
        <v>7080987</v>
      </c>
      <c r="AE234" s="919">
        <v>6935384</v>
      </c>
      <c r="AF234" s="916" t="s">
        <v>1493</v>
      </c>
      <c r="AG234" s="916" t="s">
        <v>802</v>
      </c>
      <c r="AH234" s="916"/>
    </row>
    <row r="235" spans="1:34" ht="57">
      <c r="A235" s="914">
        <v>228</v>
      </c>
      <c r="B235" s="914" t="s">
        <v>228</v>
      </c>
      <c r="C235" s="914" t="s">
        <v>1660</v>
      </c>
      <c r="D235" s="914" t="s">
        <v>1661</v>
      </c>
      <c r="E235" s="914" t="s">
        <v>1242</v>
      </c>
      <c r="F235" s="915" t="s">
        <v>1250</v>
      </c>
      <c r="G235" s="921" t="s">
        <v>1244</v>
      </c>
      <c r="H235" s="921" t="s">
        <v>1210</v>
      </c>
      <c r="I235" s="917" t="s">
        <v>1662</v>
      </c>
      <c r="J235" s="917" t="s">
        <v>1250</v>
      </c>
      <c r="K235" s="916" t="s">
        <v>1663</v>
      </c>
      <c r="L235" s="914">
        <v>2016</v>
      </c>
      <c r="M235" s="918">
        <v>2372078.0184999998</v>
      </c>
      <c r="N235" s="918" t="s">
        <v>168</v>
      </c>
      <c r="O235" s="918" t="s">
        <v>168</v>
      </c>
      <c r="P235" s="934">
        <v>821623.78488000005</v>
      </c>
      <c r="Q235" s="934">
        <v>530172.22</v>
      </c>
      <c r="R235" s="934">
        <v>485588.07</v>
      </c>
      <c r="S235" s="918">
        <v>1596850.90169</v>
      </c>
      <c r="T235" s="918">
        <v>2431379.9689624994</v>
      </c>
      <c r="U235" s="918">
        <v>2490681.919425</v>
      </c>
      <c r="V235" s="918">
        <v>7827857.46105</v>
      </c>
      <c r="W235" s="918">
        <v>7116234.0554999989</v>
      </c>
      <c r="X235" s="934">
        <v>3829899.43</v>
      </c>
      <c r="Y235" s="918" t="s">
        <v>168</v>
      </c>
      <c r="Z235" s="918" t="s">
        <v>168</v>
      </c>
      <c r="AA235" s="919">
        <v>7827857.46105</v>
      </c>
      <c r="AB235" s="919">
        <v>4538892</v>
      </c>
      <c r="AC235" s="919">
        <v>4546308</v>
      </c>
      <c r="AD235" s="919">
        <v>4444994</v>
      </c>
      <c r="AE235" s="919">
        <v>4372192</v>
      </c>
      <c r="AF235" s="916" t="s">
        <v>1493</v>
      </c>
      <c r="AG235" s="916" t="s">
        <v>802</v>
      </c>
      <c r="AH235" s="916"/>
    </row>
    <row r="236" spans="1:34" ht="57">
      <c r="A236" s="914">
        <v>229</v>
      </c>
      <c r="B236" s="914" t="s">
        <v>228</v>
      </c>
      <c r="C236" s="914" t="s">
        <v>1660</v>
      </c>
      <c r="D236" s="914" t="s">
        <v>1661</v>
      </c>
      <c r="E236" s="914" t="s">
        <v>1242</v>
      </c>
      <c r="F236" s="915" t="s">
        <v>1251</v>
      </c>
      <c r="G236" s="921" t="s">
        <v>1244</v>
      </c>
      <c r="H236" s="921" t="s">
        <v>1210</v>
      </c>
      <c r="I236" s="917" t="s">
        <v>1662</v>
      </c>
      <c r="J236" s="917" t="s">
        <v>1251</v>
      </c>
      <c r="K236" s="916" t="s">
        <v>1663</v>
      </c>
      <c r="L236" s="914">
        <v>2016</v>
      </c>
      <c r="M236" s="918" t="s">
        <v>168</v>
      </c>
      <c r="N236" s="918" t="s">
        <v>168</v>
      </c>
      <c r="O236" s="918" t="s">
        <v>168</v>
      </c>
      <c r="P236" s="934" t="s">
        <v>168</v>
      </c>
      <c r="Q236" s="934" t="s">
        <v>168</v>
      </c>
      <c r="R236" s="934" t="s">
        <v>168</v>
      </c>
      <c r="S236" s="918" t="s">
        <v>168</v>
      </c>
      <c r="T236" s="918" t="s">
        <v>168</v>
      </c>
      <c r="U236" s="918" t="s">
        <v>168</v>
      </c>
      <c r="V236" s="918" t="s">
        <v>168</v>
      </c>
      <c r="W236" s="918" t="s">
        <v>168</v>
      </c>
      <c r="X236" s="934" t="s">
        <v>168</v>
      </c>
      <c r="Y236" s="918" t="s">
        <v>168</v>
      </c>
      <c r="Z236" s="918" t="s">
        <v>168</v>
      </c>
      <c r="AA236" s="919" t="s">
        <v>168</v>
      </c>
      <c r="AB236" s="919" t="s">
        <v>168</v>
      </c>
      <c r="AC236" s="919" t="s">
        <v>168</v>
      </c>
      <c r="AD236" s="919" t="s">
        <v>168</v>
      </c>
      <c r="AE236" s="919" t="s">
        <v>168</v>
      </c>
      <c r="AF236" s="919" t="s">
        <v>168</v>
      </c>
      <c r="AG236" s="916"/>
      <c r="AH236" s="916"/>
    </row>
    <row r="237" spans="1:34" ht="57">
      <c r="A237" s="914">
        <v>230</v>
      </c>
      <c r="B237" s="914" t="s">
        <v>228</v>
      </c>
      <c r="C237" s="914" t="s">
        <v>1660</v>
      </c>
      <c r="D237" s="914" t="s">
        <v>1661</v>
      </c>
      <c r="E237" s="914" t="s">
        <v>1242</v>
      </c>
      <c r="F237" s="915" t="s">
        <v>1252</v>
      </c>
      <c r="G237" s="921" t="s">
        <v>1244</v>
      </c>
      <c r="H237" s="921" t="s">
        <v>1210</v>
      </c>
      <c r="I237" s="917" t="s">
        <v>1662</v>
      </c>
      <c r="J237" s="917" t="s">
        <v>1252</v>
      </c>
      <c r="K237" s="916" t="s">
        <v>1663</v>
      </c>
      <c r="L237" s="914">
        <v>2016</v>
      </c>
      <c r="M237" s="918" t="s">
        <v>168</v>
      </c>
      <c r="N237" s="918" t="s">
        <v>168</v>
      </c>
      <c r="O237" s="918" t="s">
        <v>168</v>
      </c>
      <c r="P237" s="934" t="s">
        <v>168</v>
      </c>
      <c r="Q237" s="934" t="s">
        <v>168</v>
      </c>
      <c r="R237" s="934" t="s">
        <v>168</v>
      </c>
      <c r="S237" s="918" t="s">
        <v>168</v>
      </c>
      <c r="T237" s="918" t="s">
        <v>168</v>
      </c>
      <c r="U237" s="918" t="s">
        <v>168</v>
      </c>
      <c r="V237" s="918" t="s">
        <v>168</v>
      </c>
      <c r="W237" s="918" t="s">
        <v>168</v>
      </c>
      <c r="X237" s="934" t="s">
        <v>168</v>
      </c>
      <c r="Y237" s="918" t="s">
        <v>168</v>
      </c>
      <c r="Z237" s="918" t="s">
        <v>168</v>
      </c>
      <c r="AA237" s="919" t="s">
        <v>168</v>
      </c>
      <c r="AB237" s="919" t="s">
        <v>168</v>
      </c>
      <c r="AC237" s="919" t="s">
        <v>168</v>
      </c>
      <c r="AD237" s="919" t="s">
        <v>168</v>
      </c>
      <c r="AE237" s="919" t="s">
        <v>168</v>
      </c>
      <c r="AF237" s="919" t="s">
        <v>168</v>
      </c>
      <c r="AG237" s="916"/>
      <c r="AH237" s="916"/>
    </row>
    <row r="238" spans="1:34" ht="57">
      <c r="A238" s="914">
        <v>231</v>
      </c>
      <c r="B238" s="914" t="s">
        <v>228</v>
      </c>
      <c r="C238" s="914" t="s">
        <v>1660</v>
      </c>
      <c r="D238" s="914" t="s">
        <v>1661</v>
      </c>
      <c r="E238" s="914" t="s">
        <v>1242</v>
      </c>
      <c r="F238" s="915" t="s">
        <v>1253</v>
      </c>
      <c r="G238" s="921" t="s">
        <v>1244</v>
      </c>
      <c r="H238" s="921" t="s">
        <v>1210</v>
      </c>
      <c r="I238" s="917" t="s">
        <v>1662</v>
      </c>
      <c r="J238" s="917" t="s">
        <v>1253</v>
      </c>
      <c r="K238" s="916" t="s">
        <v>1663</v>
      </c>
      <c r="L238" s="914">
        <v>2016</v>
      </c>
      <c r="M238" s="918" t="s">
        <v>168</v>
      </c>
      <c r="N238" s="918" t="s">
        <v>168</v>
      </c>
      <c r="O238" s="918" t="s">
        <v>168</v>
      </c>
      <c r="P238" s="934" t="s">
        <v>168</v>
      </c>
      <c r="Q238" s="934" t="s">
        <v>168</v>
      </c>
      <c r="R238" s="934" t="s">
        <v>168</v>
      </c>
      <c r="S238" s="918" t="s">
        <v>168</v>
      </c>
      <c r="T238" s="918" t="s">
        <v>168</v>
      </c>
      <c r="U238" s="918" t="s">
        <v>168</v>
      </c>
      <c r="V238" s="918" t="s">
        <v>168</v>
      </c>
      <c r="W238" s="918" t="s">
        <v>168</v>
      </c>
      <c r="X238" s="934" t="s">
        <v>168</v>
      </c>
      <c r="Y238" s="918" t="s">
        <v>168</v>
      </c>
      <c r="Z238" s="918" t="s">
        <v>168</v>
      </c>
      <c r="AA238" s="919" t="s">
        <v>168</v>
      </c>
      <c r="AB238" s="919" t="s">
        <v>168</v>
      </c>
      <c r="AC238" s="919" t="s">
        <v>168</v>
      </c>
      <c r="AD238" s="919" t="s">
        <v>168</v>
      </c>
      <c r="AE238" s="919" t="s">
        <v>168</v>
      </c>
      <c r="AF238" s="919" t="s">
        <v>168</v>
      </c>
      <c r="AG238" s="916"/>
      <c r="AH238" s="916"/>
    </row>
    <row r="239" spans="1:34" ht="57">
      <c r="A239" s="914">
        <v>232</v>
      </c>
      <c r="B239" s="914" t="s">
        <v>228</v>
      </c>
      <c r="C239" s="914" t="s">
        <v>1660</v>
      </c>
      <c r="D239" s="914" t="s">
        <v>1661</v>
      </c>
      <c r="E239" s="914" t="s">
        <v>1242</v>
      </c>
      <c r="F239" s="915" t="s">
        <v>1254</v>
      </c>
      <c r="G239" s="921" t="s">
        <v>1244</v>
      </c>
      <c r="H239" s="921" t="s">
        <v>1210</v>
      </c>
      <c r="I239" s="917" t="s">
        <v>1662</v>
      </c>
      <c r="J239" s="917" t="s">
        <v>1254</v>
      </c>
      <c r="K239" s="916" t="s">
        <v>1663</v>
      </c>
      <c r="L239" s="914">
        <v>2016</v>
      </c>
      <c r="M239" s="918" t="s">
        <v>168</v>
      </c>
      <c r="N239" s="918" t="s">
        <v>168</v>
      </c>
      <c r="O239" s="918" t="s">
        <v>168</v>
      </c>
      <c r="P239" s="934" t="s">
        <v>168</v>
      </c>
      <c r="Q239" s="934" t="s">
        <v>168</v>
      </c>
      <c r="R239" s="934" t="s">
        <v>168</v>
      </c>
      <c r="S239" s="918" t="s">
        <v>168</v>
      </c>
      <c r="T239" s="918" t="s">
        <v>168</v>
      </c>
      <c r="U239" s="918" t="s">
        <v>168</v>
      </c>
      <c r="V239" s="918" t="s">
        <v>168</v>
      </c>
      <c r="W239" s="918" t="s">
        <v>168</v>
      </c>
      <c r="X239" s="934" t="s">
        <v>168</v>
      </c>
      <c r="Y239" s="918" t="s">
        <v>168</v>
      </c>
      <c r="Z239" s="918" t="s">
        <v>168</v>
      </c>
      <c r="AA239" s="919" t="s">
        <v>168</v>
      </c>
      <c r="AB239" s="919" t="s">
        <v>168</v>
      </c>
      <c r="AC239" s="919" t="s">
        <v>168</v>
      </c>
      <c r="AD239" s="919" t="s">
        <v>168</v>
      </c>
      <c r="AE239" s="919" t="s">
        <v>168</v>
      </c>
      <c r="AF239" s="916"/>
      <c r="AG239" s="916"/>
      <c r="AH239" s="916"/>
    </row>
    <row r="240" spans="1:34" ht="57">
      <c r="A240" s="914">
        <v>233</v>
      </c>
      <c r="B240" s="914" t="s">
        <v>228</v>
      </c>
      <c r="C240" s="914" t="s">
        <v>1660</v>
      </c>
      <c r="D240" s="914" t="s">
        <v>1661</v>
      </c>
      <c r="E240" s="914" t="s">
        <v>1242</v>
      </c>
      <c r="F240" s="915" t="s">
        <v>1255</v>
      </c>
      <c r="G240" s="921" t="s">
        <v>1244</v>
      </c>
      <c r="H240" s="921" t="s">
        <v>1210</v>
      </c>
      <c r="I240" s="917" t="s">
        <v>1662</v>
      </c>
      <c r="J240" s="917" t="s">
        <v>1255</v>
      </c>
      <c r="K240" s="916" t="s">
        <v>1663</v>
      </c>
      <c r="L240" s="914">
        <v>2016</v>
      </c>
      <c r="M240" s="918">
        <v>42317800.909000002</v>
      </c>
      <c r="N240" s="918" t="s">
        <v>168</v>
      </c>
      <c r="O240" s="918" t="s">
        <v>168</v>
      </c>
      <c r="P240" s="934">
        <v>19790561.726</v>
      </c>
      <c r="Q240" s="934">
        <v>15041074.689999999</v>
      </c>
      <c r="R240" s="934">
        <v>7885829.0999999996</v>
      </c>
      <c r="S240" s="918">
        <v>42317800.909000002</v>
      </c>
      <c r="T240" s="918">
        <v>43375745.931724995</v>
      </c>
      <c r="U240" s="918">
        <v>44433690.954450004</v>
      </c>
      <c r="V240" s="918">
        <v>139648742.99970001</v>
      </c>
      <c r="W240" s="918">
        <v>126953402.727</v>
      </c>
      <c r="X240" s="934">
        <v>50967472.270000003</v>
      </c>
      <c r="Y240" s="918" t="s">
        <v>168</v>
      </c>
      <c r="Z240" s="918" t="s">
        <v>168</v>
      </c>
      <c r="AA240" s="919">
        <v>139648742.99970001</v>
      </c>
      <c r="AB240" s="919">
        <v>73391755</v>
      </c>
      <c r="AC240" s="919">
        <v>73614248</v>
      </c>
      <c r="AD240" s="919">
        <v>70574806</v>
      </c>
      <c r="AE240" s="919">
        <v>68390765</v>
      </c>
      <c r="AF240" s="916" t="s">
        <v>1493</v>
      </c>
      <c r="AG240" s="916" t="s">
        <v>802</v>
      </c>
      <c r="AH240" s="916"/>
    </row>
    <row r="241" spans="1:34" ht="57">
      <c r="A241" s="914">
        <v>234</v>
      </c>
      <c r="B241" s="914" t="s">
        <v>228</v>
      </c>
      <c r="C241" s="914" t="s">
        <v>1660</v>
      </c>
      <c r="D241" s="914" t="s">
        <v>1661</v>
      </c>
      <c r="E241" s="914" t="s">
        <v>1242</v>
      </c>
      <c r="F241" s="915" t="s">
        <v>1256</v>
      </c>
      <c r="G241" s="921" t="s">
        <v>1244</v>
      </c>
      <c r="H241" s="921" t="s">
        <v>1210</v>
      </c>
      <c r="I241" s="917" t="s">
        <v>1662</v>
      </c>
      <c r="J241" s="917" t="s">
        <v>1256</v>
      </c>
      <c r="K241" s="916" t="s">
        <v>1663</v>
      </c>
      <c r="L241" s="914">
        <v>2016</v>
      </c>
      <c r="M241" s="918">
        <v>23612962.502</v>
      </c>
      <c r="N241" s="918" t="s">
        <v>168</v>
      </c>
      <c r="O241" s="918" t="s">
        <v>168</v>
      </c>
      <c r="P241" s="934">
        <v>11318757.540999999</v>
      </c>
      <c r="Q241" s="934">
        <v>8509879.4299999997</v>
      </c>
      <c r="R241" s="934">
        <v>5088553.92</v>
      </c>
      <c r="S241" s="918">
        <v>23612962.502</v>
      </c>
      <c r="T241" s="918">
        <v>24203286.564549997</v>
      </c>
      <c r="U241" s="918">
        <v>24793610.627100002</v>
      </c>
      <c r="V241" s="918">
        <v>77922776.256600007</v>
      </c>
      <c r="W241" s="918">
        <v>70838887.505999997</v>
      </c>
      <c r="X241" s="934">
        <v>29259508.609999999</v>
      </c>
      <c r="Y241" s="918" t="s">
        <v>168</v>
      </c>
      <c r="Z241" s="918" t="s">
        <v>168</v>
      </c>
      <c r="AA241" s="919">
        <v>77922776.256600007</v>
      </c>
      <c r="AB241" s="919">
        <v>44143377</v>
      </c>
      <c r="AC241" s="919">
        <v>44254624</v>
      </c>
      <c r="AD241" s="919">
        <v>42734903</v>
      </c>
      <c r="AE241" s="919">
        <v>41642882</v>
      </c>
      <c r="AF241" s="916" t="s">
        <v>1493</v>
      </c>
      <c r="AG241" s="916" t="s">
        <v>802</v>
      </c>
      <c r="AH241" s="916"/>
    </row>
    <row r="242" spans="1:34" ht="28.5">
      <c r="A242" s="914">
        <v>235</v>
      </c>
      <c r="B242" s="914" t="s">
        <v>228</v>
      </c>
      <c r="C242" s="914" t="s">
        <v>1660</v>
      </c>
      <c r="D242" s="914" t="s">
        <v>1664</v>
      </c>
      <c r="E242" s="914" t="s">
        <v>1234</v>
      </c>
      <c r="F242" s="915" t="s">
        <v>1235</v>
      </c>
      <c r="G242" s="921" t="s">
        <v>1236</v>
      </c>
      <c r="H242" s="921" t="s">
        <v>1210</v>
      </c>
      <c r="I242" s="917" t="s">
        <v>1665</v>
      </c>
      <c r="J242" s="917" t="s">
        <v>1299</v>
      </c>
      <c r="K242" s="916" t="s">
        <v>1663</v>
      </c>
      <c r="L242" s="914">
        <v>2016</v>
      </c>
      <c r="M242" s="918">
        <v>21329</v>
      </c>
      <c r="N242" s="918" t="s">
        <v>168</v>
      </c>
      <c r="O242" s="918" t="s">
        <v>168</v>
      </c>
      <c r="P242" s="934">
        <v>8590</v>
      </c>
      <c r="Q242" s="934">
        <v>4665.1899999999996</v>
      </c>
      <c r="R242" s="934">
        <v>3615.65</v>
      </c>
      <c r="S242" s="918">
        <v>21329</v>
      </c>
      <c r="T242" s="918">
        <v>21862.224999999999</v>
      </c>
      <c r="U242" s="918">
        <v>22395.45</v>
      </c>
      <c r="V242" s="918">
        <v>23461.9</v>
      </c>
      <c r="W242" s="918">
        <v>31993.5</v>
      </c>
      <c r="X242" s="934">
        <v>34957.17</v>
      </c>
      <c r="Y242" s="918" t="s">
        <v>168</v>
      </c>
      <c r="Z242" s="918" t="s">
        <v>168</v>
      </c>
      <c r="AA242" s="919">
        <v>23461.9</v>
      </c>
      <c r="AB242" s="919">
        <v>29526</v>
      </c>
      <c r="AC242" s="919">
        <v>29622</v>
      </c>
      <c r="AD242" s="919">
        <v>28397</v>
      </c>
      <c r="AE242" s="919">
        <v>28227</v>
      </c>
      <c r="AF242" s="919" t="s">
        <v>1240</v>
      </c>
      <c r="AG242" s="919"/>
      <c r="AH242" s="916"/>
    </row>
    <row r="243" spans="1:34" ht="128.25">
      <c r="A243" s="914">
        <v>236</v>
      </c>
      <c r="B243" s="914" t="s">
        <v>228</v>
      </c>
      <c r="C243" s="914" t="s">
        <v>1660</v>
      </c>
      <c r="D243" s="914" t="s">
        <v>1666</v>
      </c>
      <c r="E243" s="914" t="s">
        <v>1523</v>
      </c>
      <c r="F243" s="915" t="s">
        <v>1338</v>
      </c>
      <c r="G243" s="921" t="s">
        <v>1339</v>
      </c>
      <c r="H243" s="921" t="s">
        <v>1210</v>
      </c>
      <c r="I243" s="917" t="s">
        <v>1667</v>
      </c>
      <c r="J243" s="917" t="s">
        <v>1531</v>
      </c>
      <c r="K243" s="916" t="s">
        <v>1663</v>
      </c>
      <c r="L243" s="914">
        <v>2016</v>
      </c>
      <c r="M243" s="926">
        <v>1.2814460106562353E-3</v>
      </c>
      <c r="N243" s="918">
        <v>19</v>
      </c>
      <c r="O243" s="918">
        <v>14827</v>
      </c>
      <c r="P243" s="931">
        <v>8.3033490174370332E-4</v>
      </c>
      <c r="Q243" s="931">
        <v>4.8743123737901258E-4</v>
      </c>
      <c r="R243" s="931">
        <v>1.4320492624946297E-4</v>
      </c>
      <c r="S243" s="929">
        <v>1.2814460106562353E-3</v>
      </c>
      <c r="T243" s="929">
        <v>1.313482160922641E-3</v>
      </c>
      <c r="U243" s="929">
        <v>1.3455183111890472E-3</v>
      </c>
      <c r="V243" s="929">
        <v>1.409590611721859E-3</v>
      </c>
      <c r="W243" s="929">
        <v>1.922169015984353E-3</v>
      </c>
      <c r="X243" s="931">
        <v>2.199736031676199E-4</v>
      </c>
      <c r="Y243" s="918">
        <v>3</v>
      </c>
      <c r="Z243" s="918">
        <v>13638</v>
      </c>
      <c r="AA243" s="931">
        <v>1.409590611721859E-3</v>
      </c>
      <c r="AB243" s="931">
        <v>1.9E-3</v>
      </c>
      <c r="AC243" s="931">
        <v>1.9E-3</v>
      </c>
      <c r="AD243" s="931">
        <v>1.9E-3</v>
      </c>
      <c r="AE243" s="931">
        <v>1.9E-3</v>
      </c>
      <c r="AF243" s="916" t="s">
        <v>1623</v>
      </c>
      <c r="AG243" s="916" t="s">
        <v>1446</v>
      </c>
      <c r="AH243" s="916"/>
    </row>
    <row r="244" spans="1:34" ht="128.25">
      <c r="A244" s="914">
        <v>237</v>
      </c>
      <c r="B244" s="914" t="s">
        <v>228</v>
      </c>
      <c r="C244" s="914" t="s">
        <v>1660</v>
      </c>
      <c r="D244" s="914" t="s">
        <v>1666</v>
      </c>
      <c r="E244" s="914" t="s">
        <v>1527</v>
      </c>
      <c r="F244" s="915" t="s">
        <v>1338</v>
      </c>
      <c r="G244" s="921" t="s">
        <v>1339</v>
      </c>
      <c r="H244" s="921" t="s">
        <v>1210</v>
      </c>
      <c r="I244" s="917" t="s">
        <v>1668</v>
      </c>
      <c r="J244" s="917" t="s">
        <v>1528</v>
      </c>
      <c r="K244" s="916" t="s">
        <v>1663</v>
      </c>
      <c r="L244" s="914">
        <v>2016</v>
      </c>
      <c r="M244" s="926">
        <v>1.015228426395939E-2</v>
      </c>
      <c r="N244" s="918">
        <v>12</v>
      </c>
      <c r="O244" s="918">
        <v>1182</v>
      </c>
      <c r="P244" s="931">
        <v>7.7787381158167671E-3</v>
      </c>
      <c r="Q244" s="931">
        <v>5.2863436123348016E-3</v>
      </c>
      <c r="R244" s="931">
        <v>6.18921308576481E-3</v>
      </c>
      <c r="S244" s="929">
        <v>1.015228426395939E-2</v>
      </c>
      <c r="T244" s="929">
        <v>1.0406091370558373E-2</v>
      </c>
      <c r="U244" s="929">
        <v>1.065989847715736E-2</v>
      </c>
      <c r="V244" s="929">
        <v>1.1167512690355329E-2</v>
      </c>
      <c r="W244" s="929">
        <v>1.5228426395939085E-2</v>
      </c>
      <c r="X244" s="931">
        <v>1.9175455417066154E-3</v>
      </c>
      <c r="Y244" s="922">
        <v>2</v>
      </c>
      <c r="Z244" s="918">
        <v>1043</v>
      </c>
      <c r="AA244" s="931">
        <v>1.1167512690355329E-2</v>
      </c>
      <c r="AB244" s="931">
        <v>1.52E-2</v>
      </c>
      <c r="AC244" s="931">
        <v>1.52E-2</v>
      </c>
      <c r="AD244" s="931">
        <v>1.52E-2</v>
      </c>
      <c r="AE244" s="931">
        <v>1.52E-2</v>
      </c>
      <c r="AF244" s="916" t="s">
        <v>1623</v>
      </c>
      <c r="AG244" s="916" t="s">
        <v>1446</v>
      </c>
      <c r="AH244" s="916"/>
    </row>
    <row r="245" spans="1:34" ht="128.25">
      <c r="A245" s="914">
        <v>238</v>
      </c>
      <c r="B245" s="914" t="s">
        <v>228</v>
      </c>
      <c r="C245" s="914" t="s">
        <v>1660</v>
      </c>
      <c r="D245" s="914" t="s">
        <v>1666</v>
      </c>
      <c r="E245" s="914" t="s">
        <v>1529</v>
      </c>
      <c r="F245" s="915" t="s">
        <v>1338</v>
      </c>
      <c r="G245" s="921" t="s">
        <v>1339</v>
      </c>
      <c r="H245" s="921" t="s">
        <v>1210</v>
      </c>
      <c r="I245" s="917" t="s">
        <v>1669</v>
      </c>
      <c r="J245" s="917" t="s">
        <v>1525</v>
      </c>
      <c r="K245" s="916" t="s">
        <v>1663</v>
      </c>
      <c r="L245" s="914">
        <v>2016</v>
      </c>
      <c r="M245" s="926">
        <v>4.5531197301854974E-2</v>
      </c>
      <c r="N245" s="918">
        <v>54</v>
      </c>
      <c r="O245" s="918">
        <v>1186</v>
      </c>
      <c r="P245" s="927">
        <v>3.1678082191780824E-2</v>
      </c>
      <c r="Q245" s="927">
        <v>2.9411764705882353E-2</v>
      </c>
      <c r="R245" s="927">
        <v>2.6933101650738488E-2</v>
      </c>
      <c r="S245" s="926">
        <v>4.5531197301854974E-2</v>
      </c>
      <c r="T245" s="926">
        <v>4.6669477234401346E-2</v>
      </c>
      <c r="U245" s="926">
        <v>4.7807757166947726E-2</v>
      </c>
      <c r="V245" s="926">
        <v>5.0084317032040478E-2</v>
      </c>
      <c r="W245" s="926">
        <v>6.8296795952782458E-2</v>
      </c>
      <c r="X245" s="927">
        <v>2.4816176470588234E-2</v>
      </c>
      <c r="Y245" s="918">
        <v>27</v>
      </c>
      <c r="Z245" s="918">
        <v>1088</v>
      </c>
      <c r="AA245" s="927">
        <v>5.0084317032040478E-2</v>
      </c>
      <c r="AB245" s="927">
        <v>7.0000000000000007E-2</v>
      </c>
      <c r="AC245" s="927">
        <v>7.0000000000000007E-2</v>
      </c>
      <c r="AD245" s="927">
        <v>7.0000000000000007E-2</v>
      </c>
      <c r="AE245" s="927">
        <v>7.0000000000000007E-2</v>
      </c>
      <c r="AF245" s="916" t="s">
        <v>1623</v>
      </c>
      <c r="AG245" s="916" t="s">
        <v>1446</v>
      </c>
      <c r="AH245" s="916"/>
    </row>
    <row r="246" spans="1:34" ht="128.25">
      <c r="A246" s="914">
        <v>239</v>
      </c>
      <c r="B246" s="914" t="s">
        <v>228</v>
      </c>
      <c r="C246" s="914" t="s">
        <v>1660</v>
      </c>
      <c r="D246" s="914" t="s">
        <v>1670</v>
      </c>
      <c r="E246" s="914" t="s">
        <v>1671</v>
      </c>
      <c r="F246" s="915" t="s">
        <v>1338</v>
      </c>
      <c r="G246" s="921" t="s">
        <v>1672</v>
      </c>
      <c r="H246" s="921" t="s">
        <v>1360</v>
      </c>
      <c r="I246" s="917" t="s">
        <v>1673</v>
      </c>
      <c r="J246" s="917" t="s">
        <v>1674</v>
      </c>
      <c r="K246" s="916" t="s">
        <v>1663</v>
      </c>
      <c r="L246" s="914" t="s">
        <v>1363</v>
      </c>
      <c r="M246" s="926">
        <v>9.4422337627301546E-4</v>
      </c>
      <c r="N246" s="918" t="s">
        <v>1363</v>
      </c>
      <c r="O246" s="918" t="s">
        <v>1363</v>
      </c>
      <c r="P246" s="927">
        <v>7.611403265983947E-4</v>
      </c>
      <c r="Q246" s="927">
        <v>4.8743123737901258E-4</v>
      </c>
      <c r="R246" s="927">
        <v>1.4320492624946297E-4</v>
      </c>
      <c r="S246" s="918" t="s">
        <v>1363</v>
      </c>
      <c r="T246" s="918" t="s">
        <v>1363</v>
      </c>
      <c r="U246" s="918" t="s">
        <v>1364</v>
      </c>
      <c r="V246" s="918" t="s">
        <v>1364</v>
      </c>
      <c r="W246" s="918" t="s">
        <v>1364</v>
      </c>
      <c r="X246" s="927">
        <v>2.199736031676199E-4</v>
      </c>
      <c r="Y246" s="918" t="s">
        <v>168</v>
      </c>
      <c r="Z246" s="918" t="s">
        <v>168</v>
      </c>
      <c r="AA246" s="918" t="s">
        <v>168</v>
      </c>
      <c r="AB246" s="918" t="s">
        <v>168</v>
      </c>
      <c r="AC246" s="918" t="s">
        <v>168</v>
      </c>
      <c r="AD246" s="918" t="s">
        <v>168</v>
      </c>
      <c r="AE246" s="918" t="s">
        <v>168</v>
      </c>
      <c r="AF246" s="916" t="s">
        <v>1675</v>
      </c>
      <c r="AG246" s="916" t="s">
        <v>1676</v>
      </c>
      <c r="AH246" s="916"/>
    </row>
    <row r="247" spans="1:34" ht="128.25">
      <c r="A247" s="914">
        <v>240</v>
      </c>
      <c r="B247" s="914" t="s">
        <v>228</v>
      </c>
      <c r="C247" s="914" t="s">
        <v>1660</v>
      </c>
      <c r="D247" s="914" t="s">
        <v>1670</v>
      </c>
      <c r="E247" s="914" t="s">
        <v>1677</v>
      </c>
      <c r="F247" s="915" t="s">
        <v>1338</v>
      </c>
      <c r="G247" s="921" t="s">
        <v>1672</v>
      </c>
      <c r="H247" s="921" t="s">
        <v>1360</v>
      </c>
      <c r="I247" s="917" t="s">
        <v>1673</v>
      </c>
      <c r="J247" s="917" t="s">
        <v>1678</v>
      </c>
      <c r="K247" s="916" t="s">
        <v>1663</v>
      </c>
      <c r="L247" s="914" t="s">
        <v>1363</v>
      </c>
      <c r="M247" s="926">
        <v>1.015228426395939E-2</v>
      </c>
      <c r="N247" s="918" t="s">
        <v>1363</v>
      </c>
      <c r="O247" s="918" t="s">
        <v>1363</v>
      </c>
      <c r="P247" s="927">
        <v>6.0501296456352636E-3</v>
      </c>
      <c r="Q247" s="927">
        <v>4.4052863436123352E-3</v>
      </c>
      <c r="R247" s="927">
        <v>5.3050397877984082E-3</v>
      </c>
      <c r="S247" s="918" t="s">
        <v>1363</v>
      </c>
      <c r="T247" s="918" t="s">
        <v>1363</v>
      </c>
      <c r="U247" s="918" t="s">
        <v>1364</v>
      </c>
      <c r="V247" s="918" t="s">
        <v>1364</v>
      </c>
      <c r="W247" s="918" t="s">
        <v>1364</v>
      </c>
      <c r="X247" s="927">
        <v>1.9175455417066154E-3</v>
      </c>
      <c r="Y247" s="918" t="s">
        <v>168</v>
      </c>
      <c r="Z247" s="918" t="s">
        <v>168</v>
      </c>
      <c r="AA247" s="918" t="s">
        <v>168</v>
      </c>
      <c r="AB247" s="918" t="s">
        <v>168</v>
      </c>
      <c r="AC247" s="918" t="s">
        <v>168</v>
      </c>
      <c r="AD247" s="918" t="s">
        <v>168</v>
      </c>
      <c r="AE247" s="918" t="s">
        <v>168</v>
      </c>
      <c r="AF247" s="916" t="s">
        <v>1679</v>
      </c>
      <c r="AG247" s="916" t="s">
        <v>1676</v>
      </c>
      <c r="AH247" s="916"/>
    </row>
    <row r="248" spans="1:34" ht="128.25">
      <c r="A248" s="914">
        <v>241</v>
      </c>
      <c r="B248" s="914" t="s">
        <v>228</v>
      </c>
      <c r="C248" s="914" t="s">
        <v>1660</v>
      </c>
      <c r="D248" s="914" t="s">
        <v>1670</v>
      </c>
      <c r="E248" s="914" t="s">
        <v>1680</v>
      </c>
      <c r="F248" s="915" t="s">
        <v>1338</v>
      </c>
      <c r="G248" s="921" t="s">
        <v>1672</v>
      </c>
      <c r="H248" s="921" t="s">
        <v>1360</v>
      </c>
      <c r="I248" s="917" t="s">
        <v>1673</v>
      </c>
      <c r="J248" s="917" t="s">
        <v>1681</v>
      </c>
      <c r="K248" s="916" t="s">
        <v>1663</v>
      </c>
      <c r="L248" s="914" t="s">
        <v>1363</v>
      </c>
      <c r="M248" s="926">
        <v>2.866779089376054E-2</v>
      </c>
      <c r="N248" s="918" t="s">
        <v>1363</v>
      </c>
      <c r="O248" s="918" t="s">
        <v>1363</v>
      </c>
      <c r="P248" s="927">
        <v>2.482876712328767E-2</v>
      </c>
      <c r="Q248" s="927">
        <v>2.2491349480968859E-2</v>
      </c>
      <c r="R248" s="927">
        <v>1.6507384882710686E-2</v>
      </c>
      <c r="S248" s="918" t="s">
        <v>1363</v>
      </c>
      <c r="T248" s="918" t="s">
        <v>1363</v>
      </c>
      <c r="U248" s="918" t="s">
        <v>1364</v>
      </c>
      <c r="V248" s="918" t="s">
        <v>1364</v>
      </c>
      <c r="W248" s="918" t="s">
        <v>1364</v>
      </c>
      <c r="X248" s="927">
        <v>1.8382352941176471E-2</v>
      </c>
      <c r="Y248" s="918" t="s">
        <v>168</v>
      </c>
      <c r="Z248" s="918" t="s">
        <v>168</v>
      </c>
      <c r="AA248" s="919" t="s">
        <v>1364</v>
      </c>
      <c r="AB248" s="919" t="s">
        <v>168</v>
      </c>
      <c r="AC248" s="919" t="s">
        <v>168</v>
      </c>
      <c r="AD248" s="919" t="s">
        <v>168</v>
      </c>
      <c r="AE248" s="919" t="s">
        <v>168</v>
      </c>
      <c r="AF248" s="916" t="s">
        <v>1682</v>
      </c>
      <c r="AG248" s="916" t="s">
        <v>1676</v>
      </c>
      <c r="AH248" s="916"/>
    </row>
    <row r="249" spans="1:34" ht="28.5">
      <c r="A249" s="914">
        <v>242</v>
      </c>
      <c r="B249" s="914" t="s">
        <v>228</v>
      </c>
      <c r="C249" s="914" t="s">
        <v>1660</v>
      </c>
      <c r="D249" s="914" t="s">
        <v>1683</v>
      </c>
      <c r="E249" s="914" t="s">
        <v>1283</v>
      </c>
      <c r="F249" s="915" t="s">
        <v>1284</v>
      </c>
      <c r="G249" s="921" t="s">
        <v>1285</v>
      </c>
      <c r="H249" s="921" t="s">
        <v>1210</v>
      </c>
      <c r="I249" s="917" t="s">
        <v>1684</v>
      </c>
      <c r="J249" s="917" t="s">
        <v>1284</v>
      </c>
      <c r="K249" s="916" t="s">
        <v>1663</v>
      </c>
      <c r="L249" s="914">
        <v>2016</v>
      </c>
      <c r="M249" s="918" t="s">
        <v>168</v>
      </c>
      <c r="N249" s="918" t="s">
        <v>168</v>
      </c>
      <c r="O249" s="918" t="s">
        <v>168</v>
      </c>
      <c r="P249" s="933" t="s">
        <v>168</v>
      </c>
      <c r="Q249" s="927" t="s">
        <v>168</v>
      </c>
      <c r="R249" s="927" t="s">
        <v>168</v>
      </c>
      <c r="S249" s="918" t="s">
        <v>168</v>
      </c>
      <c r="T249" s="918" t="s">
        <v>168</v>
      </c>
      <c r="U249" s="918" t="s">
        <v>168</v>
      </c>
      <c r="V249" s="918" t="s">
        <v>168</v>
      </c>
      <c r="W249" s="918" t="s">
        <v>168</v>
      </c>
      <c r="X249" s="933" t="s">
        <v>168</v>
      </c>
      <c r="Y249" s="918" t="s">
        <v>168</v>
      </c>
      <c r="Z249" s="918" t="s">
        <v>168</v>
      </c>
      <c r="AA249" s="919" t="s">
        <v>168</v>
      </c>
      <c r="AB249" s="919" t="s">
        <v>168</v>
      </c>
      <c r="AC249" s="919" t="s">
        <v>168</v>
      </c>
      <c r="AD249" s="919" t="s">
        <v>168</v>
      </c>
      <c r="AE249" s="919" t="s">
        <v>168</v>
      </c>
      <c r="AF249" s="916"/>
      <c r="AG249" s="916"/>
      <c r="AH249" s="916"/>
    </row>
    <row r="250" spans="1:34" ht="28.5">
      <c r="A250" s="914">
        <v>243</v>
      </c>
      <c r="B250" s="914" t="s">
        <v>228</v>
      </c>
      <c r="C250" s="914" t="s">
        <v>1660</v>
      </c>
      <c r="D250" s="914" t="s">
        <v>1683</v>
      </c>
      <c r="E250" s="914" t="s">
        <v>1283</v>
      </c>
      <c r="F250" s="915" t="s">
        <v>1287</v>
      </c>
      <c r="G250" s="921" t="s">
        <v>1285</v>
      </c>
      <c r="H250" s="921" t="s">
        <v>1210</v>
      </c>
      <c r="I250" s="917" t="s">
        <v>1684</v>
      </c>
      <c r="J250" s="917" t="s">
        <v>1287</v>
      </c>
      <c r="K250" s="916" t="s">
        <v>1663</v>
      </c>
      <c r="L250" s="914">
        <v>2016</v>
      </c>
      <c r="M250" s="918" t="s">
        <v>168</v>
      </c>
      <c r="N250" s="918" t="s">
        <v>168</v>
      </c>
      <c r="O250" s="918" t="s">
        <v>168</v>
      </c>
      <c r="P250" s="933" t="s">
        <v>168</v>
      </c>
      <c r="Q250" s="927" t="s">
        <v>168</v>
      </c>
      <c r="R250" s="927" t="s">
        <v>168</v>
      </c>
      <c r="S250" s="918" t="s">
        <v>168</v>
      </c>
      <c r="T250" s="918" t="s">
        <v>168</v>
      </c>
      <c r="U250" s="918" t="s">
        <v>168</v>
      </c>
      <c r="V250" s="918" t="s">
        <v>168</v>
      </c>
      <c r="W250" s="918" t="s">
        <v>168</v>
      </c>
      <c r="X250" s="933" t="s">
        <v>168</v>
      </c>
      <c r="Y250" s="918" t="s">
        <v>168</v>
      </c>
      <c r="Z250" s="918" t="s">
        <v>168</v>
      </c>
      <c r="AA250" s="919" t="s">
        <v>168</v>
      </c>
      <c r="AB250" s="919" t="s">
        <v>168</v>
      </c>
      <c r="AC250" s="919" t="s">
        <v>168</v>
      </c>
      <c r="AD250" s="919" t="s">
        <v>168</v>
      </c>
      <c r="AE250" s="919" t="s">
        <v>168</v>
      </c>
      <c r="AF250" s="916"/>
      <c r="AG250" s="916"/>
      <c r="AH250" s="916"/>
    </row>
    <row r="251" spans="1:34" ht="28.5">
      <c r="A251" s="914">
        <v>244</v>
      </c>
      <c r="B251" s="914" t="s">
        <v>228</v>
      </c>
      <c r="C251" s="914" t="s">
        <v>1660</v>
      </c>
      <c r="D251" s="914" t="s">
        <v>1683</v>
      </c>
      <c r="E251" s="914" t="s">
        <v>1283</v>
      </c>
      <c r="F251" s="915" t="s">
        <v>1288</v>
      </c>
      <c r="G251" s="921" t="s">
        <v>1285</v>
      </c>
      <c r="H251" s="921" t="s">
        <v>1210</v>
      </c>
      <c r="I251" s="917" t="s">
        <v>1684</v>
      </c>
      <c r="J251" s="917" t="s">
        <v>1288</v>
      </c>
      <c r="K251" s="916" t="s">
        <v>1663</v>
      </c>
      <c r="L251" s="914">
        <v>2016</v>
      </c>
      <c r="M251" s="922">
        <v>0.27511852862383374</v>
      </c>
      <c r="N251" s="918">
        <v>6496363.5</v>
      </c>
      <c r="O251" s="918">
        <v>23612962.502</v>
      </c>
      <c r="P251" s="933">
        <v>0.35179431713917658</v>
      </c>
      <c r="Q251" s="933">
        <v>0.55313752077448652</v>
      </c>
      <c r="R251" s="933">
        <v>0.7731857914556598</v>
      </c>
      <c r="S251" s="922">
        <v>0.28000000000000003</v>
      </c>
      <c r="T251" s="922">
        <v>0.28000000000000003</v>
      </c>
      <c r="U251" s="922">
        <v>0.28000000000000003</v>
      </c>
      <c r="V251" s="922">
        <v>0.28000000000000003</v>
      </c>
      <c r="W251" s="922">
        <v>0.28000000000000003</v>
      </c>
      <c r="X251" s="933">
        <v>0.24241375084391756</v>
      </c>
      <c r="Y251" s="918">
        <v>7092907.2300000004</v>
      </c>
      <c r="Z251" s="918">
        <v>29259508.609999999</v>
      </c>
      <c r="AA251" s="923">
        <v>0.28000000000000003</v>
      </c>
      <c r="AB251" s="923">
        <v>0.35</v>
      </c>
      <c r="AC251" s="923">
        <v>0.35</v>
      </c>
      <c r="AD251" s="923">
        <v>0.36</v>
      </c>
      <c r="AE251" s="923">
        <v>0.36</v>
      </c>
      <c r="AF251" s="916" t="s">
        <v>1240</v>
      </c>
      <c r="AG251" s="916" t="s">
        <v>1563</v>
      </c>
      <c r="AH251" s="916"/>
    </row>
    <row r="252" spans="1:34" ht="28.5">
      <c r="A252" s="914">
        <v>245</v>
      </c>
      <c r="B252" s="914" t="s">
        <v>228</v>
      </c>
      <c r="C252" s="914" t="s">
        <v>1660</v>
      </c>
      <c r="D252" s="914" t="s">
        <v>1683</v>
      </c>
      <c r="E252" s="914" t="s">
        <v>1283</v>
      </c>
      <c r="F252" s="915" t="s">
        <v>1290</v>
      </c>
      <c r="G252" s="921" t="s">
        <v>1285</v>
      </c>
      <c r="H252" s="921" t="s">
        <v>1210</v>
      </c>
      <c r="I252" s="917" t="s">
        <v>1684</v>
      </c>
      <c r="J252" s="917" t="s">
        <v>1290</v>
      </c>
      <c r="K252" s="916" t="s">
        <v>1663</v>
      </c>
      <c r="L252" s="914">
        <v>2016</v>
      </c>
      <c r="M252" s="918" t="s">
        <v>168</v>
      </c>
      <c r="N252" s="918" t="s">
        <v>168</v>
      </c>
      <c r="O252" s="918" t="s">
        <v>168</v>
      </c>
      <c r="P252" s="933" t="s">
        <v>168</v>
      </c>
      <c r="Q252" s="927" t="s">
        <v>168</v>
      </c>
      <c r="R252" s="927" t="s">
        <v>168</v>
      </c>
      <c r="S252" s="918" t="s">
        <v>168</v>
      </c>
      <c r="T252" s="918" t="s">
        <v>168</v>
      </c>
      <c r="U252" s="918" t="s">
        <v>168</v>
      </c>
      <c r="V252" s="918" t="s">
        <v>168</v>
      </c>
      <c r="W252" s="918" t="s">
        <v>168</v>
      </c>
      <c r="X252" s="933" t="s">
        <v>168</v>
      </c>
      <c r="Y252" s="918" t="s">
        <v>168</v>
      </c>
      <c r="Z252" s="918" t="s">
        <v>168</v>
      </c>
      <c r="AA252" s="919" t="s">
        <v>168</v>
      </c>
      <c r="AB252" s="919" t="s">
        <v>168</v>
      </c>
      <c r="AC252" s="919" t="s">
        <v>168</v>
      </c>
      <c r="AD252" s="919" t="s">
        <v>168</v>
      </c>
      <c r="AE252" s="919" t="s">
        <v>168</v>
      </c>
      <c r="AF252" s="916"/>
      <c r="AG252" s="916"/>
      <c r="AH252" s="916"/>
    </row>
    <row r="253" spans="1:34" ht="28.5">
      <c r="A253" s="914">
        <v>246</v>
      </c>
      <c r="B253" s="914" t="s">
        <v>228</v>
      </c>
      <c r="C253" s="914" t="s">
        <v>1660</v>
      </c>
      <c r="D253" s="914" t="s">
        <v>1683</v>
      </c>
      <c r="E253" s="914" t="s">
        <v>1283</v>
      </c>
      <c r="F253" s="915" t="s">
        <v>1291</v>
      </c>
      <c r="G253" s="921" t="s">
        <v>1285</v>
      </c>
      <c r="H253" s="921" t="s">
        <v>1210</v>
      </c>
      <c r="I253" s="917" t="s">
        <v>1684</v>
      </c>
      <c r="J253" s="917" t="s">
        <v>1291</v>
      </c>
      <c r="K253" s="916" t="s">
        <v>1663</v>
      </c>
      <c r="L253" s="914">
        <v>2016</v>
      </c>
      <c r="M253" s="918" t="s">
        <v>168</v>
      </c>
      <c r="N253" s="918" t="s">
        <v>168</v>
      </c>
      <c r="O253" s="918" t="s">
        <v>168</v>
      </c>
      <c r="P253" s="933" t="s">
        <v>168</v>
      </c>
      <c r="Q253" s="927" t="s">
        <v>168</v>
      </c>
      <c r="R253" s="927" t="s">
        <v>168</v>
      </c>
      <c r="S253" s="918" t="s">
        <v>168</v>
      </c>
      <c r="T253" s="918" t="s">
        <v>168</v>
      </c>
      <c r="U253" s="918" t="s">
        <v>168</v>
      </c>
      <c r="V253" s="918" t="s">
        <v>168</v>
      </c>
      <c r="W253" s="918" t="s">
        <v>168</v>
      </c>
      <c r="X253" s="933" t="s">
        <v>168</v>
      </c>
      <c r="Y253" s="918" t="s">
        <v>168</v>
      </c>
      <c r="Z253" s="918" t="s">
        <v>168</v>
      </c>
      <c r="AA253" s="919" t="s">
        <v>168</v>
      </c>
      <c r="AB253" s="919" t="s">
        <v>168</v>
      </c>
      <c r="AC253" s="919" t="s">
        <v>168</v>
      </c>
      <c r="AD253" s="919" t="s">
        <v>168</v>
      </c>
      <c r="AE253" s="919" t="s">
        <v>168</v>
      </c>
      <c r="AF253" s="916"/>
      <c r="AG253" s="916"/>
      <c r="AH253" s="916"/>
    </row>
    <row r="254" spans="1:34" ht="28.5">
      <c r="A254" s="914">
        <v>247</v>
      </c>
      <c r="B254" s="914" t="s">
        <v>228</v>
      </c>
      <c r="C254" s="914" t="s">
        <v>1660</v>
      </c>
      <c r="D254" s="914" t="s">
        <v>1683</v>
      </c>
      <c r="E254" s="914" t="s">
        <v>1283</v>
      </c>
      <c r="F254" s="915" t="s">
        <v>1292</v>
      </c>
      <c r="G254" s="921" t="s">
        <v>1285</v>
      </c>
      <c r="H254" s="921" t="s">
        <v>1210</v>
      </c>
      <c r="I254" s="917" t="s">
        <v>1684</v>
      </c>
      <c r="J254" s="917" t="s">
        <v>1292</v>
      </c>
      <c r="K254" s="916" t="s">
        <v>1663</v>
      </c>
      <c r="L254" s="914">
        <v>2016</v>
      </c>
      <c r="M254" s="922">
        <v>0.42223149167138763</v>
      </c>
      <c r="N254" s="918">
        <v>9970136.3800000008</v>
      </c>
      <c r="O254" s="918">
        <v>23612962.502</v>
      </c>
      <c r="P254" s="933">
        <v>0.44289323027208399</v>
      </c>
      <c r="Q254" s="933">
        <v>0.60965369517579648</v>
      </c>
      <c r="R254" s="933">
        <v>0.85674680833489136</v>
      </c>
      <c r="S254" s="922">
        <v>0.42</v>
      </c>
      <c r="T254" s="922">
        <v>0.42</v>
      </c>
      <c r="U254" s="922">
        <v>0.42</v>
      </c>
      <c r="V254" s="922">
        <v>0.42</v>
      </c>
      <c r="W254" s="922">
        <v>0.42</v>
      </c>
      <c r="X254" s="933">
        <v>0.35888785659274952</v>
      </c>
      <c r="Y254" s="918">
        <v>10500882.33</v>
      </c>
      <c r="Z254" s="918">
        <v>29259508.609999999</v>
      </c>
      <c r="AA254" s="923">
        <v>0.42</v>
      </c>
      <c r="AB254" s="923">
        <v>0.45</v>
      </c>
      <c r="AC254" s="923">
        <v>0.45</v>
      </c>
      <c r="AD254" s="923">
        <v>0.46</v>
      </c>
      <c r="AE254" s="923">
        <v>0.47</v>
      </c>
      <c r="AF254" s="916" t="s">
        <v>1240</v>
      </c>
      <c r="AG254" s="916" t="s">
        <v>1564</v>
      </c>
      <c r="AH254" s="916"/>
    </row>
    <row r="255" spans="1:34" ht="57">
      <c r="A255" s="914">
        <v>248</v>
      </c>
      <c r="B255" s="914" t="s">
        <v>228</v>
      </c>
      <c r="C255" s="914" t="s">
        <v>1660</v>
      </c>
      <c r="D255" s="914" t="s">
        <v>1685</v>
      </c>
      <c r="E255" s="914" t="s">
        <v>1495</v>
      </c>
      <c r="F255" s="915" t="s">
        <v>1496</v>
      </c>
      <c r="G255" s="921" t="s">
        <v>1497</v>
      </c>
      <c r="H255" s="921" t="s">
        <v>1210</v>
      </c>
      <c r="I255" s="917" t="s">
        <v>1686</v>
      </c>
      <c r="J255" s="917" t="s">
        <v>1496</v>
      </c>
      <c r="K255" s="916" t="s">
        <v>1663</v>
      </c>
      <c r="L255" s="914">
        <v>2016</v>
      </c>
      <c r="M255" s="918" t="s">
        <v>168</v>
      </c>
      <c r="N255" s="918" t="s">
        <v>168</v>
      </c>
      <c r="O255" s="918" t="s">
        <v>168</v>
      </c>
      <c r="P255" s="933" t="s">
        <v>168</v>
      </c>
      <c r="Q255" s="933" t="s">
        <v>168</v>
      </c>
      <c r="R255" s="933" t="s">
        <v>168</v>
      </c>
      <c r="S255" s="918" t="s">
        <v>168</v>
      </c>
      <c r="T255" s="918" t="s">
        <v>168</v>
      </c>
      <c r="U255" s="918" t="s">
        <v>168</v>
      </c>
      <c r="V255" s="918" t="s">
        <v>168</v>
      </c>
      <c r="W255" s="918" t="s">
        <v>168</v>
      </c>
      <c r="X255" s="933" t="s">
        <v>168</v>
      </c>
      <c r="Y255" s="918" t="s">
        <v>168</v>
      </c>
      <c r="Z255" s="918" t="s">
        <v>168</v>
      </c>
      <c r="AA255" s="919" t="s">
        <v>168</v>
      </c>
      <c r="AB255" s="919" t="s">
        <v>168</v>
      </c>
      <c r="AC255" s="919" t="s">
        <v>168</v>
      </c>
      <c r="AD255" s="919" t="s">
        <v>168</v>
      </c>
      <c r="AE255" s="919" t="s">
        <v>168</v>
      </c>
      <c r="AF255" s="936"/>
      <c r="AG255" s="916"/>
      <c r="AH255" s="916"/>
    </row>
    <row r="256" spans="1:34" ht="57">
      <c r="A256" s="914">
        <v>249</v>
      </c>
      <c r="B256" s="914" t="s">
        <v>228</v>
      </c>
      <c r="C256" s="914" t="s">
        <v>1660</v>
      </c>
      <c r="D256" s="914" t="s">
        <v>1685</v>
      </c>
      <c r="E256" s="914" t="s">
        <v>1495</v>
      </c>
      <c r="F256" s="915" t="s">
        <v>1499</v>
      </c>
      <c r="G256" s="921" t="s">
        <v>1497</v>
      </c>
      <c r="H256" s="921" t="s">
        <v>1210</v>
      </c>
      <c r="I256" s="917" t="s">
        <v>1686</v>
      </c>
      <c r="J256" s="917" t="s">
        <v>1499</v>
      </c>
      <c r="K256" s="916" t="s">
        <v>1663</v>
      </c>
      <c r="L256" s="914">
        <v>2016</v>
      </c>
      <c r="M256" s="918" t="s">
        <v>168</v>
      </c>
      <c r="N256" s="918" t="s">
        <v>168</v>
      </c>
      <c r="O256" s="918" t="s">
        <v>168</v>
      </c>
      <c r="P256" s="933" t="s">
        <v>168</v>
      </c>
      <c r="Q256" s="933" t="s">
        <v>168</v>
      </c>
      <c r="R256" s="933" t="s">
        <v>168</v>
      </c>
      <c r="S256" s="918" t="s">
        <v>168</v>
      </c>
      <c r="T256" s="918" t="s">
        <v>168</v>
      </c>
      <c r="U256" s="918" t="s">
        <v>168</v>
      </c>
      <c r="V256" s="918" t="s">
        <v>168</v>
      </c>
      <c r="W256" s="918" t="s">
        <v>168</v>
      </c>
      <c r="X256" s="933" t="s">
        <v>168</v>
      </c>
      <c r="Y256" s="918" t="s">
        <v>168</v>
      </c>
      <c r="Z256" s="918" t="s">
        <v>168</v>
      </c>
      <c r="AA256" s="919" t="s">
        <v>168</v>
      </c>
      <c r="AB256" s="919" t="s">
        <v>168</v>
      </c>
      <c r="AC256" s="919" t="s">
        <v>168</v>
      </c>
      <c r="AD256" s="919" t="s">
        <v>168</v>
      </c>
      <c r="AE256" s="919" t="s">
        <v>168</v>
      </c>
      <c r="AF256" s="936"/>
      <c r="AG256" s="916"/>
      <c r="AH256" s="916"/>
    </row>
    <row r="257" spans="1:34" ht="57">
      <c r="A257" s="914">
        <v>250</v>
      </c>
      <c r="B257" s="914" t="s">
        <v>228</v>
      </c>
      <c r="C257" s="914" t="s">
        <v>1660</v>
      </c>
      <c r="D257" s="914" t="s">
        <v>1685</v>
      </c>
      <c r="E257" s="914" t="s">
        <v>1495</v>
      </c>
      <c r="F257" s="915" t="s">
        <v>1500</v>
      </c>
      <c r="G257" s="921" t="s">
        <v>1497</v>
      </c>
      <c r="H257" s="921" t="s">
        <v>1210</v>
      </c>
      <c r="I257" s="917" t="s">
        <v>1686</v>
      </c>
      <c r="J257" s="917" t="s">
        <v>1500</v>
      </c>
      <c r="K257" s="916" t="s">
        <v>1663</v>
      </c>
      <c r="L257" s="914">
        <v>2016</v>
      </c>
      <c r="M257" s="918" t="s">
        <v>168</v>
      </c>
      <c r="N257" s="918" t="s">
        <v>168</v>
      </c>
      <c r="O257" s="918" t="s">
        <v>168</v>
      </c>
      <c r="P257" s="933" t="s">
        <v>168</v>
      </c>
      <c r="Q257" s="933" t="s">
        <v>168</v>
      </c>
      <c r="R257" s="933" t="s">
        <v>168</v>
      </c>
      <c r="S257" s="918" t="s">
        <v>168</v>
      </c>
      <c r="T257" s="918" t="s">
        <v>168</v>
      </c>
      <c r="U257" s="918" t="s">
        <v>168</v>
      </c>
      <c r="V257" s="918" t="s">
        <v>168</v>
      </c>
      <c r="W257" s="918" t="s">
        <v>168</v>
      </c>
      <c r="X257" s="933" t="s">
        <v>168</v>
      </c>
      <c r="Y257" s="918" t="s">
        <v>168</v>
      </c>
      <c r="Z257" s="918" t="s">
        <v>168</v>
      </c>
      <c r="AA257" s="919" t="s">
        <v>168</v>
      </c>
      <c r="AB257" s="919" t="s">
        <v>168</v>
      </c>
      <c r="AC257" s="919" t="s">
        <v>168</v>
      </c>
      <c r="AD257" s="919" t="s">
        <v>168</v>
      </c>
      <c r="AE257" s="919" t="s">
        <v>168</v>
      </c>
      <c r="AF257" s="936"/>
      <c r="AG257" s="916"/>
      <c r="AH257" s="916"/>
    </row>
    <row r="258" spans="1:34" ht="57">
      <c r="A258" s="914">
        <v>251</v>
      </c>
      <c r="B258" s="914" t="s">
        <v>228</v>
      </c>
      <c r="C258" s="914" t="s">
        <v>1660</v>
      </c>
      <c r="D258" s="914" t="s">
        <v>1685</v>
      </c>
      <c r="E258" s="914" t="s">
        <v>1495</v>
      </c>
      <c r="F258" s="915" t="s">
        <v>1501</v>
      </c>
      <c r="G258" s="921" t="s">
        <v>1497</v>
      </c>
      <c r="H258" s="921" t="s">
        <v>1210</v>
      </c>
      <c r="I258" s="917" t="s">
        <v>1686</v>
      </c>
      <c r="J258" s="917" t="s">
        <v>1501</v>
      </c>
      <c r="K258" s="916" t="s">
        <v>1663</v>
      </c>
      <c r="L258" s="914">
        <v>2016</v>
      </c>
      <c r="M258" s="918" t="s">
        <v>168</v>
      </c>
      <c r="N258" s="918" t="s">
        <v>168</v>
      </c>
      <c r="O258" s="918" t="s">
        <v>168</v>
      </c>
      <c r="P258" s="933" t="s">
        <v>168</v>
      </c>
      <c r="Q258" s="933" t="s">
        <v>168</v>
      </c>
      <c r="R258" s="933" t="s">
        <v>168</v>
      </c>
      <c r="S258" s="918" t="s">
        <v>168</v>
      </c>
      <c r="T258" s="918" t="s">
        <v>168</v>
      </c>
      <c r="U258" s="918" t="s">
        <v>168</v>
      </c>
      <c r="V258" s="918" t="s">
        <v>168</v>
      </c>
      <c r="W258" s="918" t="s">
        <v>168</v>
      </c>
      <c r="X258" s="933" t="s">
        <v>168</v>
      </c>
      <c r="Y258" s="918" t="s">
        <v>168</v>
      </c>
      <c r="Z258" s="918" t="s">
        <v>168</v>
      </c>
      <c r="AA258" s="919" t="s">
        <v>168</v>
      </c>
      <c r="AB258" s="919" t="s">
        <v>168</v>
      </c>
      <c r="AC258" s="919" t="s">
        <v>168</v>
      </c>
      <c r="AD258" s="919" t="s">
        <v>168</v>
      </c>
      <c r="AE258" s="919" t="s">
        <v>168</v>
      </c>
      <c r="AF258" s="936"/>
      <c r="AG258" s="916"/>
      <c r="AH258" s="916"/>
    </row>
    <row r="259" spans="1:34" ht="57">
      <c r="A259" s="914">
        <v>252</v>
      </c>
      <c r="B259" s="914" t="s">
        <v>228</v>
      </c>
      <c r="C259" s="914" t="s">
        <v>1660</v>
      </c>
      <c r="D259" s="914" t="s">
        <v>1685</v>
      </c>
      <c r="E259" s="914" t="s">
        <v>1495</v>
      </c>
      <c r="F259" s="915" t="s">
        <v>1502</v>
      </c>
      <c r="G259" s="921" t="s">
        <v>1497</v>
      </c>
      <c r="H259" s="921" t="s">
        <v>1210</v>
      </c>
      <c r="I259" s="917" t="s">
        <v>1686</v>
      </c>
      <c r="J259" s="917" t="s">
        <v>1502</v>
      </c>
      <c r="K259" s="916" t="s">
        <v>1663</v>
      </c>
      <c r="L259" s="914">
        <v>2016</v>
      </c>
      <c r="M259" s="926">
        <v>6.4297390340880625E-3</v>
      </c>
      <c r="N259" s="918">
        <v>4579094.51</v>
      </c>
      <c r="O259" s="918">
        <v>712174240</v>
      </c>
      <c r="P259" s="927">
        <v>2.0474173302126616E-3</v>
      </c>
      <c r="Q259" s="927">
        <v>1.3322528092469346E-3</v>
      </c>
      <c r="R259" s="927">
        <v>9.5918269630459899E-4</v>
      </c>
      <c r="S259" s="929">
        <v>6.4297390340880625E-3</v>
      </c>
      <c r="T259" s="929">
        <v>6.2689955582358606E-3</v>
      </c>
      <c r="U259" s="929">
        <v>6.1082520823836587E-3</v>
      </c>
      <c r="V259" s="929">
        <v>5.7867651306792566E-3</v>
      </c>
      <c r="W259" s="929">
        <v>5.4652781789748528E-3</v>
      </c>
      <c r="X259" s="931">
        <v>1.0036519779128162E-2</v>
      </c>
      <c r="Y259" s="918">
        <v>6586959.4000000004</v>
      </c>
      <c r="Z259" s="918">
        <v>656299150</v>
      </c>
      <c r="AA259" s="931">
        <v>5.7867651306792566E-3</v>
      </c>
      <c r="AB259" s="931">
        <v>5.4999999999999997E-3</v>
      </c>
      <c r="AC259" s="931">
        <v>5.4999999999999997E-3</v>
      </c>
      <c r="AD259" s="931">
        <v>5.4999999999999997E-3</v>
      </c>
      <c r="AE259" s="931">
        <v>5.4999999999999997E-3</v>
      </c>
      <c r="AF259" s="936" t="s">
        <v>1503</v>
      </c>
      <c r="AG259" s="916" t="s">
        <v>1687</v>
      </c>
      <c r="AH259" s="916"/>
    </row>
    <row r="260" spans="1:34" ht="57">
      <c r="A260" s="914">
        <v>253</v>
      </c>
      <c r="B260" s="914" t="s">
        <v>228</v>
      </c>
      <c r="C260" s="914" t="s">
        <v>1660</v>
      </c>
      <c r="D260" s="914" t="s">
        <v>1685</v>
      </c>
      <c r="E260" s="914" t="s">
        <v>1495</v>
      </c>
      <c r="F260" s="915" t="s">
        <v>1504</v>
      </c>
      <c r="G260" s="921" t="s">
        <v>1497</v>
      </c>
      <c r="H260" s="921" t="s">
        <v>1210</v>
      </c>
      <c r="I260" s="917" t="s">
        <v>1686</v>
      </c>
      <c r="J260" s="917" t="s">
        <v>1504</v>
      </c>
      <c r="K260" s="916" t="s">
        <v>1663</v>
      </c>
      <c r="L260" s="914">
        <v>2016</v>
      </c>
      <c r="M260" s="929">
        <v>3.3156159231482456E-2</v>
      </c>
      <c r="N260" s="918">
        <v>23612962.502</v>
      </c>
      <c r="O260" s="918">
        <v>712174240</v>
      </c>
      <c r="P260" s="927">
        <v>1.6208540372790438E-2</v>
      </c>
      <c r="Q260" s="931">
        <v>7.5443530812696928E-4</v>
      </c>
      <c r="R260" s="931">
        <v>6.9084767876341599E-4</v>
      </c>
      <c r="S260" s="929">
        <v>3.3156159231482456E-2</v>
      </c>
      <c r="T260" s="929">
        <v>3.2327255250695394E-2</v>
      </c>
      <c r="U260" s="929">
        <v>3.1498351269908333E-2</v>
      </c>
      <c r="V260" s="929">
        <v>2.9840543308334209E-2</v>
      </c>
      <c r="W260" s="929">
        <v>2.8182735346760086E-2</v>
      </c>
      <c r="X260" s="927">
        <v>5.8356001680026559E-3</v>
      </c>
      <c r="Y260" s="918">
        <v>3829899.43</v>
      </c>
      <c r="Z260" s="918">
        <v>656299150</v>
      </c>
      <c r="AA260" s="931">
        <v>2.9840543308334209E-2</v>
      </c>
      <c r="AB260" s="931">
        <v>2.8199999999999999E-2</v>
      </c>
      <c r="AC260" s="931">
        <v>2.8199999999999999E-2</v>
      </c>
      <c r="AD260" s="931">
        <v>2.8199999999999999E-2</v>
      </c>
      <c r="AE260" s="931">
        <v>2.8199999999999999E-2</v>
      </c>
      <c r="AF260" s="936" t="s">
        <v>1503</v>
      </c>
      <c r="AG260" s="916" t="s">
        <v>1687</v>
      </c>
      <c r="AH260" s="916"/>
    </row>
    <row r="261" spans="1:34" ht="57">
      <c r="A261" s="914">
        <v>254</v>
      </c>
      <c r="B261" s="914" t="s">
        <v>228</v>
      </c>
      <c r="C261" s="914" t="s">
        <v>1660</v>
      </c>
      <c r="D261" s="914" t="s">
        <v>1685</v>
      </c>
      <c r="E261" s="914" t="s">
        <v>1495</v>
      </c>
      <c r="F261" s="915" t="s">
        <v>1505</v>
      </c>
      <c r="G261" s="921" t="s">
        <v>1497</v>
      </c>
      <c r="H261" s="921" t="s">
        <v>1210</v>
      </c>
      <c r="I261" s="917" t="s">
        <v>1686</v>
      </c>
      <c r="J261" s="917" t="s">
        <v>1505</v>
      </c>
      <c r="K261" s="916" t="s">
        <v>1663</v>
      </c>
      <c r="L261" s="914">
        <v>2016</v>
      </c>
      <c r="M261" s="918" t="s">
        <v>168</v>
      </c>
      <c r="N261" s="918" t="s">
        <v>168</v>
      </c>
      <c r="O261" s="918" t="s">
        <v>168</v>
      </c>
      <c r="P261" s="933" t="s">
        <v>168</v>
      </c>
      <c r="Q261" s="933" t="s">
        <v>168</v>
      </c>
      <c r="R261" s="933" t="s">
        <v>168</v>
      </c>
      <c r="S261" s="918" t="s">
        <v>168</v>
      </c>
      <c r="T261" s="918" t="s">
        <v>168</v>
      </c>
      <c r="U261" s="918" t="s">
        <v>168</v>
      </c>
      <c r="V261" s="918" t="s">
        <v>168</v>
      </c>
      <c r="W261" s="918" t="s">
        <v>168</v>
      </c>
      <c r="X261" s="933" t="s">
        <v>168</v>
      </c>
      <c r="Y261" s="918" t="s">
        <v>168</v>
      </c>
      <c r="Z261" s="918" t="s">
        <v>168</v>
      </c>
      <c r="AA261" s="919" t="s">
        <v>168</v>
      </c>
      <c r="AB261" s="919" t="s">
        <v>168</v>
      </c>
      <c r="AC261" s="919" t="s">
        <v>168</v>
      </c>
      <c r="AD261" s="919" t="s">
        <v>168</v>
      </c>
      <c r="AE261" s="919" t="s">
        <v>168</v>
      </c>
      <c r="AF261" s="936"/>
      <c r="AG261" s="916"/>
      <c r="AH261" s="916"/>
    </row>
    <row r="262" spans="1:34" ht="57">
      <c r="A262" s="914">
        <v>255</v>
      </c>
      <c r="B262" s="914" t="s">
        <v>228</v>
      </c>
      <c r="C262" s="914" t="s">
        <v>1660</v>
      </c>
      <c r="D262" s="914" t="s">
        <v>1685</v>
      </c>
      <c r="E262" s="914" t="s">
        <v>1495</v>
      </c>
      <c r="F262" s="915" t="s">
        <v>1506</v>
      </c>
      <c r="G262" s="921" t="s">
        <v>1497</v>
      </c>
      <c r="H262" s="921" t="s">
        <v>1210</v>
      </c>
      <c r="I262" s="917" t="s">
        <v>1686</v>
      </c>
      <c r="J262" s="917" t="s">
        <v>1506</v>
      </c>
      <c r="K262" s="916" t="s">
        <v>1663</v>
      </c>
      <c r="L262" s="914">
        <v>2016</v>
      </c>
      <c r="M262" s="918" t="s">
        <v>168</v>
      </c>
      <c r="N262" s="918" t="s">
        <v>168</v>
      </c>
      <c r="O262" s="918" t="s">
        <v>168</v>
      </c>
      <c r="P262" s="933" t="s">
        <v>168</v>
      </c>
      <c r="Q262" s="933" t="s">
        <v>168</v>
      </c>
      <c r="R262" s="933" t="s">
        <v>168</v>
      </c>
      <c r="S262" s="918" t="s">
        <v>168</v>
      </c>
      <c r="T262" s="918" t="s">
        <v>168</v>
      </c>
      <c r="U262" s="918" t="s">
        <v>168</v>
      </c>
      <c r="V262" s="918" t="s">
        <v>168</v>
      </c>
      <c r="W262" s="918" t="s">
        <v>168</v>
      </c>
      <c r="X262" s="933" t="s">
        <v>168</v>
      </c>
      <c r="Y262" s="918" t="s">
        <v>168</v>
      </c>
      <c r="Z262" s="918" t="s">
        <v>168</v>
      </c>
      <c r="AA262" s="919" t="s">
        <v>168</v>
      </c>
      <c r="AB262" s="919" t="s">
        <v>168</v>
      </c>
      <c r="AC262" s="919" t="s">
        <v>168</v>
      </c>
      <c r="AD262" s="919" t="s">
        <v>168</v>
      </c>
      <c r="AE262" s="919" t="s">
        <v>168</v>
      </c>
      <c r="AF262" s="936"/>
      <c r="AG262" s="916"/>
      <c r="AH262" s="916"/>
    </row>
    <row r="263" spans="1:34" ht="57">
      <c r="A263" s="914">
        <v>256</v>
      </c>
      <c r="B263" s="914" t="s">
        <v>228</v>
      </c>
      <c r="C263" s="914" t="s">
        <v>1660</v>
      </c>
      <c r="D263" s="914" t="s">
        <v>1685</v>
      </c>
      <c r="E263" s="914" t="s">
        <v>1495</v>
      </c>
      <c r="F263" s="915" t="s">
        <v>1507</v>
      </c>
      <c r="G263" s="921" t="s">
        <v>1497</v>
      </c>
      <c r="H263" s="921" t="s">
        <v>1210</v>
      </c>
      <c r="I263" s="917" t="s">
        <v>1686</v>
      </c>
      <c r="J263" s="917" t="s">
        <v>1507</v>
      </c>
      <c r="K263" s="916" t="s">
        <v>1663</v>
      </c>
      <c r="L263" s="914">
        <v>2016</v>
      </c>
      <c r="M263" s="918" t="s">
        <v>168</v>
      </c>
      <c r="N263" s="918" t="s">
        <v>168</v>
      </c>
      <c r="O263" s="918" t="s">
        <v>168</v>
      </c>
      <c r="P263" s="933" t="s">
        <v>168</v>
      </c>
      <c r="Q263" s="933" t="s">
        <v>168</v>
      </c>
      <c r="R263" s="933" t="s">
        <v>168</v>
      </c>
      <c r="S263" s="918" t="s">
        <v>168</v>
      </c>
      <c r="T263" s="918" t="s">
        <v>168</v>
      </c>
      <c r="U263" s="918" t="s">
        <v>168</v>
      </c>
      <c r="V263" s="918" t="s">
        <v>168</v>
      </c>
      <c r="W263" s="918" t="s">
        <v>168</v>
      </c>
      <c r="X263" s="933" t="s">
        <v>168</v>
      </c>
      <c r="Y263" s="918" t="s">
        <v>168</v>
      </c>
      <c r="Z263" s="918" t="s">
        <v>168</v>
      </c>
      <c r="AA263" s="919" t="s">
        <v>168</v>
      </c>
      <c r="AB263" s="919" t="s">
        <v>168</v>
      </c>
      <c r="AC263" s="919" t="s">
        <v>168</v>
      </c>
      <c r="AD263" s="919" t="s">
        <v>168</v>
      </c>
      <c r="AE263" s="919" t="s">
        <v>168</v>
      </c>
      <c r="AF263" s="936"/>
      <c r="AG263" s="916"/>
      <c r="AH263" s="916"/>
    </row>
    <row r="264" spans="1:34" ht="57">
      <c r="A264" s="914">
        <v>257</v>
      </c>
      <c r="B264" s="914" t="s">
        <v>228</v>
      </c>
      <c r="C264" s="914" t="s">
        <v>1660</v>
      </c>
      <c r="D264" s="914" t="s">
        <v>1685</v>
      </c>
      <c r="E264" s="914" t="s">
        <v>1495</v>
      </c>
      <c r="F264" s="915" t="s">
        <v>1508</v>
      </c>
      <c r="G264" s="921" t="s">
        <v>1497</v>
      </c>
      <c r="H264" s="921" t="s">
        <v>1210</v>
      </c>
      <c r="I264" s="917" t="s">
        <v>1686</v>
      </c>
      <c r="J264" s="917" t="s">
        <v>1508</v>
      </c>
      <c r="K264" s="916" t="s">
        <v>1663</v>
      </c>
      <c r="L264" s="914">
        <v>2016</v>
      </c>
      <c r="M264" s="918" t="s">
        <v>168</v>
      </c>
      <c r="N264" s="918" t="s">
        <v>168</v>
      </c>
      <c r="O264" s="918" t="s">
        <v>168</v>
      </c>
      <c r="P264" s="933" t="s">
        <v>168</v>
      </c>
      <c r="Q264" s="933" t="s">
        <v>168</v>
      </c>
      <c r="R264" s="933" t="s">
        <v>168</v>
      </c>
      <c r="S264" s="918" t="s">
        <v>168</v>
      </c>
      <c r="T264" s="918" t="s">
        <v>168</v>
      </c>
      <c r="U264" s="918" t="s">
        <v>168</v>
      </c>
      <c r="V264" s="918" t="s">
        <v>168</v>
      </c>
      <c r="W264" s="918" t="s">
        <v>168</v>
      </c>
      <c r="X264" s="933" t="s">
        <v>168</v>
      </c>
      <c r="Y264" s="918" t="s">
        <v>168</v>
      </c>
      <c r="Z264" s="918" t="s">
        <v>168</v>
      </c>
      <c r="AA264" s="919" t="s">
        <v>168</v>
      </c>
      <c r="AB264" s="919" t="s">
        <v>168</v>
      </c>
      <c r="AC264" s="919" t="s">
        <v>168</v>
      </c>
      <c r="AD264" s="919" t="s">
        <v>168</v>
      </c>
      <c r="AE264" s="919" t="s">
        <v>168</v>
      </c>
      <c r="AF264" s="936"/>
      <c r="AG264" s="916"/>
      <c r="AH264" s="916"/>
    </row>
    <row r="265" spans="1:34" ht="57">
      <c r="A265" s="914">
        <v>258</v>
      </c>
      <c r="B265" s="914" t="s">
        <v>228</v>
      </c>
      <c r="C265" s="914" t="s">
        <v>1660</v>
      </c>
      <c r="D265" s="914" t="s">
        <v>1685</v>
      </c>
      <c r="E265" s="914" t="s">
        <v>1495</v>
      </c>
      <c r="F265" s="915" t="s">
        <v>1509</v>
      </c>
      <c r="G265" s="921" t="s">
        <v>1497</v>
      </c>
      <c r="H265" s="921" t="s">
        <v>1210</v>
      </c>
      <c r="I265" s="917" t="s">
        <v>1686</v>
      </c>
      <c r="J265" s="917" t="s">
        <v>1509</v>
      </c>
      <c r="K265" s="916" t="s">
        <v>1663</v>
      </c>
      <c r="L265" s="914">
        <v>2016</v>
      </c>
      <c r="M265" s="926">
        <v>5.9420572287197583E-2</v>
      </c>
      <c r="N265" s="918">
        <v>42317800.909000002</v>
      </c>
      <c r="O265" s="918">
        <v>712174240</v>
      </c>
      <c r="P265" s="927">
        <v>2.834022352489865E-2</v>
      </c>
      <c r="Q265" s="927">
        <v>2.1403456066239966E-2</v>
      </c>
      <c r="R265" s="927">
        <v>1.1219193932956379E-2</v>
      </c>
      <c r="S265" s="926">
        <v>5.9420572287197583E-2</v>
      </c>
      <c r="T265" s="926">
        <v>5.7935057980017642E-2</v>
      </c>
      <c r="U265" s="926">
        <v>5.64495436728377E-2</v>
      </c>
      <c r="V265" s="926">
        <v>5.3478515058477824E-2</v>
      </c>
      <c r="W265" s="929">
        <v>5.0507486444117941E-2</v>
      </c>
      <c r="X265" s="931">
        <v>7.7658903367465892E-2</v>
      </c>
      <c r="Y265" s="918">
        <v>50967472.270000003</v>
      </c>
      <c r="Z265" s="918">
        <v>656299150</v>
      </c>
      <c r="AA265" s="931">
        <v>5.3478515058477824E-2</v>
      </c>
      <c r="AB265" s="929">
        <v>5.0507486444117941E-2</v>
      </c>
      <c r="AC265" s="929">
        <v>5.0507486444117941E-2</v>
      </c>
      <c r="AD265" s="929">
        <v>5.0507486444117941E-2</v>
      </c>
      <c r="AE265" s="929">
        <v>5.0507486444117941E-2</v>
      </c>
      <c r="AF265" s="936" t="s">
        <v>1503</v>
      </c>
      <c r="AG265" s="916" t="s">
        <v>1687</v>
      </c>
      <c r="AH265" s="916"/>
    </row>
    <row r="266" spans="1:34" ht="57">
      <c r="A266" s="914">
        <v>259</v>
      </c>
      <c r="B266" s="914" t="s">
        <v>228</v>
      </c>
      <c r="C266" s="914" t="s">
        <v>1660</v>
      </c>
      <c r="D266" s="914" t="s">
        <v>1685</v>
      </c>
      <c r="E266" s="914" t="s">
        <v>1495</v>
      </c>
      <c r="F266" s="915" t="s">
        <v>1510</v>
      </c>
      <c r="G266" s="921" t="s">
        <v>1497</v>
      </c>
      <c r="H266" s="921" t="s">
        <v>1210</v>
      </c>
      <c r="I266" s="917" t="s">
        <v>1686</v>
      </c>
      <c r="J266" s="917" t="s">
        <v>1510</v>
      </c>
      <c r="K266" s="916" t="s">
        <v>1663</v>
      </c>
      <c r="L266" s="914">
        <v>2016</v>
      </c>
      <c r="M266" s="926">
        <v>3.3156159231482456E-2</v>
      </c>
      <c r="N266" s="918">
        <v>23612962.502</v>
      </c>
      <c r="O266" s="918">
        <v>712174240</v>
      </c>
      <c r="P266" s="927">
        <v>1.6208540372790438E-2</v>
      </c>
      <c r="Q266" s="927">
        <v>1.210956226619231E-2</v>
      </c>
      <c r="R266" s="927">
        <v>7.2395017115936995E-3</v>
      </c>
      <c r="S266" s="926">
        <v>3.3156159231482456E-2</v>
      </c>
      <c r="T266" s="926">
        <v>3.2327255250695394E-2</v>
      </c>
      <c r="U266" s="926">
        <v>3.1498351269908333E-2</v>
      </c>
      <c r="V266" s="926">
        <v>2.9840543308334209E-2</v>
      </c>
      <c r="W266" s="929">
        <v>2.8182735346760086E-2</v>
      </c>
      <c r="X266" s="927">
        <v>4.4582578859046214E-2</v>
      </c>
      <c r="Y266" s="918">
        <v>29259508.609999999</v>
      </c>
      <c r="Z266" s="918">
        <v>656299150</v>
      </c>
      <c r="AA266" s="931">
        <v>2.9840543308334209E-2</v>
      </c>
      <c r="AB266" s="929">
        <v>2.8182735346760086E-2</v>
      </c>
      <c r="AC266" s="929">
        <v>2.8182735346760086E-2</v>
      </c>
      <c r="AD266" s="929">
        <v>2.8182735346760086E-2</v>
      </c>
      <c r="AE266" s="929">
        <v>2.8182735346760086E-2</v>
      </c>
      <c r="AF266" s="936" t="s">
        <v>1503</v>
      </c>
      <c r="AG266" s="916" t="s">
        <v>1687</v>
      </c>
      <c r="AH266" s="916"/>
    </row>
    <row r="267" spans="1:34" ht="57">
      <c r="A267" s="914">
        <v>260</v>
      </c>
      <c r="B267" s="914" t="s">
        <v>228</v>
      </c>
      <c r="C267" s="914" t="s">
        <v>1688</v>
      </c>
      <c r="D267" s="914" t="s">
        <v>1689</v>
      </c>
      <c r="E267" s="914" t="s">
        <v>1242</v>
      </c>
      <c r="F267" s="915" t="s">
        <v>1243</v>
      </c>
      <c r="G267" s="921" t="s">
        <v>1244</v>
      </c>
      <c r="H267" s="921" t="s">
        <v>1210</v>
      </c>
      <c r="I267" s="917" t="s">
        <v>1690</v>
      </c>
      <c r="J267" s="935" t="s">
        <v>1243</v>
      </c>
      <c r="K267" s="916" t="s">
        <v>1691</v>
      </c>
      <c r="L267" s="914">
        <v>2016</v>
      </c>
      <c r="M267" s="918" t="s">
        <v>168</v>
      </c>
      <c r="N267" s="918" t="s">
        <v>168</v>
      </c>
      <c r="O267" s="918" t="s">
        <v>168</v>
      </c>
      <c r="P267" s="933" t="s">
        <v>168</v>
      </c>
      <c r="Q267" s="933" t="s">
        <v>168</v>
      </c>
      <c r="R267" s="933" t="s">
        <v>168</v>
      </c>
      <c r="S267" s="918" t="s">
        <v>168</v>
      </c>
      <c r="T267" s="918" t="s">
        <v>168</v>
      </c>
      <c r="U267" s="918" t="s">
        <v>168</v>
      </c>
      <c r="V267" s="918" t="s">
        <v>168</v>
      </c>
      <c r="W267" s="918" t="s">
        <v>168</v>
      </c>
      <c r="X267" s="933" t="s">
        <v>168</v>
      </c>
      <c r="Y267" s="918" t="s">
        <v>168</v>
      </c>
      <c r="Z267" s="918" t="s">
        <v>168</v>
      </c>
      <c r="AA267" s="919" t="s">
        <v>168</v>
      </c>
      <c r="AB267" s="919" t="s">
        <v>168</v>
      </c>
      <c r="AC267" s="919" t="s">
        <v>168</v>
      </c>
      <c r="AD267" s="919" t="s">
        <v>168</v>
      </c>
      <c r="AE267" s="919" t="s">
        <v>168</v>
      </c>
      <c r="AF267" s="916"/>
      <c r="AG267" s="916"/>
      <c r="AH267" s="916"/>
    </row>
    <row r="268" spans="1:34" ht="57">
      <c r="A268" s="914">
        <v>261</v>
      </c>
      <c r="B268" s="914" t="s">
        <v>228</v>
      </c>
      <c r="C268" s="914" t="s">
        <v>1688</v>
      </c>
      <c r="D268" s="914" t="s">
        <v>1689</v>
      </c>
      <c r="E268" s="914" t="s">
        <v>1242</v>
      </c>
      <c r="F268" s="915" t="s">
        <v>1246</v>
      </c>
      <c r="G268" s="921" t="s">
        <v>1244</v>
      </c>
      <c r="H268" s="921" t="s">
        <v>1210</v>
      </c>
      <c r="I268" s="917" t="s">
        <v>1690</v>
      </c>
      <c r="J268" s="935" t="s">
        <v>1246</v>
      </c>
      <c r="K268" s="916" t="s">
        <v>1691</v>
      </c>
      <c r="L268" s="914">
        <v>2016</v>
      </c>
      <c r="M268" s="918" t="s">
        <v>168</v>
      </c>
      <c r="N268" s="918" t="s">
        <v>168</v>
      </c>
      <c r="O268" s="918" t="s">
        <v>168</v>
      </c>
      <c r="P268" s="933" t="s">
        <v>168</v>
      </c>
      <c r="Q268" s="933" t="s">
        <v>168</v>
      </c>
      <c r="R268" s="933" t="s">
        <v>168</v>
      </c>
      <c r="S268" s="918" t="s">
        <v>168</v>
      </c>
      <c r="T268" s="918" t="s">
        <v>168</v>
      </c>
      <c r="U268" s="918" t="s">
        <v>168</v>
      </c>
      <c r="V268" s="918" t="s">
        <v>168</v>
      </c>
      <c r="W268" s="918" t="s">
        <v>168</v>
      </c>
      <c r="X268" s="933" t="s">
        <v>168</v>
      </c>
      <c r="Y268" s="918" t="s">
        <v>168</v>
      </c>
      <c r="Z268" s="918" t="s">
        <v>168</v>
      </c>
      <c r="AA268" s="919" t="s">
        <v>168</v>
      </c>
      <c r="AB268" s="919" t="s">
        <v>168</v>
      </c>
      <c r="AC268" s="919" t="s">
        <v>168</v>
      </c>
      <c r="AD268" s="919" t="s">
        <v>168</v>
      </c>
      <c r="AE268" s="919" t="s">
        <v>168</v>
      </c>
      <c r="AF268" s="916"/>
      <c r="AG268" s="916"/>
      <c r="AH268" s="916"/>
    </row>
    <row r="269" spans="1:34" ht="57">
      <c r="A269" s="914">
        <v>262</v>
      </c>
      <c r="B269" s="914" t="s">
        <v>228</v>
      </c>
      <c r="C269" s="914" t="s">
        <v>1688</v>
      </c>
      <c r="D269" s="914" t="s">
        <v>1689</v>
      </c>
      <c r="E269" s="914" t="s">
        <v>1242</v>
      </c>
      <c r="F269" s="915" t="s">
        <v>1247</v>
      </c>
      <c r="G269" s="921" t="s">
        <v>1244</v>
      </c>
      <c r="H269" s="921" t="s">
        <v>1210</v>
      </c>
      <c r="I269" s="917" t="s">
        <v>1690</v>
      </c>
      <c r="J269" s="935" t="s">
        <v>1247</v>
      </c>
      <c r="K269" s="916" t="s">
        <v>1691</v>
      </c>
      <c r="L269" s="914">
        <v>2016</v>
      </c>
      <c r="M269" s="918" t="s">
        <v>168</v>
      </c>
      <c r="N269" s="918" t="s">
        <v>168</v>
      </c>
      <c r="O269" s="918" t="s">
        <v>168</v>
      </c>
      <c r="P269" s="933" t="s">
        <v>168</v>
      </c>
      <c r="Q269" s="933" t="s">
        <v>168</v>
      </c>
      <c r="R269" s="933" t="s">
        <v>168</v>
      </c>
      <c r="S269" s="918" t="s">
        <v>168</v>
      </c>
      <c r="T269" s="918" t="s">
        <v>168</v>
      </c>
      <c r="U269" s="918" t="s">
        <v>168</v>
      </c>
      <c r="V269" s="918" t="s">
        <v>168</v>
      </c>
      <c r="W269" s="918" t="s">
        <v>168</v>
      </c>
      <c r="X269" s="933" t="s">
        <v>168</v>
      </c>
      <c r="Y269" s="918" t="s">
        <v>168</v>
      </c>
      <c r="Z269" s="918" t="s">
        <v>168</v>
      </c>
      <c r="AA269" s="919" t="s">
        <v>168</v>
      </c>
      <c r="AB269" s="919" t="s">
        <v>168</v>
      </c>
      <c r="AC269" s="919" t="s">
        <v>168</v>
      </c>
      <c r="AD269" s="919" t="s">
        <v>168</v>
      </c>
      <c r="AE269" s="919" t="s">
        <v>168</v>
      </c>
      <c r="AF269" s="916"/>
      <c r="AG269" s="916"/>
      <c r="AH269" s="916"/>
    </row>
    <row r="270" spans="1:34" ht="57">
      <c r="A270" s="914">
        <v>263</v>
      </c>
      <c r="B270" s="914" t="s">
        <v>228</v>
      </c>
      <c r="C270" s="914" t="s">
        <v>1688</v>
      </c>
      <c r="D270" s="914" t="s">
        <v>1689</v>
      </c>
      <c r="E270" s="914" t="s">
        <v>1242</v>
      </c>
      <c r="F270" s="915" t="s">
        <v>1248</v>
      </c>
      <c r="G270" s="921" t="s">
        <v>1244</v>
      </c>
      <c r="H270" s="921" t="s">
        <v>1210</v>
      </c>
      <c r="I270" s="917" t="s">
        <v>1690</v>
      </c>
      <c r="J270" s="935" t="s">
        <v>1248</v>
      </c>
      <c r="K270" s="916" t="s">
        <v>1691</v>
      </c>
      <c r="L270" s="914">
        <v>2016</v>
      </c>
      <c r="M270" s="918" t="s">
        <v>168</v>
      </c>
      <c r="N270" s="918" t="s">
        <v>168</v>
      </c>
      <c r="O270" s="918" t="s">
        <v>168</v>
      </c>
      <c r="P270" s="934" t="s">
        <v>168</v>
      </c>
      <c r="Q270" s="934" t="s">
        <v>168</v>
      </c>
      <c r="R270" s="934" t="s">
        <v>168</v>
      </c>
      <c r="S270" s="918" t="s">
        <v>168</v>
      </c>
      <c r="T270" s="918" t="s">
        <v>168</v>
      </c>
      <c r="U270" s="918" t="s">
        <v>168</v>
      </c>
      <c r="V270" s="918" t="s">
        <v>168</v>
      </c>
      <c r="W270" s="918" t="s">
        <v>168</v>
      </c>
      <c r="X270" s="933" t="s">
        <v>168</v>
      </c>
      <c r="Y270" s="918" t="s">
        <v>168</v>
      </c>
      <c r="Z270" s="918" t="s">
        <v>168</v>
      </c>
      <c r="AA270" s="919" t="s">
        <v>168</v>
      </c>
      <c r="AB270" s="919" t="s">
        <v>168</v>
      </c>
      <c r="AC270" s="919" t="s">
        <v>168</v>
      </c>
      <c r="AD270" s="919" t="s">
        <v>168</v>
      </c>
      <c r="AE270" s="919" t="s">
        <v>168</v>
      </c>
      <c r="AF270" s="916"/>
      <c r="AG270" s="916"/>
      <c r="AH270" s="916"/>
    </row>
    <row r="271" spans="1:34" ht="57">
      <c r="A271" s="914">
        <v>264</v>
      </c>
      <c r="B271" s="914" t="s">
        <v>228</v>
      </c>
      <c r="C271" s="914" t="s">
        <v>1688</v>
      </c>
      <c r="D271" s="914" t="s">
        <v>1689</v>
      </c>
      <c r="E271" s="914" t="s">
        <v>1242</v>
      </c>
      <c r="F271" s="915" t="s">
        <v>1249</v>
      </c>
      <c r="G271" s="921" t="s">
        <v>1244</v>
      </c>
      <c r="H271" s="921" t="s">
        <v>1210</v>
      </c>
      <c r="I271" s="917" t="s">
        <v>1690</v>
      </c>
      <c r="J271" s="935" t="s">
        <v>1249</v>
      </c>
      <c r="K271" s="916" t="s">
        <v>1691</v>
      </c>
      <c r="L271" s="914">
        <v>2016</v>
      </c>
      <c r="M271" s="918">
        <v>655844.28393999999</v>
      </c>
      <c r="N271" s="918" t="s">
        <v>168</v>
      </c>
      <c r="O271" s="918" t="s">
        <v>168</v>
      </c>
      <c r="P271" s="934">
        <v>1371872.2452</v>
      </c>
      <c r="Q271" s="934">
        <v>1692831.47</v>
      </c>
      <c r="R271" s="934">
        <v>389535.9</v>
      </c>
      <c r="S271" s="918">
        <v>655844.28393999999</v>
      </c>
      <c r="T271" s="918">
        <v>672240.39103849989</v>
      </c>
      <c r="U271" s="918">
        <v>688636.49813700002</v>
      </c>
      <c r="V271" s="918">
        <v>2164286.1370020001</v>
      </c>
      <c r="W271" s="918">
        <v>1508441.8530619999</v>
      </c>
      <c r="X271" s="934">
        <v>324302.51</v>
      </c>
      <c r="Y271" s="918" t="s">
        <v>168</v>
      </c>
      <c r="Z271" s="918" t="s">
        <v>168</v>
      </c>
      <c r="AA271" s="919">
        <v>2164286.1370020001</v>
      </c>
      <c r="AB271" s="919">
        <v>736747</v>
      </c>
      <c r="AC271" s="919">
        <v>737034</v>
      </c>
      <c r="AD271" s="919">
        <v>733111</v>
      </c>
      <c r="AE271" s="919">
        <v>730292</v>
      </c>
      <c r="AF271" s="916" t="s">
        <v>1493</v>
      </c>
      <c r="AG271" s="916" t="s">
        <v>802</v>
      </c>
      <c r="AH271" s="916"/>
    </row>
    <row r="272" spans="1:34" ht="57">
      <c r="A272" s="914">
        <v>265</v>
      </c>
      <c r="B272" s="914" t="s">
        <v>228</v>
      </c>
      <c r="C272" s="914" t="s">
        <v>1688</v>
      </c>
      <c r="D272" s="914" t="s">
        <v>1689</v>
      </c>
      <c r="E272" s="914" t="s">
        <v>1242</v>
      </c>
      <c r="F272" s="915" t="s">
        <v>1250</v>
      </c>
      <c r="G272" s="921" t="s">
        <v>1244</v>
      </c>
      <c r="H272" s="921" t="s">
        <v>1210</v>
      </c>
      <c r="I272" s="917" t="s">
        <v>1690</v>
      </c>
      <c r="J272" s="935" t="s">
        <v>1250</v>
      </c>
      <c r="K272" s="916" t="s">
        <v>1691</v>
      </c>
      <c r="L272" s="914">
        <v>2016</v>
      </c>
      <c r="M272" s="918">
        <v>400312.40954000002</v>
      </c>
      <c r="N272" s="918" t="s">
        <v>168</v>
      </c>
      <c r="O272" s="918" t="s">
        <v>168</v>
      </c>
      <c r="P272" s="934">
        <v>889092.32446999999</v>
      </c>
      <c r="Q272" s="934">
        <v>1087033.23</v>
      </c>
      <c r="R272" s="934">
        <v>249021.08</v>
      </c>
      <c r="S272" s="918">
        <v>400312.40954000002</v>
      </c>
      <c r="T272" s="918">
        <v>410320.21977849997</v>
      </c>
      <c r="U272" s="918">
        <v>420328.03001700004</v>
      </c>
      <c r="V272" s="918">
        <v>1321030.9514820003</v>
      </c>
      <c r="W272" s="918">
        <v>920718.54194199992</v>
      </c>
      <c r="X272" s="934">
        <v>183651.22</v>
      </c>
      <c r="Y272" s="918" t="s">
        <v>168</v>
      </c>
      <c r="Z272" s="918" t="s">
        <v>168</v>
      </c>
      <c r="AA272" s="919">
        <v>1321030.9514820003</v>
      </c>
      <c r="AB272" s="919">
        <v>368373</v>
      </c>
      <c r="AC272" s="919">
        <v>368517</v>
      </c>
      <c r="AD272" s="919">
        <v>366556</v>
      </c>
      <c r="AE272" s="919">
        <v>365146</v>
      </c>
      <c r="AF272" s="916" t="s">
        <v>1493</v>
      </c>
      <c r="AG272" s="916" t="s">
        <v>802</v>
      </c>
      <c r="AH272" s="916"/>
    </row>
    <row r="273" spans="1:34" ht="57">
      <c r="A273" s="914">
        <v>266</v>
      </c>
      <c r="B273" s="914" t="s">
        <v>228</v>
      </c>
      <c r="C273" s="914" t="s">
        <v>1688</v>
      </c>
      <c r="D273" s="914" t="s">
        <v>1689</v>
      </c>
      <c r="E273" s="914" t="s">
        <v>1242</v>
      </c>
      <c r="F273" s="915" t="s">
        <v>1251</v>
      </c>
      <c r="G273" s="921" t="s">
        <v>1244</v>
      </c>
      <c r="H273" s="921" t="s">
        <v>1210</v>
      </c>
      <c r="I273" s="917" t="s">
        <v>1690</v>
      </c>
      <c r="J273" s="935" t="s">
        <v>1251</v>
      </c>
      <c r="K273" s="916" t="s">
        <v>1691</v>
      </c>
      <c r="L273" s="914">
        <v>2016</v>
      </c>
      <c r="M273" s="918" t="s">
        <v>168</v>
      </c>
      <c r="N273" s="918" t="s">
        <v>168</v>
      </c>
      <c r="O273" s="918" t="s">
        <v>168</v>
      </c>
      <c r="P273" s="934" t="s">
        <v>168</v>
      </c>
      <c r="Q273" s="934" t="s">
        <v>168</v>
      </c>
      <c r="R273" s="934" t="s">
        <v>168</v>
      </c>
      <c r="S273" s="918" t="s">
        <v>168</v>
      </c>
      <c r="T273" s="918" t="s">
        <v>168</v>
      </c>
      <c r="U273" s="918" t="s">
        <v>168</v>
      </c>
      <c r="V273" s="918" t="s">
        <v>168</v>
      </c>
      <c r="W273" s="918" t="s">
        <v>168</v>
      </c>
      <c r="X273" s="934" t="s">
        <v>168</v>
      </c>
      <c r="Y273" s="918" t="s">
        <v>168</v>
      </c>
      <c r="Z273" s="918" t="s">
        <v>168</v>
      </c>
      <c r="AA273" s="919" t="s">
        <v>168</v>
      </c>
      <c r="AB273" s="919" t="s">
        <v>168</v>
      </c>
      <c r="AC273" s="919" t="s">
        <v>168</v>
      </c>
      <c r="AD273" s="919" t="s">
        <v>168</v>
      </c>
      <c r="AE273" s="919" t="s">
        <v>168</v>
      </c>
      <c r="AF273" s="916"/>
      <c r="AG273" s="916"/>
      <c r="AH273" s="916"/>
    </row>
    <row r="274" spans="1:34" ht="57">
      <c r="A274" s="914">
        <v>267</v>
      </c>
      <c r="B274" s="914" t="s">
        <v>228</v>
      </c>
      <c r="C274" s="914" t="s">
        <v>1688</v>
      </c>
      <c r="D274" s="914" t="s">
        <v>1689</v>
      </c>
      <c r="E274" s="914" t="s">
        <v>1242</v>
      </c>
      <c r="F274" s="915" t="s">
        <v>1252</v>
      </c>
      <c r="G274" s="921" t="s">
        <v>1244</v>
      </c>
      <c r="H274" s="921" t="s">
        <v>1210</v>
      </c>
      <c r="I274" s="917" t="s">
        <v>1690</v>
      </c>
      <c r="J274" s="935" t="s">
        <v>1252</v>
      </c>
      <c r="K274" s="916" t="s">
        <v>1691</v>
      </c>
      <c r="L274" s="914">
        <v>2016</v>
      </c>
      <c r="M274" s="918" t="s">
        <v>168</v>
      </c>
      <c r="N274" s="918" t="s">
        <v>168</v>
      </c>
      <c r="O274" s="918" t="s">
        <v>168</v>
      </c>
      <c r="P274" s="934" t="s">
        <v>168</v>
      </c>
      <c r="Q274" s="934" t="s">
        <v>168</v>
      </c>
      <c r="R274" s="934" t="s">
        <v>168</v>
      </c>
      <c r="S274" s="918" t="s">
        <v>168</v>
      </c>
      <c r="T274" s="918" t="s">
        <v>168</v>
      </c>
      <c r="U274" s="918" t="s">
        <v>168</v>
      </c>
      <c r="V274" s="918" t="s">
        <v>168</v>
      </c>
      <c r="W274" s="918" t="s">
        <v>168</v>
      </c>
      <c r="X274" s="934" t="s">
        <v>168</v>
      </c>
      <c r="Y274" s="918" t="s">
        <v>168</v>
      </c>
      <c r="Z274" s="918" t="s">
        <v>168</v>
      </c>
      <c r="AA274" s="919" t="s">
        <v>168</v>
      </c>
      <c r="AB274" s="919" t="s">
        <v>168</v>
      </c>
      <c r="AC274" s="919" t="s">
        <v>168</v>
      </c>
      <c r="AD274" s="919" t="s">
        <v>168</v>
      </c>
      <c r="AE274" s="919" t="s">
        <v>168</v>
      </c>
      <c r="AF274" s="916"/>
      <c r="AG274" s="916"/>
      <c r="AH274" s="916"/>
    </row>
    <row r="275" spans="1:34" ht="57">
      <c r="A275" s="914">
        <v>268</v>
      </c>
      <c r="B275" s="914" t="s">
        <v>228</v>
      </c>
      <c r="C275" s="914" t="s">
        <v>1688</v>
      </c>
      <c r="D275" s="914" t="s">
        <v>1689</v>
      </c>
      <c r="E275" s="914" t="s">
        <v>1242</v>
      </c>
      <c r="F275" s="915" t="s">
        <v>1253</v>
      </c>
      <c r="G275" s="921" t="s">
        <v>1244</v>
      </c>
      <c r="H275" s="921" t="s">
        <v>1210</v>
      </c>
      <c r="I275" s="917" t="s">
        <v>1690</v>
      </c>
      <c r="J275" s="935" t="s">
        <v>1253</v>
      </c>
      <c r="K275" s="916" t="s">
        <v>1691</v>
      </c>
      <c r="L275" s="914">
        <v>2016</v>
      </c>
      <c r="M275" s="918" t="s">
        <v>168</v>
      </c>
      <c r="N275" s="918" t="s">
        <v>168</v>
      </c>
      <c r="O275" s="918" t="s">
        <v>168</v>
      </c>
      <c r="P275" s="934" t="s">
        <v>168</v>
      </c>
      <c r="Q275" s="934" t="s">
        <v>168</v>
      </c>
      <c r="R275" s="934" t="s">
        <v>168</v>
      </c>
      <c r="S275" s="918" t="s">
        <v>168</v>
      </c>
      <c r="T275" s="918" t="s">
        <v>168</v>
      </c>
      <c r="U275" s="918" t="s">
        <v>168</v>
      </c>
      <c r="V275" s="918" t="s">
        <v>168</v>
      </c>
      <c r="W275" s="918" t="s">
        <v>168</v>
      </c>
      <c r="X275" s="934" t="s">
        <v>168</v>
      </c>
      <c r="Y275" s="918" t="s">
        <v>168</v>
      </c>
      <c r="Z275" s="918" t="s">
        <v>168</v>
      </c>
      <c r="AA275" s="919" t="s">
        <v>168</v>
      </c>
      <c r="AB275" s="919" t="s">
        <v>168</v>
      </c>
      <c r="AC275" s="919" t="s">
        <v>168</v>
      </c>
      <c r="AD275" s="919" t="s">
        <v>168</v>
      </c>
      <c r="AE275" s="919" t="s">
        <v>168</v>
      </c>
      <c r="AF275" s="916"/>
      <c r="AG275" s="916"/>
      <c r="AH275" s="916"/>
    </row>
    <row r="276" spans="1:34" ht="57">
      <c r="A276" s="914">
        <v>269</v>
      </c>
      <c r="B276" s="914" t="s">
        <v>228</v>
      </c>
      <c r="C276" s="914" t="s">
        <v>1688</v>
      </c>
      <c r="D276" s="914" t="s">
        <v>1689</v>
      </c>
      <c r="E276" s="914" t="s">
        <v>1242</v>
      </c>
      <c r="F276" s="915" t="s">
        <v>1254</v>
      </c>
      <c r="G276" s="921" t="s">
        <v>1244</v>
      </c>
      <c r="H276" s="921" t="s">
        <v>1210</v>
      </c>
      <c r="I276" s="917" t="s">
        <v>1690</v>
      </c>
      <c r="J276" s="935" t="s">
        <v>1254</v>
      </c>
      <c r="K276" s="916" t="s">
        <v>1691</v>
      </c>
      <c r="L276" s="914">
        <v>2016</v>
      </c>
      <c r="M276" s="918" t="s">
        <v>168</v>
      </c>
      <c r="N276" s="918" t="s">
        <v>168</v>
      </c>
      <c r="O276" s="918" t="s">
        <v>168</v>
      </c>
      <c r="P276" s="934" t="s">
        <v>168</v>
      </c>
      <c r="Q276" s="934" t="s">
        <v>168</v>
      </c>
      <c r="R276" s="934" t="s">
        <v>168</v>
      </c>
      <c r="S276" s="918" t="s">
        <v>168</v>
      </c>
      <c r="T276" s="918" t="s">
        <v>168</v>
      </c>
      <c r="U276" s="918" t="s">
        <v>168</v>
      </c>
      <c r="V276" s="918" t="s">
        <v>168</v>
      </c>
      <c r="W276" s="918" t="s">
        <v>168</v>
      </c>
      <c r="X276" s="934" t="s">
        <v>168</v>
      </c>
      <c r="Y276" s="918" t="s">
        <v>168</v>
      </c>
      <c r="Z276" s="918" t="s">
        <v>168</v>
      </c>
      <c r="AA276" s="919" t="s">
        <v>168</v>
      </c>
      <c r="AB276" s="919" t="s">
        <v>168</v>
      </c>
      <c r="AC276" s="919" t="s">
        <v>168</v>
      </c>
      <c r="AD276" s="919" t="s">
        <v>168</v>
      </c>
      <c r="AE276" s="919" t="s">
        <v>168</v>
      </c>
      <c r="AF276" s="916"/>
      <c r="AG276" s="916"/>
      <c r="AH276" s="916"/>
    </row>
    <row r="277" spans="1:34" ht="57">
      <c r="A277" s="914">
        <v>270</v>
      </c>
      <c r="B277" s="914" t="s">
        <v>228</v>
      </c>
      <c r="C277" s="914" t="s">
        <v>1688</v>
      </c>
      <c r="D277" s="914" t="s">
        <v>1689</v>
      </c>
      <c r="E277" s="914" t="s">
        <v>1242</v>
      </c>
      <c r="F277" s="915" t="s">
        <v>1255</v>
      </c>
      <c r="G277" s="921" t="s">
        <v>1244</v>
      </c>
      <c r="H277" s="921" t="s">
        <v>1210</v>
      </c>
      <c r="I277" s="917" t="s">
        <v>1690</v>
      </c>
      <c r="J277" s="935" t="s">
        <v>1255</v>
      </c>
      <c r="K277" s="916" t="s">
        <v>1691</v>
      </c>
      <c r="L277" s="914">
        <v>2016</v>
      </c>
      <c r="M277" s="918">
        <v>3437678.4161</v>
      </c>
      <c r="N277" s="918" t="s">
        <v>168</v>
      </c>
      <c r="O277" s="918" t="s">
        <v>168</v>
      </c>
      <c r="P277" s="934">
        <v>8648089.6068999991</v>
      </c>
      <c r="Q277" s="934">
        <v>14252908.189999999</v>
      </c>
      <c r="R277" s="934">
        <v>2406030.79</v>
      </c>
      <c r="S277" s="918">
        <v>3437678.4161</v>
      </c>
      <c r="T277" s="918">
        <v>3523620.3765024999</v>
      </c>
      <c r="U277" s="918">
        <v>3609562.3369050003</v>
      </c>
      <c r="V277" s="918">
        <v>11344338.773130002</v>
      </c>
      <c r="W277" s="918">
        <v>7906660.3570299996</v>
      </c>
      <c r="X277" s="934">
        <v>1963625.82</v>
      </c>
      <c r="Y277" s="918" t="s">
        <v>168</v>
      </c>
      <c r="Z277" s="918" t="s">
        <v>168</v>
      </c>
      <c r="AA277" s="919">
        <v>11344338.773130002</v>
      </c>
      <c r="AB277" s="919">
        <v>8886254</v>
      </c>
      <c r="AC277" s="919">
        <v>8890560</v>
      </c>
      <c r="AD277" s="919">
        <v>8831716</v>
      </c>
      <c r="AE277" s="919">
        <v>8789432</v>
      </c>
      <c r="AF277" s="916" t="s">
        <v>1493</v>
      </c>
      <c r="AG277" s="916" t="s">
        <v>802</v>
      </c>
      <c r="AH277" s="916"/>
    </row>
    <row r="278" spans="1:34" ht="57">
      <c r="A278" s="914">
        <v>271</v>
      </c>
      <c r="B278" s="914" t="s">
        <v>228</v>
      </c>
      <c r="C278" s="914" t="s">
        <v>1688</v>
      </c>
      <c r="D278" s="914" t="s">
        <v>1689</v>
      </c>
      <c r="E278" s="914" t="s">
        <v>1242</v>
      </c>
      <c r="F278" s="915" t="s">
        <v>1256</v>
      </c>
      <c r="G278" s="921" t="s">
        <v>1244</v>
      </c>
      <c r="H278" s="921" t="s">
        <v>1210</v>
      </c>
      <c r="I278" s="917" t="s">
        <v>1690</v>
      </c>
      <c r="J278" s="935" t="s">
        <v>1256</v>
      </c>
      <c r="K278" s="916" t="s">
        <v>1691</v>
      </c>
      <c r="L278" s="914">
        <v>2016</v>
      </c>
      <c r="M278" s="918">
        <v>2091128.3962999999</v>
      </c>
      <c r="N278" s="918" t="s">
        <v>168</v>
      </c>
      <c r="O278" s="918" t="s">
        <v>168</v>
      </c>
      <c r="P278" s="934">
        <v>5583215.7274000002</v>
      </c>
      <c r="Q278" s="934">
        <v>8740458.0399999991</v>
      </c>
      <c r="R278" s="934">
        <v>1517300.78</v>
      </c>
      <c r="S278" s="918">
        <v>2091128.3962999999</v>
      </c>
      <c r="T278" s="918">
        <v>2143406.6062074997</v>
      </c>
      <c r="U278" s="918">
        <v>2195684.8161149998</v>
      </c>
      <c r="V278" s="918">
        <v>6900723.7077900004</v>
      </c>
      <c r="W278" s="918">
        <v>4809595.3114899993</v>
      </c>
      <c r="X278" s="934">
        <v>1089312.72</v>
      </c>
      <c r="Y278" s="918" t="s">
        <v>168</v>
      </c>
      <c r="Z278" s="918" t="s">
        <v>168</v>
      </c>
      <c r="AA278" s="919">
        <v>6900723.7077900004</v>
      </c>
      <c r="AB278" s="919">
        <v>4443126</v>
      </c>
      <c r="AC278" s="919">
        <v>4445280</v>
      </c>
      <c r="AD278" s="919">
        <v>4415858</v>
      </c>
      <c r="AE278" s="919">
        <v>4394716</v>
      </c>
      <c r="AF278" s="916" t="s">
        <v>1493</v>
      </c>
      <c r="AG278" s="916" t="s">
        <v>802</v>
      </c>
      <c r="AH278" s="916"/>
    </row>
    <row r="279" spans="1:34" ht="28.5">
      <c r="A279" s="914">
        <v>272</v>
      </c>
      <c r="B279" s="914" t="s">
        <v>228</v>
      </c>
      <c r="C279" s="914" t="s">
        <v>1688</v>
      </c>
      <c r="D279" s="914" t="s">
        <v>1692</v>
      </c>
      <c r="E279" s="914" t="s">
        <v>1234</v>
      </c>
      <c r="F279" s="915" t="s">
        <v>1235</v>
      </c>
      <c r="G279" s="921" t="s">
        <v>1236</v>
      </c>
      <c r="H279" s="921" t="s">
        <v>1210</v>
      </c>
      <c r="I279" s="917" t="s">
        <v>1693</v>
      </c>
      <c r="J279" s="917" t="s">
        <v>1299</v>
      </c>
      <c r="K279" s="916" t="s">
        <v>1691</v>
      </c>
      <c r="L279" s="914">
        <v>2016</v>
      </c>
      <c r="M279" s="918">
        <v>3953</v>
      </c>
      <c r="N279" s="918" t="s">
        <v>168</v>
      </c>
      <c r="O279" s="918" t="s">
        <v>168</v>
      </c>
      <c r="P279" s="934">
        <v>8177</v>
      </c>
      <c r="Q279" s="934">
        <v>9030.66</v>
      </c>
      <c r="R279" s="934">
        <v>2111.4699999999998</v>
      </c>
      <c r="S279" s="918">
        <v>3953</v>
      </c>
      <c r="T279" s="918">
        <v>4051.8249999999998</v>
      </c>
      <c r="U279" s="918">
        <v>4150.6500000000005</v>
      </c>
      <c r="V279" s="918">
        <v>4348.3</v>
      </c>
      <c r="W279" s="918">
        <v>4545.95</v>
      </c>
      <c r="X279" s="934">
        <v>2111.4699999999998</v>
      </c>
      <c r="Y279" s="918" t="s">
        <v>168</v>
      </c>
      <c r="Z279" s="918" t="s">
        <v>168</v>
      </c>
      <c r="AA279" s="919">
        <v>4348.3</v>
      </c>
      <c r="AB279" s="940">
        <v>3542</v>
      </c>
      <c r="AC279" s="940">
        <v>3464</v>
      </c>
      <c r="AD279" s="940">
        <v>3355</v>
      </c>
      <c r="AE279" s="940">
        <v>3519</v>
      </c>
      <c r="AF279" s="916" t="s">
        <v>1240</v>
      </c>
      <c r="AG279" s="916"/>
      <c r="AH279" s="916"/>
    </row>
    <row r="280" spans="1:34" ht="128.25">
      <c r="A280" s="914">
        <v>273</v>
      </c>
      <c r="B280" s="914" t="s">
        <v>228</v>
      </c>
      <c r="C280" s="914" t="s">
        <v>1688</v>
      </c>
      <c r="D280" s="914" t="s">
        <v>1694</v>
      </c>
      <c r="E280" s="914" t="s">
        <v>1695</v>
      </c>
      <c r="F280" s="915" t="s">
        <v>1338</v>
      </c>
      <c r="G280" s="921" t="s">
        <v>1339</v>
      </c>
      <c r="H280" s="921" t="s">
        <v>1210</v>
      </c>
      <c r="I280" s="917" t="s">
        <v>1696</v>
      </c>
      <c r="J280" s="917" t="s">
        <v>1525</v>
      </c>
      <c r="K280" s="916" t="s">
        <v>1691</v>
      </c>
      <c r="L280" s="914">
        <v>2016</v>
      </c>
      <c r="M280" s="926">
        <v>5.0909090909090911E-2</v>
      </c>
      <c r="N280" s="918">
        <v>14</v>
      </c>
      <c r="O280" s="918">
        <v>275</v>
      </c>
      <c r="P280" s="927">
        <v>7.6923076923076927E-2</v>
      </c>
      <c r="Q280" s="927">
        <v>6.5637065637065631E-2</v>
      </c>
      <c r="R280" s="927">
        <v>3.0303030303030304E-2</v>
      </c>
      <c r="S280" s="926">
        <v>5.0909090909090911E-2</v>
      </c>
      <c r="T280" s="929">
        <v>5.2181818181818176E-2</v>
      </c>
      <c r="U280" s="929">
        <v>5.3454545454545456E-2</v>
      </c>
      <c r="V280" s="929">
        <v>5.4727272727272729E-2</v>
      </c>
      <c r="W280" s="929">
        <v>5.6000000000000008E-2</v>
      </c>
      <c r="X280" s="931">
        <v>2.3715415019762844E-2</v>
      </c>
      <c r="Y280" s="922" t="s">
        <v>168</v>
      </c>
      <c r="Z280" s="918" t="s">
        <v>168</v>
      </c>
      <c r="AA280" s="931">
        <v>5.4727272727272729E-2</v>
      </c>
      <c r="AB280" s="931">
        <v>5.6000000000000001E-2</v>
      </c>
      <c r="AC280" s="931">
        <v>5.6000000000000001E-2</v>
      </c>
      <c r="AD280" s="931">
        <v>5.6000000000000001E-2</v>
      </c>
      <c r="AE280" s="931">
        <v>5.6000000000000001E-2</v>
      </c>
      <c r="AF280" s="916" t="s">
        <v>1697</v>
      </c>
      <c r="AG280" s="916" t="s">
        <v>1446</v>
      </c>
      <c r="AH280" s="916"/>
    </row>
    <row r="281" spans="1:34" ht="128.25">
      <c r="A281" s="914">
        <v>274</v>
      </c>
      <c r="B281" s="914" t="s">
        <v>228</v>
      </c>
      <c r="C281" s="914" t="s">
        <v>1688</v>
      </c>
      <c r="D281" s="914" t="s">
        <v>1694</v>
      </c>
      <c r="E281" s="914" t="s">
        <v>1695</v>
      </c>
      <c r="F281" s="915" t="s">
        <v>1338</v>
      </c>
      <c r="G281" s="921" t="s">
        <v>1339</v>
      </c>
      <c r="H281" s="921" t="s">
        <v>1210</v>
      </c>
      <c r="I281" s="917" t="s">
        <v>1698</v>
      </c>
      <c r="J281" s="917" t="s">
        <v>1528</v>
      </c>
      <c r="K281" s="916" t="s">
        <v>1691</v>
      </c>
      <c r="L281" s="914">
        <v>2016</v>
      </c>
      <c r="M281" s="926">
        <v>1.2048192771084338E-2</v>
      </c>
      <c r="N281" s="918">
        <v>6</v>
      </c>
      <c r="O281" s="918">
        <v>498</v>
      </c>
      <c r="P281" s="931">
        <v>7.4074074074074077E-3</v>
      </c>
      <c r="Q281" s="931">
        <v>4.4943820224719105E-3</v>
      </c>
      <c r="R281" s="931">
        <v>2.6595744680851063E-3</v>
      </c>
      <c r="S281" s="929">
        <v>1.2048192771084338E-2</v>
      </c>
      <c r="T281" s="929">
        <v>1.2349397590361445E-2</v>
      </c>
      <c r="U281" s="929">
        <v>1.2650602409638556E-2</v>
      </c>
      <c r="V281" s="929">
        <v>1.3253012048192772E-2</v>
      </c>
      <c r="W281" s="929">
        <v>1.3855421686746987E-2</v>
      </c>
      <c r="X281" s="931">
        <v>0</v>
      </c>
      <c r="Y281" s="918">
        <v>0</v>
      </c>
      <c r="Z281" s="918">
        <v>427</v>
      </c>
      <c r="AA281" s="931">
        <v>1.3253012048192772E-2</v>
      </c>
      <c r="AB281" s="931">
        <v>1.3899999999999999E-2</v>
      </c>
      <c r="AC281" s="931">
        <v>1.3899999999999999E-2</v>
      </c>
      <c r="AD281" s="931">
        <v>1.3899999999999999E-2</v>
      </c>
      <c r="AE281" s="931">
        <v>1.3899999999999999E-2</v>
      </c>
      <c r="AF281" s="916" t="s">
        <v>1697</v>
      </c>
      <c r="AG281" s="916" t="s">
        <v>1446</v>
      </c>
      <c r="AH281" s="916"/>
    </row>
    <row r="282" spans="1:34" ht="128.25">
      <c r="A282" s="914">
        <v>275</v>
      </c>
      <c r="B282" s="914" t="s">
        <v>228</v>
      </c>
      <c r="C282" s="914" t="s">
        <v>1688</v>
      </c>
      <c r="D282" s="914" t="s">
        <v>1694</v>
      </c>
      <c r="E282" s="914" t="s">
        <v>1695</v>
      </c>
      <c r="F282" s="915" t="s">
        <v>1338</v>
      </c>
      <c r="G282" s="921" t="s">
        <v>1339</v>
      </c>
      <c r="H282" s="921" t="s">
        <v>1210</v>
      </c>
      <c r="I282" s="917" t="s">
        <v>1699</v>
      </c>
      <c r="J282" s="917" t="s">
        <v>1531</v>
      </c>
      <c r="K282" s="916" t="s">
        <v>1691</v>
      </c>
      <c r="L282" s="914">
        <v>2016</v>
      </c>
      <c r="M282" s="926">
        <v>0</v>
      </c>
      <c r="N282" s="918">
        <v>0</v>
      </c>
      <c r="O282" s="918">
        <v>1198</v>
      </c>
      <c r="P282" s="931">
        <v>0</v>
      </c>
      <c r="Q282" s="931">
        <v>0</v>
      </c>
      <c r="R282" s="931">
        <v>7.5301204819277112E-4</v>
      </c>
      <c r="S282" s="929">
        <v>1.2048192771084338E-2</v>
      </c>
      <c r="T282" s="929">
        <v>1.2349397590361445E-2</v>
      </c>
      <c r="U282" s="929">
        <v>1.2650602409638556E-2</v>
      </c>
      <c r="V282" s="929">
        <v>1.3253012048192772E-2</v>
      </c>
      <c r="W282" s="929">
        <v>1.3855421686746987E-2</v>
      </c>
      <c r="X282" s="931">
        <v>0</v>
      </c>
      <c r="Y282" s="918">
        <v>0</v>
      </c>
      <c r="Z282" s="918">
        <v>1233</v>
      </c>
      <c r="AA282" s="931">
        <v>1.3253012048192772E-2</v>
      </c>
      <c r="AB282" s="929">
        <v>1.3855421686746987E-2</v>
      </c>
      <c r="AC282" s="929">
        <v>1.3855421686746987E-2</v>
      </c>
      <c r="AD282" s="929">
        <v>1.3855421686746987E-2</v>
      </c>
      <c r="AE282" s="929">
        <v>1.3855421686746987E-2</v>
      </c>
      <c r="AF282" s="916" t="s">
        <v>1697</v>
      </c>
      <c r="AG282" s="916" t="s">
        <v>1446</v>
      </c>
      <c r="AH282" s="916"/>
    </row>
    <row r="283" spans="1:34" ht="28.5">
      <c r="A283" s="914">
        <v>276</v>
      </c>
      <c r="B283" s="914" t="s">
        <v>228</v>
      </c>
      <c r="C283" s="914" t="s">
        <v>1688</v>
      </c>
      <c r="D283" s="914" t="s">
        <v>1700</v>
      </c>
      <c r="E283" s="914" t="s">
        <v>1283</v>
      </c>
      <c r="F283" s="915" t="s">
        <v>1284</v>
      </c>
      <c r="G283" s="921" t="s">
        <v>1285</v>
      </c>
      <c r="H283" s="921" t="s">
        <v>1210</v>
      </c>
      <c r="I283" s="917" t="s">
        <v>1701</v>
      </c>
      <c r="J283" s="917" t="s">
        <v>1284</v>
      </c>
      <c r="K283" s="916" t="s">
        <v>1691</v>
      </c>
      <c r="L283" s="914">
        <v>2016</v>
      </c>
      <c r="M283" s="918" t="s">
        <v>168</v>
      </c>
      <c r="N283" s="918" t="s">
        <v>168</v>
      </c>
      <c r="O283" s="918" t="s">
        <v>168</v>
      </c>
      <c r="P283" s="934" t="s">
        <v>168</v>
      </c>
      <c r="Q283" s="934" t="s">
        <v>168</v>
      </c>
      <c r="R283" s="934" t="s">
        <v>168</v>
      </c>
      <c r="S283" s="918" t="s">
        <v>168</v>
      </c>
      <c r="T283" s="918" t="s">
        <v>168</v>
      </c>
      <c r="U283" s="918" t="s">
        <v>168</v>
      </c>
      <c r="V283" s="918" t="s">
        <v>168</v>
      </c>
      <c r="W283" s="918" t="s">
        <v>168</v>
      </c>
      <c r="X283" s="933" t="s">
        <v>168</v>
      </c>
      <c r="Y283" s="918" t="s">
        <v>168</v>
      </c>
      <c r="Z283" s="918" t="s">
        <v>168</v>
      </c>
      <c r="AA283" s="919" t="s">
        <v>168</v>
      </c>
      <c r="AB283" s="940" t="s">
        <v>168</v>
      </c>
      <c r="AC283" s="940" t="s">
        <v>168</v>
      </c>
      <c r="AD283" s="940" t="s">
        <v>168</v>
      </c>
      <c r="AE283" s="940" t="s">
        <v>168</v>
      </c>
      <c r="AF283" s="916"/>
      <c r="AG283" s="916"/>
      <c r="AH283" s="916"/>
    </row>
    <row r="284" spans="1:34" ht="28.5">
      <c r="A284" s="914">
        <v>277</v>
      </c>
      <c r="B284" s="914" t="s">
        <v>228</v>
      </c>
      <c r="C284" s="914" t="s">
        <v>1688</v>
      </c>
      <c r="D284" s="914" t="s">
        <v>1700</v>
      </c>
      <c r="E284" s="914" t="s">
        <v>1283</v>
      </c>
      <c r="F284" s="915" t="s">
        <v>1287</v>
      </c>
      <c r="G284" s="921" t="s">
        <v>1285</v>
      </c>
      <c r="H284" s="921" t="s">
        <v>1210</v>
      </c>
      <c r="I284" s="917" t="s">
        <v>1701</v>
      </c>
      <c r="J284" s="917" t="s">
        <v>1287</v>
      </c>
      <c r="K284" s="916" t="s">
        <v>1691</v>
      </c>
      <c r="L284" s="914">
        <v>2016</v>
      </c>
      <c r="M284" s="918" t="s">
        <v>168</v>
      </c>
      <c r="N284" s="918" t="s">
        <v>168</v>
      </c>
      <c r="O284" s="918" t="s">
        <v>168</v>
      </c>
      <c r="P284" s="934" t="s">
        <v>168</v>
      </c>
      <c r="Q284" s="934" t="s">
        <v>168</v>
      </c>
      <c r="R284" s="934" t="s">
        <v>168</v>
      </c>
      <c r="S284" s="918" t="s">
        <v>168</v>
      </c>
      <c r="T284" s="918" t="s">
        <v>168</v>
      </c>
      <c r="U284" s="918" t="s">
        <v>168</v>
      </c>
      <c r="V284" s="918" t="s">
        <v>168</v>
      </c>
      <c r="W284" s="918" t="s">
        <v>168</v>
      </c>
      <c r="X284" s="933" t="s">
        <v>168</v>
      </c>
      <c r="Y284" s="918" t="s">
        <v>168</v>
      </c>
      <c r="Z284" s="918" t="s">
        <v>168</v>
      </c>
      <c r="AA284" s="919" t="s">
        <v>168</v>
      </c>
      <c r="AB284" s="940" t="s">
        <v>168</v>
      </c>
      <c r="AC284" s="940" t="s">
        <v>168</v>
      </c>
      <c r="AD284" s="940" t="s">
        <v>168</v>
      </c>
      <c r="AE284" s="940" t="s">
        <v>168</v>
      </c>
      <c r="AF284" s="916"/>
      <c r="AG284" s="916"/>
      <c r="AH284" s="916"/>
    </row>
    <row r="285" spans="1:34" ht="28.5">
      <c r="A285" s="914">
        <v>278</v>
      </c>
      <c r="B285" s="914" t="s">
        <v>228</v>
      </c>
      <c r="C285" s="914" t="s">
        <v>1688</v>
      </c>
      <c r="D285" s="914" t="s">
        <v>1700</v>
      </c>
      <c r="E285" s="914" t="s">
        <v>1283</v>
      </c>
      <c r="F285" s="915" t="s">
        <v>1288</v>
      </c>
      <c r="G285" s="921" t="s">
        <v>1285</v>
      </c>
      <c r="H285" s="921" t="s">
        <v>1210</v>
      </c>
      <c r="I285" s="917" t="s">
        <v>1701</v>
      </c>
      <c r="J285" s="917" t="s">
        <v>1288</v>
      </c>
      <c r="K285" s="916" t="s">
        <v>1691</v>
      </c>
      <c r="L285" s="914">
        <v>2016</v>
      </c>
      <c r="M285" s="922">
        <v>0.31780785970669673</v>
      </c>
      <c r="N285" s="918">
        <v>664577.04</v>
      </c>
      <c r="O285" s="918">
        <v>2091128.3962999999</v>
      </c>
      <c r="P285" s="933">
        <v>0.33510221194180251</v>
      </c>
      <c r="Q285" s="933">
        <v>0.22488930111035693</v>
      </c>
      <c r="R285" s="933">
        <v>0.4285393368083551</v>
      </c>
      <c r="S285" s="922">
        <v>0.32</v>
      </c>
      <c r="T285" s="922">
        <v>0.32</v>
      </c>
      <c r="U285" s="922">
        <v>0.32</v>
      </c>
      <c r="V285" s="922">
        <v>0.32</v>
      </c>
      <c r="W285" s="922">
        <v>0.32</v>
      </c>
      <c r="X285" s="933">
        <v>0.44883051581367744</v>
      </c>
      <c r="Y285" s="918">
        <v>488916.79</v>
      </c>
      <c r="Z285" s="918">
        <v>1089312.72</v>
      </c>
      <c r="AA285" s="923">
        <v>0.32</v>
      </c>
      <c r="AB285" s="941">
        <v>0.78</v>
      </c>
      <c r="AC285" s="941">
        <v>0.78</v>
      </c>
      <c r="AD285" s="941">
        <v>0.8</v>
      </c>
      <c r="AE285" s="941">
        <v>0.8</v>
      </c>
      <c r="AF285" s="916" t="s">
        <v>1240</v>
      </c>
      <c r="AG285" s="916" t="s">
        <v>1563</v>
      </c>
      <c r="AH285" s="916"/>
    </row>
    <row r="286" spans="1:34" ht="28.5">
      <c r="A286" s="914">
        <v>279</v>
      </c>
      <c r="B286" s="914" t="s">
        <v>228</v>
      </c>
      <c r="C286" s="914" t="s">
        <v>1688</v>
      </c>
      <c r="D286" s="914" t="s">
        <v>1700</v>
      </c>
      <c r="E286" s="914" t="s">
        <v>1283</v>
      </c>
      <c r="F286" s="915" t="s">
        <v>1290</v>
      </c>
      <c r="G286" s="921" t="s">
        <v>1285</v>
      </c>
      <c r="H286" s="921" t="s">
        <v>1210</v>
      </c>
      <c r="I286" s="917" t="s">
        <v>1701</v>
      </c>
      <c r="J286" s="917" t="s">
        <v>1290</v>
      </c>
      <c r="K286" s="916" t="s">
        <v>1691</v>
      </c>
      <c r="L286" s="914">
        <v>2016</v>
      </c>
      <c r="M286" s="918" t="s">
        <v>168</v>
      </c>
      <c r="N286" s="918" t="s">
        <v>168</v>
      </c>
      <c r="O286" s="918" t="s">
        <v>168</v>
      </c>
      <c r="P286" s="934" t="s">
        <v>168</v>
      </c>
      <c r="Q286" s="933" t="s">
        <v>168</v>
      </c>
      <c r="R286" s="933" t="s">
        <v>168</v>
      </c>
      <c r="S286" s="918" t="s">
        <v>168</v>
      </c>
      <c r="T286" s="918" t="s">
        <v>168</v>
      </c>
      <c r="U286" s="918" t="s">
        <v>168</v>
      </c>
      <c r="V286" s="918" t="s">
        <v>168</v>
      </c>
      <c r="W286" s="918" t="s">
        <v>168</v>
      </c>
      <c r="X286" s="933" t="s">
        <v>168</v>
      </c>
      <c r="Y286" s="918" t="s">
        <v>168</v>
      </c>
      <c r="Z286" s="918" t="s">
        <v>168</v>
      </c>
      <c r="AA286" s="919" t="s">
        <v>168</v>
      </c>
      <c r="AB286" s="940" t="s">
        <v>168</v>
      </c>
      <c r="AC286" s="940" t="s">
        <v>168</v>
      </c>
      <c r="AD286" s="940" t="s">
        <v>168</v>
      </c>
      <c r="AE286" s="940" t="s">
        <v>168</v>
      </c>
      <c r="AF286" s="916"/>
      <c r="AG286" s="916"/>
      <c r="AH286" s="916"/>
    </row>
    <row r="287" spans="1:34" ht="28.5">
      <c r="A287" s="914">
        <v>280</v>
      </c>
      <c r="B287" s="914" t="s">
        <v>228</v>
      </c>
      <c r="C287" s="914" t="s">
        <v>1688</v>
      </c>
      <c r="D287" s="914" t="s">
        <v>1700</v>
      </c>
      <c r="E287" s="914" t="s">
        <v>1283</v>
      </c>
      <c r="F287" s="915" t="s">
        <v>1291</v>
      </c>
      <c r="G287" s="921" t="s">
        <v>1285</v>
      </c>
      <c r="H287" s="921" t="s">
        <v>1210</v>
      </c>
      <c r="I287" s="917" t="s">
        <v>1701</v>
      </c>
      <c r="J287" s="917" t="s">
        <v>1291</v>
      </c>
      <c r="K287" s="916" t="s">
        <v>1691</v>
      </c>
      <c r="L287" s="914">
        <v>2016</v>
      </c>
      <c r="M287" s="918" t="s">
        <v>168</v>
      </c>
      <c r="N287" s="918" t="s">
        <v>168</v>
      </c>
      <c r="O287" s="918" t="s">
        <v>168</v>
      </c>
      <c r="P287" s="934" t="s">
        <v>168</v>
      </c>
      <c r="Q287" s="933" t="s">
        <v>168</v>
      </c>
      <c r="R287" s="933" t="s">
        <v>168</v>
      </c>
      <c r="S287" s="918" t="s">
        <v>168</v>
      </c>
      <c r="T287" s="918" t="s">
        <v>168</v>
      </c>
      <c r="U287" s="918" t="s">
        <v>168</v>
      </c>
      <c r="V287" s="918" t="s">
        <v>168</v>
      </c>
      <c r="W287" s="918" t="s">
        <v>168</v>
      </c>
      <c r="X287" s="933" t="s">
        <v>168</v>
      </c>
      <c r="Y287" s="918" t="s">
        <v>168</v>
      </c>
      <c r="Z287" s="918" t="s">
        <v>168</v>
      </c>
      <c r="AA287" s="919" t="s">
        <v>168</v>
      </c>
      <c r="AB287" s="940" t="s">
        <v>168</v>
      </c>
      <c r="AC287" s="940" t="s">
        <v>168</v>
      </c>
      <c r="AD287" s="940" t="s">
        <v>168</v>
      </c>
      <c r="AE287" s="940" t="s">
        <v>168</v>
      </c>
      <c r="AF287" s="916"/>
      <c r="AG287" s="916"/>
      <c r="AH287" s="916"/>
    </row>
    <row r="288" spans="1:34" ht="28.5">
      <c r="A288" s="914">
        <v>281</v>
      </c>
      <c r="B288" s="914" t="s">
        <v>228</v>
      </c>
      <c r="C288" s="914" t="s">
        <v>1688</v>
      </c>
      <c r="D288" s="914" t="s">
        <v>1700</v>
      </c>
      <c r="E288" s="914" t="s">
        <v>1283</v>
      </c>
      <c r="F288" s="915" t="s">
        <v>1292</v>
      </c>
      <c r="G288" s="921" t="s">
        <v>1285</v>
      </c>
      <c r="H288" s="921" t="s">
        <v>1210</v>
      </c>
      <c r="I288" s="917" t="s">
        <v>1701</v>
      </c>
      <c r="J288" s="917" t="s">
        <v>1292</v>
      </c>
      <c r="K288" s="916" t="s">
        <v>1691</v>
      </c>
      <c r="L288" s="914">
        <v>2016</v>
      </c>
      <c r="M288" s="922">
        <v>0.44281990605571314</v>
      </c>
      <c r="N288" s="918">
        <v>925993.28</v>
      </c>
      <c r="O288" s="918">
        <v>2091128.3962999999</v>
      </c>
      <c r="P288" s="933">
        <v>0.48040281639789822</v>
      </c>
      <c r="Q288" s="933">
        <v>0.31402374880573197</v>
      </c>
      <c r="R288" s="933">
        <v>0.57773832423654325</v>
      </c>
      <c r="S288" s="922">
        <v>0.44</v>
      </c>
      <c r="T288" s="922">
        <v>0.44</v>
      </c>
      <c r="U288" s="922">
        <v>0.44</v>
      </c>
      <c r="V288" s="922">
        <v>0.44</v>
      </c>
      <c r="W288" s="922">
        <v>0.44</v>
      </c>
      <c r="X288" s="933">
        <v>0.57048075230407658</v>
      </c>
      <c r="Y288" s="918">
        <v>621431.93999999994</v>
      </c>
      <c r="Z288" s="918">
        <v>1089312.72</v>
      </c>
      <c r="AA288" s="923">
        <v>0.44</v>
      </c>
      <c r="AB288" s="941">
        <v>0.89</v>
      </c>
      <c r="AC288" s="941">
        <v>0.89</v>
      </c>
      <c r="AD288" s="941">
        <v>0.9</v>
      </c>
      <c r="AE288" s="941">
        <v>0.89</v>
      </c>
      <c r="AF288" s="916" t="s">
        <v>1240</v>
      </c>
      <c r="AG288" s="916" t="s">
        <v>1564</v>
      </c>
      <c r="AH288" s="916"/>
    </row>
    <row r="289" spans="1:34" ht="42.75">
      <c r="A289" s="914">
        <v>282</v>
      </c>
      <c r="B289" s="914" t="s">
        <v>228</v>
      </c>
      <c r="C289" s="914" t="s">
        <v>1702</v>
      </c>
      <c r="D289" s="914" t="s">
        <v>1703</v>
      </c>
      <c r="E289" s="914" t="s">
        <v>1242</v>
      </c>
      <c r="F289" s="915" t="s">
        <v>1704</v>
      </c>
      <c r="G289" s="921" t="s">
        <v>1244</v>
      </c>
      <c r="H289" s="921" t="s">
        <v>1210</v>
      </c>
      <c r="I289" s="917" t="s">
        <v>1705</v>
      </c>
      <c r="J289" s="917" t="s">
        <v>1706</v>
      </c>
      <c r="K289" s="916" t="s">
        <v>1707</v>
      </c>
      <c r="L289" s="914">
        <v>2016</v>
      </c>
      <c r="M289" s="918" t="s">
        <v>168</v>
      </c>
      <c r="N289" s="918" t="s">
        <v>168</v>
      </c>
      <c r="O289" s="918" t="s">
        <v>168</v>
      </c>
      <c r="P289" s="934">
        <v>1889.2407150000001</v>
      </c>
      <c r="Q289" s="934">
        <v>1450</v>
      </c>
      <c r="R289" s="934">
        <v>1326.9340206151712</v>
      </c>
      <c r="S289" s="918" t="s">
        <v>168</v>
      </c>
      <c r="T289" s="918" t="s">
        <v>168</v>
      </c>
      <c r="U289" s="918" t="s">
        <v>168</v>
      </c>
      <c r="V289" s="918" t="s">
        <v>168</v>
      </c>
      <c r="W289" s="918" t="s">
        <v>168</v>
      </c>
      <c r="X289" s="934">
        <v>2699.4254467732731</v>
      </c>
      <c r="Y289" s="918" t="s">
        <v>168</v>
      </c>
      <c r="Z289" s="918" t="s">
        <v>168</v>
      </c>
      <c r="AA289" s="919" t="s">
        <v>168</v>
      </c>
      <c r="AB289" s="940" t="s">
        <v>168</v>
      </c>
      <c r="AC289" s="940" t="s">
        <v>168</v>
      </c>
      <c r="AD289" s="940" t="s">
        <v>168</v>
      </c>
      <c r="AE289" s="940" t="s">
        <v>168</v>
      </c>
      <c r="AF289" s="942" t="s">
        <v>1708</v>
      </c>
      <c r="AG289" s="943" t="s">
        <v>1709</v>
      </c>
      <c r="AH289" s="916"/>
    </row>
    <row r="290" spans="1:34" ht="42.75">
      <c r="A290" s="914">
        <v>283</v>
      </c>
      <c r="B290" s="914" t="s">
        <v>228</v>
      </c>
      <c r="C290" s="914" t="s">
        <v>1702</v>
      </c>
      <c r="D290" s="914" t="s">
        <v>1703</v>
      </c>
      <c r="E290" s="914" t="s">
        <v>1242</v>
      </c>
      <c r="F290" s="915" t="s">
        <v>1710</v>
      </c>
      <c r="G290" s="921" t="s">
        <v>1244</v>
      </c>
      <c r="H290" s="921" t="s">
        <v>1210</v>
      </c>
      <c r="I290" s="917" t="s">
        <v>1705</v>
      </c>
      <c r="J290" s="917" t="s">
        <v>1711</v>
      </c>
      <c r="K290" s="916" t="s">
        <v>1707</v>
      </c>
      <c r="L290" s="914">
        <v>2016</v>
      </c>
      <c r="M290" s="918">
        <v>29</v>
      </c>
      <c r="N290" s="918" t="s">
        <v>168</v>
      </c>
      <c r="O290" s="918" t="s">
        <v>168</v>
      </c>
      <c r="P290" s="934">
        <v>42.220838000000001</v>
      </c>
      <c r="Q290" s="934">
        <v>45.300000000000004</v>
      </c>
      <c r="R290" s="934">
        <v>45.382740915551288</v>
      </c>
      <c r="S290" s="918">
        <v>26</v>
      </c>
      <c r="T290" s="918">
        <v>26</v>
      </c>
      <c r="U290" s="918">
        <v>30</v>
      </c>
      <c r="V290" s="918">
        <v>100</v>
      </c>
      <c r="W290" s="918">
        <v>65</v>
      </c>
      <c r="X290" s="934">
        <v>37.864786618532108</v>
      </c>
      <c r="Y290" s="918" t="s">
        <v>168</v>
      </c>
      <c r="Z290" s="918" t="s">
        <v>168</v>
      </c>
      <c r="AA290" s="919">
        <v>100</v>
      </c>
      <c r="AB290" s="940">
        <v>0</v>
      </c>
      <c r="AC290" s="944">
        <v>0</v>
      </c>
      <c r="AD290" s="944">
        <v>0</v>
      </c>
      <c r="AE290" s="944"/>
      <c r="AF290" s="945" t="s">
        <v>1708</v>
      </c>
      <c r="AG290" s="946" t="s">
        <v>1712</v>
      </c>
      <c r="AH290" s="916"/>
    </row>
    <row r="291" spans="1:34" ht="42.75">
      <c r="A291" s="914">
        <v>284</v>
      </c>
      <c r="B291" s="914" t="s">
        <v>228</v>
      </c>
      <c r="C291" s="914" t="s">
        <v>1702</v>
      </c>
      <c r="D291" s="914" t="s">
        <v>1703</v>
      </c>
      <c r="E291" s="914" t="s">
        <v>1242</v>
      </c>
      <c r="F291" s="915" t="s">
        <v>1713</v>
      </c>
      <c r="G291" s="921" t="s">
        <v>1244</v>
      </c>
      <c r="H291" s="921" t="s">
        <v>1210</v>
      </c>
      <c r="I291" s="917" t="s">
        <v>1705</v>
      </c>
      <c r="J291" s="917" t="s">
        <v>1714</v>
      </c>
      <c r="K291" s="916" t="s">
        <v>1707</v>
      </c>
      <c r="L291" s="914">
        <v>2016</v>
      </c>
      <c r="M291" s="918" t="s">
        <v>168</v>
      </c>
      <c r="N291" s="918" t="s">
        <v>168</v>
      </c>
      <c r="O291" s="918" t="s">
        <v>168</v>
      </c>
      <c r="P291" s="934">
        <v>345.94200000000001</v>
      </c>
      <c r="Q291" s="934">
        <v>333</v>
      </c>
      <c r="R291" s="934">
        <v>297.8510575109558</v>
      </c>
      <c r="S291" s="918" t="s">
        <v>168</v>
      </c>
      <c r="T291" s="918" t="s">
        <v>168</v>
      </c>
      <c r="U291" s="918" t="s">
        <v>168</v>
      </c>
      <c r="V291" s="918" t="s">
        <v>168</v>
      </c>
      <c r="W291" s="918" t="s">
        <v>168</v>
      </c>
      <c r="X291" s="934">
        <v>453.75574554702973</v>
      </c>
      <c r="Y291" s="918" t="s">
        <v>168</v>
      </c>
      <c r="Z291" s="918" t="s">
        <v>168</v>
      </c>
      <c r="AA291" s="919" t="s">
        <v>168</v>
      </c>
      <c r="AB291" s="940" t="s">
        <v>168</v>
      </c>
      <c r="AC291" s="940" t="s">
        <v>168</v>
      </c>
      <c r="AD291" s="940" t="s">
        <v>168</v>
      </c>
      <c r="AE291" s="940" t="s">
        <v>168</v>
      </c>
      <c r="AF291" s="945" t="s">
        <v>1708</v>
      </c>
      <c r="AG291" s="946" t="s">
        <v>1709</v>
      </c>
      <c r="AH291" s="916"/>
    </row>
    <row r="292" spans="1:34" ht="57">
      <c r="A292" s="914">
        <v>285</v>
      </c>
      <c r="B292" s="914" t="s">
        <v>228</v>
      </c>
      <c r="C292" s="914" t="s">
        <v>1702</v>
      </c>
      <c r="D292" s="914" t="s">
        <v>1715</v>
      </c>
      <c r="E292" s="914">
        <v>1</v>
      </c>
      <c r="F292" s="915" t="s">
        <v>1716</v>
      </c>
      <c r="G292" s="921" t="s">
        <v>1717</v>
      </c>
      <c r="H292" s="921" t="s">
        <v>1210</v>
      </c>
      <c r="I292" s="947" t="s">
        <v>1718</v>
      </c>
      <c r="J292" s="917" t="s">
        <v>1718</v>
      </c>
      <c r="K292" s="916" t="s">
        <v>1707</v>
      </c>
      <c r="L292" s="914">
        <v>2016</v>
      </c>
      <c r="M292" s="918">
        <v>12</v>
      </c>
      <c r="N292" s="918" t="s">
        <v>168</v>
      </c>
      <c r="O292" s="918" t="s">
        <v>168</v>
      </c>
      <c r="P292" s="934">
        <v>23</v>
      </c>
      <c r="Q292" s="934">
        <v>64</v>
      </c>
      <c r="R292" s="934">
        <v>0</v>
      </c>
      <c r="S292" s="918">
        <v>4</v>
      </c>
      <c r="T292" s="918">
        <v>4</v>
      </c>
      <c r="U292" s="918">
        <v>4</v>
      </c>
      <c r="V292" s="918">
        <v>12</v>
      </c>
      <c r="W292" s="918">
        <v>12</v>
      </c>
      <c r="X292" s="934">
        <v>0</v>
      </c>
      <c r="Y292" s="918" t="s">
        <v>168</v>
      </c>
      <c r="Z292" s="918" t="s">
        <v>168</v>
      </c>
      <c r="AA292" s="919">
        <v>12</v>
      </c>
      <c r="AB292" s="940">
        <v>0</v>
      </c>
      <c r="AC292" s="944">
        <v>0</v>
      </c>
      <c r="AD292" s="944">
        <v>0</v>
      </c>
      <c r="AE292" s="944">
        <v>0</v>
      </c>
      <c r="AF292" s="945" t="s">
        <v>1719</v>
      </c>
      <c r="AG292" s="946" t="s">
        <v>1720</v>
      </c>
      <c r="AH292" s="916"/>
    </row>
    <row r="293" spans="1:34" ht="57">
      <c r="A293" s="914">
        <v>286</v>
      </c>
      <c r="B293" s="914" t="s">
        <v>228</v>
      </c>
      <c r="C293" s="914" t="s">
        <v>1702</v>
      </c>
      <c r="D293" s="914" t="s">
        <v>1715</v>
      </c>
      <c r="E293" s="914">
        <v>2</v>
      </c>
      <c r="F293" s="915" t="s">
        <v>1716</v>
      </c>
      <c r="G293" s="921" t="s">
        <v>1717</v>
      </c>
      <c r="H293" s="921" t="s">
        <v>1210</v>
      </c>
      <c r="I293" s="947" t="s">
        <v>1721</v>
      </c>
      <c r="J293" s="917" t="s">
        <v>1721</v>
      </c>
      <c r="K293" s="916" t="s">
        <v>1707</v>
      </c>
      <c r="L293" s="914">
        <v>2016</v>
      </c>
      <c r="M293" s="918">
        <v>12</v>
      </c>
      <c r="N293" s="918" t="s">
        <v>168</v>
      </c>
      <c r="O293" s="918" t="s">
        <v>168</v>
      </c>
      <c r="P293" s="934">
        <v>0</v>
      </c>
      <c r="Q293" s="934">
        <v>57</v>
      </c>
      <c r="R293" s="934">
        <v>0</v>
      </c>
      <c r="S293" s="918">
        <v>4</v>
      </c>
      <c r="T293" s="918">
        <v>4</v>
      </c>
      <c r="U293" s="918">
        <v>4</v>
      </c>
      <c r="V293" s="918">
        <v>12</v>
      </c>
      <c r="W293" s="918">
        <v>12</v>
      </c>
      <c r="X293" s="934">
        <v>0</v>
      </c>
      <c r="Y293" s="918" t="s">
        <v>168</v>
      </c>
      <c r="Z293" s="918" t="s">
        <v>168</v>
      </c>
      <c r="AA293" s="919">
        <v>12</v>
      </c>
      <c r="AB293" s="940">
        <v>0</v>
      </c>
      <c r="AC293" s="944">
        <v>0</v>
      </c>
      <c r="AD293" s="944">
        <v>0</v>
      </c>
      <c r="AE293" s="944">
        <v>0</v>
      </c>
      <c r="AF293" s="945" t="s">
        <v>1722</v>
      </c>
      <c r="AG293" s="946" t="s">
        <v>1720</v>
      </c>
      <c r="AH293" s="916"/>
    </row>
    <row r="294" spans="1:34" ht="71.25">
      <c r="A294" s="914">
        <v>287</v>
      </c>
      <c r="B294" s="914" t="s">
        <v>228</v>
      </c>
      <c r="C294" s="914" t="s">
        <v>1702</v>
      </c>
      <c r="D294" s="914" t="s">
        <v>1723</v>
      </c>
      <c r="E294" s="914">
        <v>1</v>
      </c>
      <c r="F294" s="915" t="s">
        <v>1716</v>
      </c>
      <c r="G294" s="921" t="s">
        <v>1724</v>
      </c>
      <c r="H294" s="921" t="s">
        <v>1210</v>
      </c>
      <c r="I294" s="947" t="s">
        <v>1725</v>
      </c>
      <c r="J294" s="917" t="s">
        <v>1725</v>
      </c>
      <c r="K294" s="916" t="s">
        <v>1707</v>
      </c>
      <c r="L294" s="914">
        <v>2017</v>
      </c>
      <c r="M294" s="918">
        <v>5</v>
      </c>
      <c r="N294" s="918" t="s">
        <v>168</v>
      </c>
      <c r="O294" s="918" t="s">
        <v>168</v>
      </c>
      <c r="P294" s="934">
        <v>5</v>
      </c>
      <c r="Q294" s="934">
        <v>4</v>
      </c>
      <c r="R294" s="934">
        <v>0</v>
      </c>
      <c r="S294" s="918">
        <v>3</v>
      </c>
      <c r="T294" s="918">
        <v>3</v>
      </c>
      <c r="U294" s="918">
        <v>4</v>
      </c>
      <c r="V294" s="918">
        <v>10</v>
      </c>
      <c r="W294" s="918">
        <v>10</v>
      </c>
      <c r="X294" s="934">
        <v>0</v>
      </c>
      <c r="Y294" s="918" t="s">
        <v>168</v>
      </c>
      <c r="Z294" s="918" t="s">
        <v>168</v>
      </c>
      <c r="AA294" s="919">
        <v>10</v>
      </c>
      <c r="AB294" s="940">
        <v>0</v>
      </c>
      <c r="AC294" s="940">
        <v>0</v>
      </c>
      <c r="AD294" s="940">
        <v>0</v>
      </c>
      <c r="AE294" s="940">
        <v>0</v>
      </c>
      <c r="AF294" s="945" t="s">
        <v>1726</v>
      </c>
      <c r="AG294" s="946" t="s">
        <v>1727</v>
      </c>
      <c r="AH294" s="916"/>
    </row>
    <row r="295" spans="1:34" ht="42.75">
      <c r="A295" s="914">
        <v>288</v>
      </c>
      <c r="B295" s="914" t="s">
        <v>228</v>
      </c>
      <c r="C295" s="914" t="s">
        <v>1702</v>
      </c>
      <c r="D295" s="914" t="s">
        <v>1723</v>
      </c>
      <c r="E295" s="914">
        <v>2</v>
      </c>
      <c r="F295" s="915" t="s">
        <v>1716</v>
      </c>
      <c r="G295" s="921" t="s">
        <v>1724</v>
      </c>
      <c r="H295" s="921" t="s">
        <v>1210</v>
      </c>
      <c r="I295" s="947" t="s">
        <v>1728</v>
      </c>
      <c r="J295" s="917" t="s">
        <v>1728</v>
      </c>
      <c r="K295" s="916" t="s">
        <v>1707</v>
      </c>
      <c r="L295" s="914">
        <v>2016</v>
      </c>
      <c r="M295" s="918">
        <v>4</v>
      </c>
      <c r="N295" s="918" t="s">
        <v>168</v>
      </c>
      <c r="O295" s="918" t="s">
        <v>168</v>
      </c>
      <c r="P295" s="934">
        <v>0</v>
      </c>
      <c r="Q295" s="934">
        <v>3</v>
      </c>
      <c r="R295" s="934">
        <v>3</v>
      </c>
      <c r="S295" s="918">
        <v>3</v>
      </c>
      <c r="T295" s="918">
        <v>3</v>
      </c>
      <c r="U295" s="918">
        <v>4</v>
      </c>
      <c r="V295" s="918">
        <v>10</v>
      </c>
      <c r="W295" s="918">
        <v>10</v>
      </c>
      <c r="X295" s="934">
        <v>2</v>
      </c>
      <c r="Y295" s="918" t="s">
        <v>168</v>
      </c>
      <c r="Z295" s="918" t="s">
        <v>168</v>
      </c>
      <c r="AA295" s="919">
        <v>10</v>
      </c>
      <c r="AB295" s="940">
        <v>0</v>
      </c>
      <c r="AC295" s="940">
        <v>0</v>
      </c>
      <c r="AD295" s="940">
        <v>0</v>
      </c>
      <c r="AE295" s="940">
        <v>0</v>
      </c>
      <c r="AF295" s="945" t="s">
        <v>1722</v>
      </c>
      <c r="AG295" s="946" t="s">
        <v>1729</v>
      </c>
      <c r="AH295" s="916"/>
    </row>
    <row r="296" spans="1:34" ht="71.25">
      <c r="A296" s="914">
        <v>289</v>
      </c>
      <c r="B296" s="914" t="s">
        <v>228</v>
      </c>
      <c r="C296" s="914" t="s">
        <v>1702</v>
      </c>
      <c r="D296" s="914" t="s">
        <v>1730</v>
      </c>
      <c r="E296" s="914">
        <v>1</v>
      </c>
      <c r="F296" s="915" t="s">
        <v>1716</v>
      </c>
      <c r="G296" s="921" t="s">
        <v>1731</v>
      </c>
      <c r="H296" s="921" t="s">
        <v>1210</v>
      </c>
      <c r="I296" s="947" t="s">
        <v>1732</v>
      </c>
      <c r="J296" s="917" t="s">
        <v>1732</v>
      </c>
      <c r="K296" s="916" t="s">
        <v>1707</v>
      </c>
      <c r="L296" s="914">
        <v>2016</v>
      </c>
      <c r="M296" s="918">
        <v>22</v>
      </c>
      <c r="N296" s="918" t="s">
        <v>168</v>
      </c>
      <c r="O296" s="918" t="s">
        <v>168</v>
      </c>
      <c r="P296" s="934">
        <v>7</v>
      </c>
      <c r="Q296" s="934">
        <v>0</v>
      </c>
      <c r="R296" s="934">
        <v>1</v>
      </c>
      <c r="S296" s="918">
        <v>7</v>
      </c>
      <c r="T296" s="918">
        <v>7</v>
      </c>
      <c r="U296" s="918">
        <v>7</v>
      </c>
      <c r="V296" s="918">
        <v>20</v>
      </c>
      <c r="W296" s="918">
        <v>20</v>
      </c>
      <c r="X296" s="934">
        <v>3</v>
      </c>
      <c r="Y296" s="918" t="s">
        <v>168</v>
      </c>
      <c r="Z296" s="918" t="s">
        <v>168</v>
      </c>
      <c r="AA296" s="919">
        <v>20</v>
      </c>
      <c r="AB296" s="940">
        <v>0</v>
      </c>
      <c r="AC296" s="940">
        <v>0</v>
      </c>
      <c r="AD296" s="940">
        <v>0</v>
      </c>
      <c r="AE296" s="940">
        <v>0</v>
      </c>
      <c r="AF296" s="945" t="s">
        <v>1733</v>
      </c>
      <c r="AG296" s="946" t="s">
        <v>1734</v>
      </c>
      <c r="AH296" s="916"/>
    </row>
    <row r="297" spans="1:34" ht="85.5">
      <c r="A297" s="914">
        <v>290</v>
      </c>
      <c r="B297" s="914" t="s">
        <v>228</v>
      </c>
      <c r="C297" s="914" t="s">
        <v>1702</v>
      </c>
      <c r="D297" s="914" t="s">
        <v>1730</v>
      </c>
      <c r="E297" s="914">
        <v>2</v>
      </c>
      <c r="F297" s="915" t="s">
        <v>1716</v>
      </c>
      <c r="G297" s="921" t="s">
        <v>1731</v>
      </c>
      <c r="H297" s="921" t="s">
        <v>1210</v>
      </c>
      <c r="I297" s="947" t="s">
        <v>1735</v>
      </c>
      <c r="J297" s="917" t="s">
        <v>1735</v>
      </c>
      <c r="K297" s="916" t="s">
        <v>1707</v>
      </c>
      <c r="L297" s="914">
        <v>2016</v>
      </c>
      <c r="M297" s="926">
        <v>1</v>
      </c>
      <c r="N297" s="918" t="s">
        <v>168</v>
      </c>
      <c r="O297" s="918" t="s">
        <v>168</v>
      </c>
      <c r="P297" s="927">
        <v>1</v>
      </c>
      <c r="Q297" s="927" t="s">
        <v>168</v>
      </c>
      <c r="R297" s="927">
        <v>3.7037037037037035E-2</v>
      </c>
      <c r="S297" s="918">
        <v>1</v>
      </c>
      <c r="T297" s="918">
        <v>1</v>
      </c>
      <c r="U297" s="918">
        <v>1</v>
      </c>
      <c r="V297" s="918">
        <v>1</v>
      </c>
      <c r="W297" s="918">
        <v>1</v>
      </c>
      <c r="X297" s="927">
        <v>1</v>
      </c>
      <c r="Y297" s="918" t="s">
        <v>168</v>
      </c>
      <c r="Z297" s="918" t="s">
        <v>168</v>
      </c>
      <c r="AA297" s="919">
        <v>1</v>
      </c>
      <c r="AB297" s="940">
        <v>0</v>
      </c>
      <c r="AC297" s="940">
        <v>0</v>
      </c>
      <c r="AD297" s="940">
        <v>0</v>
      </c>
      <c r="AE297" s="940">
        <v>0</v>
      </c>
      <c r="AF297" s="945" t="s">
        <v>1736</v>
      </c>
      <c r="AG297" s="946" t="s">
        <v>1737</v>
      </c>
      <c r="AH297" s="916"/>
    </row>
    <row r="298" spans="1:34" ht="71.25">
      <c r="A298" s="914">
        <v>291</v>
      </c>
      <c r="B298" s="914" t="s">
        <v>228</v>
      </c>
      <c r="C298" s="914" t="s">
        <v>1702</v>
      </c>
      <c r="D298" s="914" t="s">
        <v>1738</v>
      </c>
      <c r="E298" s="914">
        <v>1</v>
      </c>
      <c r="F298" s="915" t="s">
        <v>1716</v>
      </c>
      <c r="G298" s="921" t="s">
        <v>1739</v>
      </c>
      <c r="H298" s="921" t="s">
        <v>1210</v>
      </c>
      <c r="I298" s="948" t="s">
        <v>1740</v>
      </c>
      <c r="J298" s="917" t="s">
        <v>1740</v>
      </c>
      <c r="K298" s="916" t="s">
        <v>1707</v>
      </c>
      <c r="L298" s="914">
        <v>2016</v>
      </c>
      <c r="M298" s="918">
        <v>6</v>
      </c>
      <c r="N298" s="918" t="s">
        <v>168</v>
      </c>
      <c r="O298" s="918" t="s">
        <v>168</v>
      </c>
      <c r="P298" s="934">
        <v>12</v>
      </c>
      <c r="Q298" s="934">
        <v>5</v>
      </c>
      <c r="R298" s="934">
        <v>10</v>
      </c>
      <c r="S298" s="918">
        <v>5</v>
      </c>
      <c r="T298" s="918">
        <v>5</v>
      </c>
      <c r="U298" s="918">
        <v>5</v>
      </c>
      <c r="V298" s="918">
        <v>25</v>
      </c>
      <c r="W298" s="918">
        <v>25</v>
      </c>
      <c r="X298" s="934">
        <v>31</v>
      </c>
      <c r="Y298" s="918" t="s">
        <v>168</v>
      </c>
      <c r="Z298" s="918" t="s">
        <v>168</v>
      </c>
      <c r="AA298" s="919">
        <v>25</v>
      </c>
      <c r="AB298" s="940">
        <v>0</v>
      </c>
      <c r="AC298" s="940">
        <v>0</v>
      </c>
      <c r="AD298" s="940">
        <v>0</v>
      </c>
      <c r="AE298" s="940">
        <v>0</v>
      </c>
      <c r="AF298" s="945" t="s">
        <v>1741</v>
      </c>
      <c r="AG298" s="946" t="s">
        <v>1742</v>
      </c>
      <c r="AH298" s="916"/>
    </row>
    <row r="299" spans="1:34" ht="171">
      <c r="A299" s="914">
        <v>292</v>
      </c>
      <c r="B299" s="914" t="s">
        <v>228</v>
      </c>
      <c r="C299" s="914" t="s">
        <v>1743</v>
      </c>
      <c r="D299" s="914" t="s">
        <v>1744</v>
      </c>
      <c r="E299" s="914">
        <v>1</v>
      </c>
      <c r="F299" s="915" t="s">
        <v>1716</v>
      </c>
      <c r="G299" s="921" t="s">
        <v>1745</v>
      </c>
      <c r="H299" s="921" t="s">
        <v>1210</v>
      </c>
      <c r="I299" s="947" t="s">
        <v>1746</v>
      </c>
      <c r="J299" s="917" t="s">
        <v>1746</v>
      </c>
      <c r="K299" s="916" t="s">
        <v>1707</v>
      </c>
      <c r="L299" s="914">
        <v>2017</v>
      </c>
      <c r="M299" s="918">
        <v>138</v>
      </c>
      <c r="N299" s="918" t="s">
        <v>168</v>
      </c>
      <c r="O299" s="918" t="s">
        <v>168</v>
      </c>
      <c r="P299" s="934">
        <v>118</v>
      </c>
      <c r="Q299" s="934">
        <v>191</v>
      </c>
      <c r="R299" s="934">
        <v>190</v>
      </c>
      <c r="S299" s="918">
        <v>138</v>
      </c>
      <c r="T299" s="918">
        <v>138</v>
      </c>
      <c r="U299" s="918">
        <v>138</v>
      </c>
      <c r="V299" s="918">
        <v>138</v>
      </c>
      <c r="W299" s="918">
        <v>138</v>
      </c>
      <c r="X299" s="934">
        <v>195</v>
      </c>
      <c r="Y299" s="918" t="s">
        <v>168</v>
      </c>
      <c r="Z299" s="918" t="s">
        <v>168</v>
      </c>
      <c r="AA299" s="919">
        <v>138</v>
      </c>
      <c r="AB299" s="940">
        <v>0</v>
      </c>
      <c r="AC299" s="940">
        <v>0</v>
      </c>
      <c r="AD299" s="940">
        <v>0</v>
      </c>
      <c r="AE299" s="940">
        <v>0</v>
      </c>
      <c r="AF299" s="945" t="s">
        <v>1747</v>
      </c>
      <c r="AG299" s="946" t="s">
        <v>1748</v>
      </c>
      <c r="AH299" s="916"/>
    </row>
    <row r="300" spans="1:34" ht="171">
      <c r="A300" s="914">
        <v>293</v>
      </c>
      <c r="B300" s="914" t="s">
        <v>228</v>
      </c>
      <c r="C300" s="914" t="s">
        <v>1743</v>
      </c>
      <c r="D300" s="914" t="s">
        <v>1744</v>
      </c>
      <c r="E300" s="914">
        <v>2</v>
      </c>
      <c r="F300" s="915" t="s">
        <v>1716</v>
      </c>
      <c r="G300" s="921" t="s">
        <v>1745</v>
      </c>
      <c r="H300" s="921" t="s">
        <v>1210</v>
      </c>
      <c r="I300" s="947" t="s">
        <v>1749</v>
      </c>
      <c r="J300" s="917" t="s">
        <v>1749</v>
      </c>
      <c r="K300" s="916" t="s">
        <v>1707</v>
      </c>
      <c r="L300" s="914">
        <v>2017</v>
      </c>
      <c r="M300" s="918">
        <v>3600</v>
      </c>
      <c r="N300" s="918" t="s">
        <v>168</v>
      </c>
      <c r="O300" s="918" t="s">
        <v>168</v>
      </c>
      <c r="P300" s="934">
        <v>3000</v>
      </c>
      <c r="Q300" s="934">
        <v>4970</v>
      </c>
      <c r="R300" s="934">
        <v>3610</v>
      </c>
      <c r="S300" s="918">
        <v>3600</v>
      </c>
      <c r="T300" s="918">
        <v>3600</v>
      </c>
      <c r="U300" s="918">
        <v>3600</v>
      </c>
      <c r="V300" s="918">
        <v>3600</v>
      </c>
      <c r="W300" s="918">
        <v>3600</v>
      </c>
      <c r="X300" s="934">
        <v>3959</v>
      </c>
      <c r="Y300" s="918" t="s">
        <v>168</v>
      </c>
      <c r="Z300" s="918" t="s">
        <v>168</v>
      </c>
      <c r="AA300" s="919">
        <v>3600</v>
      </c>
      <c r="AB300" s="940">
        <v>0</v>
      </c>
      <c r="AC300" s="940">
        <v>0</v>
      </c>
      <c r="AD300" s="940">
        <v>0</v>
      </c>
      <c r="AE300" s="940">
        <v>0</v>
      </c>
      <c r="AF300" s="945" t="s">
        <v>1750</v>
      </c>
      <c r="AG300" s="946" t="s">
        <v>1751</v>
      </c>
      <c r="AH300" s="916"/>
    </row>
    <row r="301" spans="1:34" ht="57">
      <c r="A301" s="914">
        <v>294</v>
      </c>
      <c r="B301" s="914" t="s">
        <v>228</v>
      </c>
      <c r="C301" s="914" t="s">
        <v>1743</v>
      </c>
      <c r="D301" s="914" t="s">
        <v>1744</v>
      </c>
      <c r="E301" s="914">
        <v>3</v>
      </c>
      <c r="F301" s="915" t="s">
        <v>1752</v>
      </c>
      <c r="G301" s="921" t="s">
        <v>1745</v>
      </c>
      <c r="H301" s="921" t="s">
        <v>1210</v>
      </c>
      <c r="I301" s="947" t="s">
        <v>1753</v>
      </c>
      <c r="J301" s="917" t="s">
        <v>1753</v>
      </c>
      <c r="K301" s="916" t="s">
        <v>1707</v>
      </c>
      <c r="L301" s="914">
        <v>2017</v>
      </c>
      <c r="M301" s="926">
        <v>0.2</v>
      </c>
      <c r="N301" s="918" t="s">
        <v>168</v>
      </c>
      <c r="O301" s="918" t="s">
        <v>168</v>
      </c>
      <c r="P301" s="927">
        <v>0.2</v>
      </c>
      <c r="Q301" s="927">
        <v>0.18</v>
      </c>
      <c r="R301" s="927">
        <v>0.18</v>
      </c>
      <c r="S301" s="918">
        <v>0.2</v>
      </c>
      <c r="T301" s="918">
        <v>0.2</v>
      </c>
      <c r="U301" s="918">
        <v>0.2</v>
      </c>
      <c r="V301" s="918">
        <v>0.2</v>
      </c>
      <c r="W301" s="918">
        <v>0.2</v>
      </c>
      <c r="X301" s="927">
        <v>0.27</v>
      </c>
      <c r="Y301" s="918" t="s">
        <v>168</v>
      </c>
      <c r="Z301" s="918" t="s">
        <v>168</v>
      </c>
      <c r="AA301" s="919">
        <v>0.2</v>
      </c>
      <c r="AB301" s="940">
        <v>0</v>
      </c>
      <c r="AC301" s="940">
        <v>0</v>
      </c>
      <c r="AD301" s="940">
        <v>0</v>
      </c>
      <c r="AE301" s="940">
        <v>0</v>
      </c>
      <c r="AF301" s="945" t="s">
        <v>1754</v>
      </c>
      <c r="AG301" s="946" t="s">
        <v>1755</v>
      </c>
      <c r="AH301" s="916"/>
    </row>
    <row r="302" spans="1:34" ht="114">
      <c r="A302" s="914">
        <v>295</v>
      </c>
      <c r="B302" s="914" t="s">
        <v>1756</v>
      </c>
      <c r="C302" s="914" t="s">
        <v>1743</v>
      </c>
      <c r="D302" s="914" t="s">
        <v>1757</v>
      </c>
      <c r="E302" s="914">
        <v>1</v>
      </c>
      <c r="F302" s="915" t="s">
        <v>1338</v>
      </c>
      <c r="G302" s="921" t="s">
        <v>1745</v>
      </c>
      <c r="H302" s="921" t="s">
        <v>1210</v>
      </c>
      <c r="I302" s="947" t="s">
        <v>1758</v>
      </c>
      <c r="J302" s="917" t="s">
        <v>1758</v>
      </c>
      <c r="K302" s="916" t="s">
        <v>1707</v>
      </c>
      <c r="L302" s="914" t="s">
        <v>168</v>
      </c>
      <c r="M302" s="918" t="s">
        <v>168</v>
      </c>
      <c r="N302" s="918" t="s">
        <v>168</v>
      </c>
      <c r="O302" s="918" t="s">
        <v>168</v>
      </c>
      <c r="P302" s="919" t="s">
        <v>168</v>
      </c>
      <c r="Q302" s="919" t="s">
        <v>168</v>
      </c>
      <c r="R302" s="919" t="s">
        <v>168</v>
      </c>
      <c r="S302" s="918" t="s">
        <v>168</v>
      </c>
      <c r="T302" s="918" t="s">
        <v>168</v>
      </c>
      <c r="U302" s="918" t="s">
        <v>168</v>
      </c>
      <c r="V302" s="918" t="s">
        <v>168</v>
      </c>
      <c r="W302" s="918" t="s">
        <v>168</v>
      </c>
      <c r="X302" s="933" t="s">
        <v>168</v>
      </c>
      <c r="Y302" s="918" t="s">
        <v>168</v>
      </c>
      <c r="Z302" s="918" t="s">
        <v>168</v>
      </c>
      <c r="AA302" s="919" t="s">
        <v>168</v>
      </c>
      <c r="AB302" s="940">
        <v>0</v>
      </c>
      <c r="AC302" s="940">
        <v>0</v>
      </c>
      <c r="AD302" s="940">
        <v>0</v>
      </c>
      <c r="AE302" s="940">
        <v>0</v>
      </c>
      <c r="AF302" s="945" t="s">
        <v>1759</v>
      </c>
      <c r="AG302" s="946" t="s">
        <v>1759</v>
      </c>
      <c r="AH302" s="916"/>
    </row>
    <row r="303" spans="1:34" ht="57">
      <c r="A303" s="914">
        <v>296</v>
      </c>
      <c r="B303" s="914" t="s">
        <v>1756</v>
      </c>
      <c r="C303" s="914" t="s">
        <v>1743</v>
      </c>
      <c r="D303" s="914" t="s">
        <v>1760</v>
      </c>
      <c r="E303" s="914">
        <v>1</v>
      </c>
      <c r="F303" s="915" t="s">
        <v>1716</v>
      </c>
      <c r="G303" s="921" t="s">
        <v>1745</v>
      </c>
      <c r="H303" s="921" t="s">
        <v>1360</v>
      </c>
      <c r="I303" s="947" t="s">
        <v>1761</v>
      </c>
      <c r="J303" s="917" t="s">
        <v>1761</v>
      </c>
      <c r="K303" s="916" t="s">
        <v>1707</v>
      </c>
      <c r="L303" s="914" t="s">
        <v>168</v>
      </c>
      <c r="M303" s="918" t="s">
        <v>168</v>
      </c>
      <c r="N303" s="918" t="s">
        <v>168</v>
      </c>
      <c r="O303" s="918" t="s">
        <v>168</v>
      </c>
      <c r="P303" s="919" t="s">
        <v>168</v>
      </c>
      <c r="Q303" s="919" t="s">
        <v>168</v>
      </c>
      <c r="R303" s="919" t="s">
        <v>168</v>
      </c>
      <c r="S303" s="918" t="s">
        <v>168</v>
      </c>
      <c r="T303" s="918" t="s">
        <v>168</v>
      </c>
      <c r="U303" s="918" t="s">
        <v>168</v>
      </c>
      <c r="V303" s="918" t="s">
        <v>168</v>
      </c>
      <c r="W303" s="918" t="s">
        <v>168</v>
      </c>
      <c r="X303" s="933" t="s">
        <v>168</v>
      </c>
      <c r="Y303" s="918" t="s">
        <v>168</v>
      </c>
      <c r="Z303" s="918" t="s">
        <v>168</v>
      </c>
      <c r="AA303" s="919" t="s">
        <v>168</v>
      </c>
      <c r="AB303" s="940">
        <v>0</v>
      </c>
      <c r="AC303" s="940">
        <v>0</v>
      </c>
      <c r="AD303" s="940">
        <v>0</v>
      </c>
      <c r="AE303" s="940">
        <v>0</v>
      </c>
      <c r="AF303" s="916" t="s">
        <v>1762</v>
      </c>
      <c r="AG303" s="916" t="s">
        <v>1762</v>
      </c>
      <c r="AH303" s="916"/>
    </row>
    <row r="304" spans="1:34" ht="57">
      <c r="A304" s="914">
        <v>297</v>
      </c>
      <c r="B304" s="914" t="s">
        <v>1756</v>
      </c>
      <c r="C304" s="914" t="s">
        <v>1743</v>
      </c>
      <c r="D304" s="914" t="s">
        <v>1760</v>
      </c>
      <c r="E304" s="914">
        <v>1</v>
      </c>
      <c r="F304" s="915" t="s">
        <v>1338</v>
      </c>
      <c r="G304" s="921" t="s">
        <v>1745</v>
      </c>
      <c r="H304" s="921" t="s">
        <v>1360</v>
      </c>
      <c r="I304" s="947" t="s">
        <v>1761</v>
      </c>
      <c r="J304" s="917" t="s">
        <v>1761</v>
      </c>
      <c r="K304" s="916" t="s">
        <v>1707</v>
      </c>
      <c r="L304" s="914" t="s">
        <v>168</v>
      </c>
      <c r="M304" s="918" t="s">
        <v>168</v>
      </c>
      <c r="N304" s="918" t="s">
        <v>168</v>
      </c>
      <c r="O304" s="918" t="s">
        <v>168</v>
      </c>
      <c r="P304" s="919" t="s">
        <v>168</v>
      </c>
      <c r="Q304" s="919" t="s">
        <v>168</v>
      </c>
      <c r="R304" s="919" t="s">
        <v>168</v>
      </c>
      <c r="S304" s="918" t="s">
        <v>168</v>
      </c>
      <c r="T304" s="918" t="s">
        <v>168</v>
      </c>
      <c r="U304" s="918" t="s">
        <v>168</v>
      </c>
      <c r="V304" s="918" t="s">
        <v>168</v>
      </c>
      <c r="W304" s="918" t="s">
        <v>168</v>
      </c>
      <c r="X304" s="933" t="s">
        <v>168</v>
      </c>
      <c r="Y304" s="918" t="s">
        <v>168</v>
      </c>
      <c r="Z304" s="918" t="s">
        <v>168</v>
      </c>
      <c r="AA304" s="919" t="s">
        <v>168</v>
      </c>
      <c r="AB304" s="940">
        <v>0</v>
      </c>
      <c r="AC304" s="940">
        <v>0</v>
      </c>
      <c r="AD304" s="940">
        <v>0</v>
      </c>
      <c r="AE304" s="940">
        <v>0</v>
      </c>
      <c r="AF304" s="916" t="s">
        <v>1762</v>
      </c>
      <c r="AG304" s="916" t="s">
        <v>1762</v>
      </c>
      <c r="AH304" s="916"/>
    </row>
    <row r="305" spans="1:34" ht="57">
      <c r="A305" s="914">
        <v>298</v>
      </c>
      <c r="B305" s="914" t="s">
        <v>1756</v>
      </c>
      <c r="C305" s="914" t="s">
        <v>1743</v>
      </c>
      <c r="D305" s="914" t="s">
        <v>1760</v>
      </c>
      <c r="E305" s="914">
        <v>2</v>
      </c>
      <c r="F305" s="915" t="s">
        <v>1716</v>
      </c>
      <c r="G305" s="921" t="s">
        <v>1745</v>
      </c>
      <c r="H305" s="921" t="s">
        <v>1360</v>
      </c>
      <c r="I305" s="947" t="s">
        <v>1763</v>
      </c>
      <c r="J305" s="917" t="s">
        <v>1763</v>
      </c>
      <c r="K305" s="916" t="s">
        <v>1707</v>
      </c>
      <c r="L305" s="914" t="s">
        <v>168</v>
      </c>
      <c r="M305" s="918" t="s">
        <v>168</v>
      </c>
      <c r="N305" s="918" t="s">
        <v>168</v>
      </c>
      <c r="O305" s="918" t="s">
        <v>168</v>
      </c>
      <c r="P305" s="919" t="s">
        <v>168</v>
      </c>
      <c r="Q305" s="919" t="s">
        <v>168</v>
      </c>
      <c r="R305" s="919" t="s">
        <v>168</v>
      </c>
      <c r="S305" s="918" t="s">
        <v>168</v>
      </c>
      <c r="T305" s="918" t="s">
        <v>168</v>
      </c>
      <c r="U305" s="918" t="s">
        <v>168</v>
      </c>
      <c r="V305" s="918" t="s">
        <v>168</v>
      </c>
      <c r="W305" s="918" t="s">
        <v>168</v>
      </c>
      <c r="X305" s="933" t="s">
        <v>168</v>
      </c>
      <c r="Y305" s="918" t="s">
        <v>168</v>
      </c>
      <c r="Z305" s="918" t="s">
        <v>168</v>
      </c>
      <c r="AA305" s="919" t="s">
        <v>168</v>
      </c>
      <c r="AB305" s="940">
        <v>0</v>
      </c>
      <c r="AC305" s="940">
        <v>0</v>
      </c>
      <c r="AD305" s="940">
        <v>0</v>
      </c>
      <c r="AE305" s="940">
        <v>0</v>
      </c>
      <c r="AF305" s="916" t="s">
        <v>1762</v>
      </c>
      <c r="AG305" s="916" t="s">
        <v>1762</v>
      </c>
      <c r="AH305" s="916"/>
    </row>
    <row r="306" spans="1:34" ht="57">
      <c r="A306" s="914">
        <v>299</v>
      </c>
      <c r="B306" s="914" t="s">
        <v>1756</v>
      </c>
      <c r="C306" s="914" t="s">
        <v>1743</v>
      </c>
      <c r="D306" s="914" t="s">
        <v>1760</v>
      </c>
      <c r="E306" s="914">
        <v>2</v>
      </c>
      <c r="F306" s="915" t="s">
        <v>1338</v>
      </c>
      <c r="G306" s="921" t="s">
        <v>1745</v>
      </c>
      <c r="H306" s="921" t="s">
        <v>1360</v>
      </c>
      <c r="I306" s="947" t="s">
        <v>1763</v>
      </c>
      <c r="J306" s="917" t="s">
        <v>1763</v>
      </c>
      <c r="K306" s="916" t="s">
        <v>1707</v>
      </c>
      <c r="L306" s="914" t="s">
        <v>168</v>
      </c>
      <c r="M306" s="918" t="s">
        <v>168</v>
      </c>
      <c r="N306" s="918" t="s">
        <v>168</v>
      </c>
      <c r="O306" s="918" t="s">
        <v>168</v>
      </c>
      <c r="P306" s="919" t="s">
        <v>168</v>
      </c>
      <c r="Q306" s="919" t="s">
        <v>168</v>
      </c>
      <c r="R306" s="919" t="s">
        <v>168</v>
      </c>
      <c r="S306" s="918" t="s">
        <v>168</v>
      </c>
      <c r="T306" s="918" t="s">
        <v>168</v>
      </c>
      <c r="U306" s="918" t="s">
        <v>168</v>
      </c>
      <c r="V306" s="918" t="s">
        <v>168</v>
      </c>
      <c r="W306" s="918" t="s">
        <v>168</v>
      </c>
      <c r="X306" s="933" t="s">
        <v>168</v>
      </c>
      <c r="Y306" s="918" t="s">
        <v>168</v>
      </c>
      <c r="Z306" s="918" t="s">
        <v>168</v>
      </c>
      <c r="AA306" s="919" t="s">
        <v>168</v>
      </c>
      <c r="AB306" s="940">
        <v>0</v>
      </c>
      <c r="AC306" s="940">
        <v>0</v>
      </c>
      <c r="AD306" s="940">
        <v>0</v>
      </c>
      <c r="AE306" s="940">
        <v>0</v>
      </c>
      <c r="AF306" s="916" t="s">
        <v>1762</v>
      </c>
      <c r="AG306" s="916" t="s">
        <v>1762</v>
      </c>
      <c r="AH306" s="916"/>
    </row>
    <row r="307" spans="1:34" ht="85.5">
      <c r="A307" s="914">
        <v>300</v>
      </c>
      <c r="B307" s="914" t="s">
        <v>1756</v>
      </c>
      <c r="C307" s="914" t="s">
        <v>1743</v>
      </c>
      <c r="D307" s="914" t="s">
        <v>1760</v>
      </c>
      <c r="E307" s="914">
        <v>3</v>
      </c>
      <c r="F307" s="915" t="s">
        <v>1716</v>
      </c>
      <c r="G307" s="921" t="s">
        <v>1745</v>
      </c>
      <c r="H307" s="921" t="s">
        <v>1360</v>
      </c>
      <c r="I307" s="947" t="s">
        <v>1764</v>
      </c>
      <c r="J307" s="917" t="s">
        <v>1764</v>
      </c>
      <c r="K307" s="916" t="s">
        <v>1707</v>
      </c>
      <c r="L307" s="914" t="s">
        <v>168</v>
      </c>
      <c r="M307" s="918" t="s">
        <v>168</v>
      </c>
      <c r="N307" s="918" t="s">
        <v>168</v>
      </c>
      <c r="O307" s="918" t="s">
        <v>168</v>
      </c>
      <c r="P307" s="919" t="s">
        <v>168</v>
      </c>
      <c r="Q307" s="919" t="s">
        <v>168</v>
      </c>
      <c r="R307" s="919" t="s">
        <v>168</v>
      </c>
      <c r="S307" s="918" t="s">
        <v>168</v>
      </c>
      <c r="T307" s="918" t="s">
        <v>168</v>
      </c>
      <c r="U307" s="918" t="s">
        <v>168</v>
      </c>
      <c r="V307" s="918" t="s">
        <v>168</v>
      </c>
      <c r="W307" s="918" t="s">
        <v>168</v>
      </c>
      <c r="X307" s="933" t="s">
        <v>168</v>
      </c>
      <c r="Y307" s="918" t="s">
        <v>168</v>
      </c>
      <c r="Z307" s="918" t="s">
        <v>168</v>
      </c>
      <c r="AA307" s="919" t="s">
        <v>168</v>
      </c>
      <c r="AB307" s="940">
        <v>0</v>
      </c>
      <c r="AC307" s="940">
        <v>0</v>
      </c>
      <c r="AD307" s="940">
        <v>0</v>
      </c>
      <c r="AE307" s="940">
        <v>0</v>
      </c>
      <c r="AF307" s="916" t="s">
        <v>1762</v>
      </c>
      <c r="AG307" s="916" t="s">
        <v>1762</v>
      </c>
      <c r="AH307" s="916"/>
    </row>
    <row r="308" spans="1:34" ht="85.5">
      <c r="A308" s="915">
        <v>301</v>
      </c>
      <c r="B308" s="914" t="s">
        <v>228</v>
      </c>
      <c r="C308" s="915" t="s">
        <v>1765</v>
      </c>
      <c r="D308" s="915" t="s">
        <v>1766</v>
      </c>
      <c r="E308" s="915">
        <v>1</v>
      </c>
      <c r="F308" s="915" t="s">
        <v>1716</v>
      </c>
      <c r="G308" s="921" t="s">
        <v>1767</v>
      </c>
      <c r="H308" s="921" t="s">
        <v>1210</v>
      </c>
      <c r="I308" s="917" t="s">
        <v>1768</v>
      </c>
      <c r="J308" s="917" t="s">
        <v>1768</v>
      </c>
      <c r="K308" s="916" t="s">
        <v>1769</v>
      </c>
      <c r="L308" s="915">
        <v>2016</v>
      </c>
      <c r="M308" s="918">
        <v>0</v>
      </c>
      <c r="N308" s="918" t="s">
        <v>168</v>
      </c>
      <c r="O308" s="918" t="s">
        <v>168</v>
      </c>
      <c r="P308" s="919">
        <v>0</v>
      </c>
      <c r="Q308" s="919">
        <v>0</v>
      </c>
      <c r="R308" s="919">
        <v>4</v>
      </c>
      <c r="S308" s="918"/>
      <c r="T308" s="918"/>
      <c r="U308" s="918"/>
      <c r="V308" s="918" t="s">
        <v>1770</v>
      </c>
      <c r="W308" s="918" t="s">
        <v>1771</v>
      </c>
      <c r="X308" s="934">
        <v>4</v>
      </c>
      <c r="Y308" s="918" t="s">
        <v>168</v>
      </c>
      <c r="Z308" s="918" t="s">
        <v>168</v>
      </c>
      <c r="AA308" s="919" t="s">
        <v>1770</v>
      </c>
      <c r="AB308" s="918" t="s">
        <v>1771</v>
      </c>
      <c r="AC308" s="918" t="s">
        <v>1771</v>
      </c>
      <c r="AD308" s="918" t="s">
        <v>1771</v>
      </c>
      <c r="AE308" s="918" t="s">
        <v>1771</v>
      </c>
      <c r="AF308" s="916" t="s">
        <v>1772</v>
      </c>
      <c r="AG308" s="916" t="s">
        <v>1773</v>
      </c>
      <c r="AH308" s="916"/>
    </row>
    <row r="309" spans="1:34" ht="71.25">
      <c r="A309" s="915">
        <v>302</v>
      </c>
      <c r="B309" s="914" t="s">
        <v>228</v>
      </c>
      <c r="C309" s="915" t="s">
        <v>1765</v>
      </c>
      <c r="D309" s="915" t="s">
        <v>1774</v>
      </c>
      <c r="E309" s="915">
        <v>1</v>
      </c>
      <c r="F309" s="915" t="s">
        <v>1716</v>
      </c>
      <c r="G309" s="921" t="s">
        <v>1775</v>
      </c>
      <c r="H309" s="921" t="s">
        <v>1210</v>
      </c>
      <c r="I309" s="917" t="s">
        <v>1776</v>
      </c>
      <c r="J309" s="917" t="s">
        <v>1776</v>
      </c>
      <c r="K309" s="916" t="s">
        <v>1769</v>
      </c>
      <c r="L309" s="915">
        <v>2016</v>
      </c>
      <c r="M309" s="918" t="s">
        <v>1777</v>
      </c>
      <c r="N309" s="918" t="s">
        <v>168</v>
      </c>
      <c r="O309" s="918" t="s">
        <v>168</v>
      </c>
      <c r="P309" s="940" t="s">
        <v>1778</v>
      </c>
      <c r="Q309" s="940" t="s">
        <v>1779</v>
      </c>
      <c r="R309" s="940" t="s">
        <v>1780</v>
      </c>
      <c r="S309" s="918">
        <v>9000</v>
      </c>
      <c r="T309" s="918">
        <v>8000</v>
      </c>
      <c r="U309" s="918">
        <v>7000</v>
      </c>
      <c r="V309" s="918">
        <v>21000</v>
      </c>
      <c r="W309" s="918">
        <v>14000</v>
      </c>
      <c r="X309" s="949" t="s">
        <v>1781</v>
      </c>
      <c r="Y309" s="918" t="s">
        <v>168</v>
      </c>
      <c r="Z309" s="918" t="s">
        <v>168</v>
      </c>
      <c r="AA309" s="919">
        <v>21000</v>
      </c>
      <c r="AB309" s="918">
        <v>14000</v>
      </c>
      <c r="AC309" s="918">
        <v>14000</v>
      </c>
      <c r="AD309" s="918">
        <v>14000</v>
      </c>
      <c r="AE309" s="918">
        <v>14000</v>
      </c>
      <c r="AF309" s="916" t="s">
        <v>1782</v>
      </c>
      <c r="AG309" s="916" t="s">
        <v>2304</v>
      </c>
      <c r="AH309" s="916"/>
    </row>
    <row r="310" spans="1:34" ht="199.5">
      <c r="A310" s="915">
        <v>303</v>
      </c>
      <c r="B310" s="914" t="s">
        <v>228</v>
      </c>
      <c r="C310" s="915" t="s">
        <v>1765</v>
      </c>
      <c r="D310" s="915" t="s">
        <v>1774</v>
      </c>
      <c r="E310" s="915">
        <v>1</v>
      </c>
      <c r="F310" s="915" t="s">
        <v>1783</v>
      </c>
      <c r="G310" s="921" t="s">
        <v>1775</v>
      </c>
      <c r="H310" s="921" t="s">
        <v>1210</v>
      </c>
      <c r="I310" s="917" t="s">
        <v>1784</v>
      </c>
      <c r="J310" s="917" t="s">
        <v>1784</v>
      </c>
      <c r="K310" s="916" t="s">
        <v>1769</v>
      </c>
      <c r="L310" s="915">
        <v>2016</v>
      </c>
      <c r="M310" s="926">
        <v>2.6232118176701312E-2</v>
      </c>
      <c r="N310" s="918">
        <v>4663.6771300448427</v>
      </c>
      <c r="O310" s="918">
        <v>177785</v>
      </c>
      <c r="P310" s="931">
        <v>2.2566583232556177E-2</v>
      </c>
      <c r="Q310" s="931">
        <v>2.3817894705479247E-2</v>
      </c>
      <c r="R310" s="931">
        <v>2.4810867058525747E-2</v>
      </c>
      <c r="S310" s="929">
        <v>0.1</v>
      </c>
      <c r="T310" s="926">
        <v>0.1</v>
      </c>
      <c r="U310" s="926">
        <v>0.1</v>
      </c>
      <c r="V310" s="926">
        <v>0.1</v>
      </c>
      <c r="W310" s="926">
        <v>0.1</v>
      </c>
      <c r="X310" s="927">
        <v>1.0298956604887926E-2</v>
      </c>
      <c r="Y310" s="918">
        <v>1831</v>
      </c>
      <c r="Z310" s="918">
        <v>177785</v>
      </c>
      <c r="AA310" s="927">
        <v>0.1</v>
      </c>
      <c r="AB310" s="926">
        <v>0.1</v>
      </c>
      <c r="AC310" s="926">
        <v>0.1</v>
      </c>
      <c r="AD310" s="926">
        <v>0.1</v>
      </c>
      <c r="AE310" s="926">
        <v>0.1</v>
      </c>
      <c r="AF310" s="950" t="s">
        <v>1785</v>
      </c>
      <c r="AG310" s="950" t="s">
        <v>2305</v>
      </c>
      <c r="AH310" s="916"/>
    </row>
    <row r="311" spans="1:34" ht="128.25">
      <c r="A311" s="915">
        <v>304</v>
      </c>
      <c r="B311" s="914" t="s">
        <v>228</v>
      </c>
      <c r="C311" s="915" t="s">
        <v>1765</v>
      </c>
      <c r="D311" s="915" t="s">
        <v>1786</v>
      </c>
      <c r="E311" s="915">
        <v>1</v>
      </c>
      <c r="F311" s="915" t="s">
        <v>1783</v>
      </c>
      <c r="G311" s="921" t="s">
        <v>1787</v>
      </c>
      <c r="H311" s="921" t="s">
        <v>1210</v>
      </c>
      <c r="I311" s="917" t="s">
        <v>1788</v>
      </c>
      <c r="J311" s="917" t="s">
        <v>1788</v>
      </c>
      <c r="K311" s="916" t="s">
        <v>1769</v>
      </c>
      <c r="L311" s="915" t="s">
        <v>168</v>
      </c>
      <c r="M311" s="926">
        <v>0.65</v>
      </c>
      <c r="N311" s="918" t="s">
        <v>168</v>
      </c>
      <c r="O311" s="918" t="s">
        <v>168</v>
      </c>
      <c r="P311" s="927">
        <v>0.6</v>
      </c>
      <c r="Q311" s="927">
        <v>0.63</v>
      </c>
      <c r="R311" s="927">
        <v>0.1925</v>
      </c>
      <c r="S311" s="926">
        <v>0.65</v>
      </c>
      <c r="T311" s="926">
        <v>0.65</v>
      </c>
      <c r="U311" s="926">
        <v>0.65</v>
      </c>
      <c r="V311" s="926">
        <v>0.65</v>
      </c>
      <c r="W311" s="926">
        <v>0.65</v>
      </c>
      <c r="X311" s="927">
        <v>0.2</v>
      </c>
      <c r="Y311" s="918">
        <v>335</v>
      </c>
      <c r="Z311" s="918">
        <v>1715</v>
      </c>
      <c r="AA311" s="927">
        <v>0.65</v>
      </c>
      <c r="AB311" s="926">
        <v>0.65</v>
      </c>
      <c r="AC311" s="926">
        <v>0.65</v>
      </c>
      <c r="AD311" s="926">
        <v>0.65</v>
      </c>
      <c r="AE311" s="926">
        <v>0.65</v>
      </c>
      <c r="AF311" s="950" t="s">
        <v>1789</v>
      </c>
      <c r="AG311" s="950" t="s">
        <v>2306</v>
      </c>
      <c r="AH311" s="916"/>
    </row>
    <row r="312" spans="1:34" ht="142.5">
      <c r="A312" s="915">
        <v>305</v>
      </c>
      <c r="B312" s="914" t="s">
        <v>228</v>
      </c>
      <c r="C312" s="915" t="s">
        <v>1765</v>
      </c>
      <c r="D312" s="915" t="s">
        <v>1786</v>
      </c>
      <c r="E312" s="915">
        <v>1</v>
      </c>
      <c r="F312" s="915" t="s">
        <v>1783</v>
      </c>
      <c r="G312" s="921" t="s">
        <v>1787</v>
      </c>
      <c r="H312" s="921" t="s">
        <v>1210</v>
      </c>
      <c r="I312" s="917" t="s">
        <v>1790</v>
      </c>
      <c r="J312" s="917" t="s">
        <v>1790</v>
      </c>
      <c r="K312" s="916" t="s">
        <v>1769</v>
      </c>
      <c r="L312" s="915" t="s">
        <v>168</v>
      </c>
      <c r="M312" s="918" t="s">
        <v>168</v>
      </c>
      <c r="N312" s="918" t="s">
        <v>168</v>
      </c>
      <c r="O312" s="918" t="s">
        <v>168</v>
      </c>
      <c r="P312" s="919" t="s">
        <v>168</v>
      </c>
      <c r="Q312" s="919" t="s">
        <v>168</v>
      </c>
      <c r="R312" s="919" t="s">
        <v>168</v>
      </c>
      <c r="S312" s="926">
        <v>0.05</v>
      </c>
      <c r="T312" s="926">
        <v>0.05</v>
      </c>
      <c r="U312" s="926">
        <v>0.05</v>
      </c>
      <c r="V312" s="926">
        <v>0.15</v>
      </c>
      <c r="W312" s="926">
        <v>0.3</v>
      </c>
      <c r="X312" s="933" t="s">
        <v>168</v>
      </c>
      <c r="Y312" s="918" t="s">
        <v>168</v>
      </c>
      <c r="Z312" s="918" t="s">
        <v>168</v>
      </c>
      <c r="AA312" s="927">
        <v>0.15</v>
      </c>
      <c r="AB312" s="926">
        <v>0.3</v>
      </c>
      <c r="AC312" s="926">
        <v>0.3</v>
      </c>
      <c r="AD312" s="926">
        <v>0.3</v>
      </c>
      <c r="AE312" s="926">
        <v>0.3</v>
      </c>
      <c r="AF312" s="916" t="s">
        <v>1791</v>
      </c>
      <c r="AG312" s="950" t="s">
        <v>2307</v>
      </c>
      <c r="AH312" s="916"/>
    </row>
    <row r="313" spans="1:34" ht="85.5">
      <c r="A313" s="915">
        <v>306</v>
      </c>
      <c r="B313" s="914" t="s">
        <v>228</v>
      </c>
      <c r="C313" s="915" t="s">
        <v>1765</v>
      </c>
      <c r="D313" s="915" t="s">
        <v>1792</v>
      </c>
      <c r="E313" s="915">
        <v>1</v>
      </c>
      <c r="F313" s="915" t="s">
        <v>1716</v>
      </c>
      <c r="G313" s="921" t="s">
        <v>1787</v>
      </c>
      <c r="H313" s="921" t="s">
        <v>1360</v>
      </c>
      <c r="I313" s="917" t="s">
        <v>1793</v>
      </c>
      <c r="J313" s="917" t="s">
        <v>1793</v>
      </c>
      <c r="K313" s="916" t="s">
        <v>1769</v>
      </c>
      <c r="L313" s="915" t="s">
        <v>168</v>
      </c>
      <c r="M313" s="918" t="s">
        <v>168</v>
      </c>
      <c r="N313" s="918" t="s">
        <v>168</v>
      </c>
      <c r="O313" s="918" t="s">
        <v>168</v>
      </c>
      <c r="P313" s="919" t="s">
        <v>168</v>
      </c>
      <c r="Q313" s="919" t="s">
        <v>168</v>
      </c>
      <c r="R313" s="919" t="s">
        <v>168</v>
      </c>
      <c r="S313" s="918" t="s">
        <v>168</v>
      </c>
      <c r="T313" s="918" t="s">
        <v>168</v>
      </c>
      <c r="U313" s="918" t="s">
        <v>168</v>
      </c>
      <c r="V313" s="918" t="s">
        <v>168</v>
      </c>
      <c r="W313" s="918" t="s">
        <v>168</v>
      </c>
      <c r="X313" s="933" t="s">
        <v>168</v>
      </c>
      <c r="Y313" s="918" t="s">
        <v>168</v>
      </c>
      <c r="Z313" s="918" t="s">
        <v>168</v>
      </c>
      <c r="AA313" s="919" t="s">
        <v>168</v>
      </c>
      <c r="AB313" s="918" t="s">
        <v>168</v>
      </c>
      <c r="AC313" s="918" t="s">
        <v>168</v>
      </c>
      <c r="AD313" s="918" t="s">
        <v>168</v>
      </c>
      <c r="AE313" s="918" t="s">
        <v>168</v>
      </c>
      <c r="AF313" s="916" t="s">
        <v>1794</v>
      </c>
      <c r="AG313" s="916" t="s">
        <v>168</v>
      </c>
      <c r="AH313" s="916"/>
    </row>
    <row r="314" spans="1:34" ht="114">
      <c r="A314" s="915">
        <v>307</v>
      </c>
      <c r="B314" s="915" t="s">
        <v>228</v>
      </c>
      <c r="C314" s="915" t="s">
        <v>1795</v>
      </c>
      <c r="D314" s="915" t="s">
        <v>1796</v>
      </c>
      <c r="E314" s="915">
        <v>1</v>
      </c>
      <c r="F314" s="915" t="s">
        <v>1716</v>
      </c>
      <c r="G314" s="921" t="s">
        <v>1797</v>
      </c>
      <c r="H314" s="921" t="s">
        <v>1210</v>
      </c>
      <c r="I314" s="917" t="s">
        <v>1798</v>
      </c>
      <c r="J314" s="917" t="s">
        <v>1799</v>
      </c>
      <c r="K314" s="916" t="s">
        <v>1800</v>
      </c>
      <c r="L314" s="914" t="s">
        <v>168</v>
      </c>
      <c r="M314" s="918" t="s">
        <v>168</v>
      </c>
      <c r="N314" s="918" t="s">
        <v>168</v>
      </c>
      <c r="O314" s="918" t="s">
        <v>168</v>
      </c>
      <c r="P314" s="940" t="s">
        <v>168</v>
      </c>
      <c r="Q314" s="940" t="s">
        <v>1801</v>
      </c>
      <c r="R314" s="940" t="s">
        <v>1801</v>
      </c>
      <c r="S314" s="951" t="s">
        <v>1802</v>
      </c>
      <c r="T314" s="951" t="s">
        <v>1803</v>
      </c>
      <c r="U314" s="951" t="s">
        <v>1804</v>
      </c>
      <c r="V314" s="951" t="s">
        <v>803</v>
      </c>
      <c r="W314" s="951" t="s">
        <v>803</v>
      </c>
      <c r="X314" s="949" t="s">
        <v>1805</v>
      </c>
      <c r="Y314" s="918" t="s">
        <v>168</v>
      </c>
      <c r="Z314" s="918" t="s">
        <v>168</v>
      </c>
      <c r="AA314" s="940" t="s">
        <v>803</v>
      </c>
      <c r="AB314" s="940" t="s">
        <v>803</v>
      </c>
      <c r="AC314" s="940" t="s">
        <v>803</v>
      </c>
      <c r="AD314" s="940" t="s">
        <v>803</v>
      </c>
      <c r="AE314" s="940" t="s">
        <v>803</v>
      </c>
      <c r="AF314" s="916" t="s">
        <v>1806</v>
      </c>
      <c r="AG314" s="916" t="s">
        <v>1807</v>
      </c>
      <c r="AH314" s="916"/>
    </row>
    <row r="315" spans="1:34" ht="114">
      <c r="A315" s="915">
        <v>308</v>
      </c>
      <c r="B315" s="915" t="s">
        <v>228</v>
      </c>
      <c r="C315" s="915" t="s">
        <v>1795</v>
      </c>
      <c r="D315" s="915" t="s">
        <v>1808</v>
      </c>
      <c r="E315" s="915">
        <v>1</v>
      </c>
      <c r="F315" s="915" t="s">
        <v>1809</v>
      </c>
      <c r="G315" s="921" t="s">
        <v>1797</v>
      </c>
      <c r="H315" s="921" t="s">
        <v>1210</v>
      </c>
      <c r="I315" s="917" t="s">
        <v>1810</v>
      </c>
      <c r="J315" s="917" t="s">
        <v>1811</v>
      </c>
      <c r="K315" s="916" t="s">
        <v>1800</v>
      </c>
      <c r="L315" s="914" t="s">
        <v>168</v>
      </c>
      <c r="M315" s="918" t="s">
        <v>168</v>
      </c>
      <c r="N315" s="918" t="s">
        <v>168</v>
      </c>
      <c r="O315" s="918" t="s">
        <v>168</v>
      </c>
      <c r="P315" s="940" t="s">
        <v>168</v>
      </c>
      <c r="Q315" s="940" t="s">
        <v>1801</v>
      </c>
      <c r="R315" s="940" t="s">
        <v>1801</v>
      </c>
      <c r="S315" s="951" t="s">
        <v>1812</v>
      </c>
      <c r="T315" s="951" t="s">
        <v>1803</v>
      </c>
      <c r="U315" s="951" t="s">
        <v>1804</v>
      </c>
      <c r="V315" s="951" t="s">
        <v>803</v>
      </c>
      <c r="W315" s="951" t="s">
        <v>803</v>
      </c>
      <c r="X315" s="949" t="s">
        <v>1813</v>
      </c>
      <c r="Y315" s="918" t="s">
        <v>168</v>
      </c>
      <c r="Z315" s="918" t="s">
        <v>168</v>
      </c>
      <c r="AA315" s="940" t="s">
        <v>803</v>
      </c>
      <c r="AB315" s="940" t="s">
        <v>803</v>
      </c>
      <c r="AC315" s="940" t="s">
        <v>803</v>
      </c>
      <c r="AD315" s="940" t="s">
        <v>803</v>
      </c>
      <c r="AE315" s="940" t="s">
        <v>803</v>
      </c>
      <c r="AF315" s="916" t="s">
        <v>1806</v>
      </c>
      <c r="AG315" s="916" t="s">
        <v>1814</v>
      </c>
      <c r="AH315" s="916"/>
    </row>
    <row r="316" spans="1:34" ht="42.75">
      <c r="A316" s="915">
        <v>309</v>
      </c>
      <c r="B316" s="915" t="s">
        <v>228</v>
      </c>
      <c r="C316" s="915" t="s">
        <v>1795</v>
      </c>
      <c r="D316" s="915" t="s">
        <v>1815</v>
      </c>
      <c r="E316" s="915">
        <v>1</v>
      </c>
      <c r="F316" s="915" t="s">
        <v>1816</v>
      </c>
      <c r="G316" s="921" t="s">
        <v>1817</v>
      </c>
      <c r="H316" s="921" t="s">
        <v>1210</v>
      </c>
      <c r="I316" s="917" t="s">
        <v>1818</v>
      </c>
      <c r="J316" s="917" t="s">
        <v>1819</v>
      </c>
      <c r="K316" s="916" t="s">
        <v>1800</v>
      </c>
      <c r="L316" s="914" t="s">
        <v>1820</v>
      </c>
      <c r="M316" s="918" t="s">
        <v>1821</v>
      </c>
      <c r="N316" s="918" t="s">
        <v>168</v>
      </c>
      <c r="O316" s="918" t="s">
        <v>168</v>
      </c>
      <c r="P316" s="940">
        <v>53</v>
      </c>
      <c r="Q316" s="940">
        <v>47</v>
      </c>
      <c r="R316" s="940">
        <v>61</v>
      </c>
      <c r="S316" s="951" t="s">
        <v>1822</v>
      </c>
      <c r="T316" s="951" t="s">
        <v>1823</v>
      </c>
      <c r="U316" s="951" t="s">
        <v>1823</v>
      </c>
      <c r="V316" s="951" t="s">
        <v>803</v>
      </c>
      <c r="W316" s="951" t="s">
        <v>803</v>
      </c>
      <c r="X316" s="952">
        <v>23</v>
      </c>
      <c r="Y316" s="918" t="s">
        <v>168</v>
      </c>
      <c r="Z316" s="918" t="s">
        <v>168</v>
      </c>
      <c r="AA316" s="940" t="s">
        <v>803</v>
      </c>
      <c r="AB316" s="940" t="s">
        <v>803</v>
      </c>
      <c r="AC316" s="940" t="s">
        <v>803</v>
      </c>
      <c r="AD316" s="940" t="s">
        <v>803</v>
      </c>
      <c r="AE316" s="940" t="s">
        <v>803</v>
      </c>
      <c r="AF316" s="916" t="s">
        <v>1806</v>
      </c>
      <c r="AG316" s="916" t="s">
        <v>1824</v>
      </c>
      <c r="AH316" s="916"/>
    </row>
    <row r="317" spans="1:34" ht="142.5">
      <c r="A317" s="915">
        <v>310</v>
      </c>
      <c r="B317" s="915" t="s">
        <v>228</v>
      </c>
      <c r="C317" s="915" t="s">
        <v>1795</v>
      </c>
      <c r="D317" s="915" t="s">
        <v>1825</v>
      </c>
      <c r="E317" s="915">
        <v>1</v>
      </c>
      <c r="F317" s="915" t="s">
        <v>1826</v>
      </c>
      <c r="G317" s="921" t="s">
        <v>1827</v>
      </c>
      <c r="H317" s="921" t="s">
        <v>1210</v>
      </c>
      <c r="I317" s="917" t="s">
        <v>1828</v>
      </c>
      <c r="J317" s="917" t="s">
        <v>1829</v>
      </c>
      <c r="K317" s="916" t="s">
        <v>1800</v>
      </c>
      <c r="L317" s="914">
        <v>2017</v>
      </c>
      <c r="M317" s="918">
        <v>5</v>
      </c>
      <c r="N317" s="918" t="s">
        <v>168</v>
      </c>
      <c r="O317" s="918" t="s">
        <v>168</v>
      </c>
      <c r="P317" s="940">
        <v>5</v>
      </c>
      <c r="Q317" s="940">
        <v>6</v>
      </c>
      <c r="R317" s="940">
        <v>2</v>
      </c>
      <c r="S317" s="951" t="s">
        <v>1830</v>
      </c>
      <c r="T317" s="951" t="s">
        <v>1831</v>
      </c>
      <c r="U317" s="951" t="s">
        <v>1831</v>
      </c>
      <c r="V317" s="951" t="s">
        <v>803</v>
      </c>
      <c r="W317" s="951" t="s">
        <v>803</v>
      </c>
      <c r="X317" s="952">
        <v>5</v>
      </c>
      <c r="Y317" s="918" t="s">
        <v>168</v>
      </c>
      <c r="Z317" s="918" t="s">
        <v>168</v>
      </c>
      <c r="AA317" s="940" t="s">
        <v>803</v>
      </c>
      <c r="AB317" s="940" t="s">
        <v>803</v>
      </c>
      <c r="AC317" s="940" t="s">
        <v>803</v>
      </c>
      <c r="AD317" s="940" t="s">
        <v>803</v>
      </c>
      <c r="AE317" s="940" t="s">
        <v>803</v>
      </c>
      <c r="AF317" s="916" t="s">
        <v>1832</v>
      </c>
      <c r="AG317" s="916" t="s">
        <v>1833</v>
      </c>
      <c r="AH317" s="916"/>
    </row>
    <row r="318" spans="1:34" ht="142.5">
      <c r="A318" s="915">
        <v>311</v>
      </c>
      <c r="B318" s="915" t="s">
        <v>228</v>
      </c>
      <c r="C318" s="915" t="s">
        <v>1795</v>
      </c>
      <c r="D318" s="915" t="s">
        <v>1834</v>
      </c>
      <c r="E318" s="915">
        <v>1</v>
      </c>
      <c r="F318" s="915" t="s">
        <v>1826</v>
      </c>
      <c r="G318" s="921" t="s">
        <v>1827</v>
      </c>
      <c r="H318" s="921" t="s">
        <v>1210</v>
      </c>
      <c r="I318" s="917" t="s">
        <v>1835</v>
      </c>
      <c r="J318" s="917" t="s">
        <v>1836</v>
      </c>
      <c r="K318" s="916" t="s">
        <v>1800</v>
      </c>
      <c r="L318" s="914" t="s">
        <v>1837</v>
      </c>
      <c r="M318" s="918" t="s">
        <v>1837</v>
      </c>
      <c r="N318" s="918" t="s">
        <v>168</v>
      </c>
      <c r="O318" s="918" t="s">
        <v>168</v>
      </c>
      <c r="P318" s="940" t="s">
        <v>1837</v>
      </c>
      <c r="Q318" s="940" t="s">
        <v>1837</v>
      </c>
      <c r="R318" s="940" t="s">
        <v>1837</v>
      </c>
      <c r="S318" s="951" t="s">
        <v>1837</v>
      </c>
      <c r="T318" s="951" t="s">
        <v>1837</v>
      </c>
      <c r="U318" s="951" t="s">
        <v>1837</v>
      </c>
      <c r="V318" s="951" t="s">
        <v>803</v>
      </c>
      <c r="W318" s="951" t="s">
        <v>803</v>
      </c>
      <c r="X318" s="949" t="s">
        <v>1837</v>
      </c>
      <c r="Y318" s="918" t="s">
        <v>168</v>
      </c>
      <c r="Z318" s="918" t="s">
        <v>168</v>
      </c>
      <c r="AA318" s="940" t="s">
        <v>803</v>
      </c>
      <c r="AB318" s="940" t="s">
        <v>803</v>
      </c>
      <c r="AC318" s="940" t="s">
        <v>803</v>
      </c>
      <c r="AD318" s="940" t="s">
        <v>803</v>
      </c>
      <c r="AE318" s="940" t="s">
        <v>803</v>
      </c>
      <c r="AF318" s="916" t="s">
        <v>1838</v>
      </c>
      <c r="AG318" s="916" t="s">
        <v>1839</v>
      </c>
      <c r="AH318" s="916"/>
    </row>
    <row r="319" spans="1:34" ht="99.75">
      <c r="A319" s="915">
        <v>312</v>
      </c>
      <c r="B319" s="915" t="s">
        <v>228</v>
      </c>
      <c r="C319" s="915" t="s">
        <v>1840</v>
      </c>
      <c r="D319" s="915" t="s">
        <v>1841</v>
      </c>
      <c r="E319" s="915">
        <v>1</v>
      </c>
      <c r="F319" s="915" t="s">
        <v>1842</v>
      </c>
      <c r="G319" s="921" t="s">
        <v>1843</v>
      </c>
      <c r="H319" s="921" t="s">
        <v>1210</v>
      </c>
      <c r="I319" s="917" t="s">
        <v>1844</v>
      </c>
      <c r="J319" s="917" t="s">
        <v>1845</v>
      </c>
      <c r="K319" s="916" t="s">
        <v>1800</v>
      </c>
      <c r="L319" s="914" t="s">
        <v>168</v>
      </c>
      <c r="M319" s="918" t="s">
        <v>168</v>
      </c>
      <c r="N319" s="918" t="s">
        <v>168</v>
      </c>
      <c r="O319" s="918" t="s">
        <v>168</v>
      </c>
      <c r="P319" s="940" t="s">
        <v>168</v>
      </c>
      <c r="Q319" s="940" t="s">
        <v>1846</v>
      </c>
      <c r="R319" s="940" t="s">
        <v>1846</v>
      </c>
      <c r="S319" s="951" t="s">
        <v>1847</v>
      </c>
      <c r="T319" s="951" t="s">
        <v>1848</v>
      </c>
      <c r="U319" s="951" t="s">
        <v>1848</v>
      </c>
      <c r="V319" s="951" t="s">
        <v>803</v>
      </c>
      <c r="W319" s="951" t="s">
        <v>803</v>
      </c>
      <c r="X319" s="949" t="s">
        <v>1846</v>
      </c>
      <c r="Y319" s="918" t="s">
        <v>168</v>
      </c>
      <c r="Z319" s="918" t="s">
        <v>168</v>
      </c>
      <c r="AA319" s="940" t="s">
        <v>803</v>
      </c>
      <c r="AB319" s="940" t="s">
        <v>803</v>
      </c>
      <c r="AC319" s="940" t="s">
        <v>803</v>
      </c>
      <c r="AD319" s="940" t="s">
        <v>803</v>
      </c>
      <c r="AE319" s="940" t="s">
        <v>803</v>
      </c>
      <c r="AF319" s="916" t="s">
        <v>1849</v>
      </c>
      <c r="AG319" s="916" t="s">
        <v>1850</v>
      </c>
      <c r="AH319" s="916"/>
    </row>
    <row r="320" spans="1:34" ht="99.75">
      <c r="A320" s="915">
        <v>313</v>
      </c>
      <c r="B320" s="915" t="s">
        <v>228</v>
      </c>
      <c r="C320" s="915" t="s">
        <v>1840</v>
      </c>
      <c r="D320" s="915" t="s">
        <v>1851</v>
      </c>
      <c r="E320" s="915">
        <v>1</v>
      </c>
      <c r="F320" s="915" t="s">
        <v>1842</v>
      </c>
      <c r="G320" s="921" t="s">
        <v>1843</v>
      </c>
      <c r="H320" s="921" t="s">
        <v>1210</v>
      </c>
      <c r="I320" s="917" t="s">
        <v>1852</v>
      </c>
      <c r="J320" s="917" t="s">
        <v>1853</v>
      </c>
      <c r="K320" s="916" t="s">
        <v>1800</v>
      </c>
      <c r="L320" s="914" t="s">
        <v>168</v>
      </c>
      <c r="M320" s="918" t="s">
        <v>168</v>
      </c>
      <c r="N320" s="918" t="s">
        <v>168</v>
      </c>
      <c r="O320" s="918" t="s">
        <v>168</v>
      </c>
      <c r="P320" s="940" t="s">
        <v>168</v>
      </c>
      <c r="Q320" s="940" t="s">
        <v>1846</v>
      </c>
      <c r="R320" s="940" t="s">
        <v>1846</v>
      </c>
      <c r="S320" s="951" t="s">
        <v>1854</v>
      </c>
      <c r="T320" s="951" t="s">
        <v>1848</v>
      </c>
      <c r="U320" s="951" t="s">
        <v>1848</v>
      </c>
      <c r="V320" s="951" t="s">
        <v>803</v>
      </c>
      <c r="W320" s="951" t="s">
        <v>803</v>
      </c>
      <c r="X320" s="949" t="s">
        <v>1846</v>
      </c>
      <c r="Y320" s="918" t="s">
        <v>168</v>
      </c>
      <c r="Z320" s="918" t="s">
        <v>168</v>
      </c>
      <c r="AA320" s="940" t="s">
        <v>803</v>
      </c>
      <c r="AB320" s="940" t="s">
        <v>803</v>
      </c>
      <c r="AC320" s="940" t="s">
        <v>803</v>
      </c>
      <c r="AD320" s="940" t="s">
        <v>803</v>
      </c>
      <c r="AE320" s="940" t="s">
        <v>803</v>
      </c>
      <c r="AF320" s="916" t="s">
        <v>1806</v>
      </c>
      <c r="AG320" s="916" t="s">
        <v>1855</v>
      </c>
      <c r="AH320" s="916"/>
    </row>
    <row r="321" spans="1:34" ht="199.5">
      <c r="A321" s="915">
        <v>314</v>
      </c>
      <c r="B321" s="915" t="s">
        <v>228</v>
      </c>
      <c r="C321" s="915" t="s">
        <v>1856</v>
      </c>
      <c r="D321" s="915" t="s">
        <v>1857</v>
      </c>
      <c r="E321" s="915">
        <v>1</v>
      </c>
      <c r="F321" s="915" t="s">
        <v>1858</v>
      </c>
      <c r="G321" s="921" t="s">
        <v>1859</v>
      </c>
      <c r="H321" s="921" t="s">
        <v>1210</v>
      </c>
      <c r="I321" s="917" t="s">
        <v>1860</v>
      </c>
      <c r="J321" s="917" t="s">
        <v>1861</v>
      </c>
      <c r="K321" s="916" t="s">
        <v>1800</v>
      </c>
      <c r="L321" s="914" t="s">
        <v>1862</v>
      </c>
      <c r="M321" s="918" t="s">
        <v>1862</v>
      </c>
      <c r="N321" s="918" t="s">
        <v>1862</v>
      </c>
      <c r="O321" s="918" t="s">
        <v>1862</v>
      </c>
      <c r="P321" s="940" t="s">
        <v>1862</v>
      </c>
      <c r="Q321" s="940" t="s">
        <v>1862</v>
      </c>
      <c r="R321" s="940" t="s">
        <v>1862</v>
      </c>
      <c r="S321" s="951" t="s">
        <v>1862</v>
      </c>
      <c r="T321" s="951" t="s">
        <v>1862</v>
      </c>
      <c r="U321" s="951" t="s">
        <v>1862</v>
      </c>
      <c r="V321" s="951" t="s">
        <v>1862</v>
      </c>
      <c r="W321" s="951" t="s">
        <v>1862</v>
      </c>
      <c r="X321" s="949" t="s">
        <v>1862</v>
      </c>
      <c r="Y321" s="918" t="s">
        <v>168</v>
      </c>
      <c r="Z321" s="918" t="s">
        <v>168</v>
      </c>
      <c r="AA321" s="940" t="s">
        <v>1862</v>
      </c>
      <c r="AB321" s="949" t="s">
        <v>1862</v>
      </c>
      <c r="AC321" s="949" t="s">
        <v>1862</v>
      </c>
      <c r="AD321" s="949" t="s">
        <v>1862</v>
      </c>
      <c r="AE321" s="949" t="s">
        <v>1862</v>
      </c>
      <c r="AF321" s="916" t="s">
        <v>1863</v>
      </c>
      <c r="AG321" s="916" t="s">
        <v>1864</v>
      </c>
      <c r="AH321" s="916"/>
    </row>
    <row r="322" spans="1:34" ht="156.75">
      <c r="A322" s="915">
        <v>315</v>
      </c>
      <c r="B322" s="915" t="s">
        <v>228</v>
      </c>
      <c r="C322" s="915" t="s">
        <v>1856</v>
      </c>
      <c r="D322" s="915" t="s">
        <v>1865</v>
      </c>
      <c r="E322" s="915">
        <v>1</v>
      </c>
      <c r="F322" s="915" t="s">
        <v>1866</v>
      </c>
      <c r="G322" s="921" t="s">
        <v>1859</v>
      </c>
      <c r="H322" s="921" t="s">
        <v>1210</v>
      </c>
      <c r="I322" s="917" t="s">
        <v>1867</v>
      </c>
      <c r="J322" s="917" t="s">
        <v>1868</v>
      </c>
      <c r="K322" s="916" t="s">
        <v>1800</v>
      </c>
      <c r="L322" s="914" t="s">
        <v>1862</v>
      </c>
      <c r="M322" s="918" t="s">
        <v>1862</v>
      </c>
      <c r="N322" s="918" t="s">
        <v>168</v>
      </c>
      <c r="O322" s="918" t="s">
        <v>168</v>
      </c>
      <c r="P322" s="940" t="s">
        <v>1862</v>
      </c>
      <c r="Q322" s="940" t="s">
        <v>1862</v>
      </c>
      <c r="R322" s="940" t="s">
        <v>1862</v>
      </c>
      <c r="S322" s="951" t="s">
        <v>1862</v>
      </c>
      <c r="T322" s="951" t="s">
        <v>1862</v>
      </c>
      <c r="U322" s="951" t="s">
        <v>1862</v>
      </c>
      <c r="V322" s="951" t="s">
        <v>1862</v>
      </c>
      <c r="W322" s="951" t="s">
        <v>1862</v>
      </c>
      <c r="X322" s="949" t="s">
        <v>1862</v>
      </c>
      <c r="Y322" s="918" t="s">
        <v>168</v>
      </c>
      <c r="Z322" s="918" t="s">
        <v>168</v>
      </c>
      <c r="AA322" s="940" t="s">
        <v>1862</v>
      </c>
      <c r="AB322" s="949" t="s">
        <v>1862</v>
      </c>
      <c r="AC322" s="949" t="s">
        <v>1862</v>
      </c>
      <c r="AD322" s="949" t="s">
        <v>1862</v>
      </c>
      <c r="AE322" s="949" t="s">
        <v>1862</v>
      </c>
      <c r="AF322" s="916" t="s">
        <v>1869</v>
      </c>
      <c r="AG322" s="916" t="s">
        <v>1864</v>
      </c>
      <c r="AH322" s="916"/>
    </row>
    <row r="323" spans="1:34" ht="85.5">
      <c r="A323" s="915">
        <v>316</v>
      </c>
      <c r="B323" s="915" t="s">
        <v>228</v>
      </c>
      <c r="C323" s="915" t="s">
        <v>1856</v>
      </c>
      <c r="D323" s="915" t="s">
        <v>1870</v>
      </c>
      <c r="E323" s="915">
        <v>1</v>
      </c>
      <c r="F323" s="915" t="s">
        <v>1338</v>
      </c>
      <c r="G323" s="921" t="s">
        <v>1859</v>
      </c>
      <c r="H323" s="921" t="s">
        <v>1210</v>
      </c>
      <c r="I323" s="917" t="s">
        <v>1871</v>
      </c>
      <c r="J323" s="917" t="s">
        <v>1872</v>
      </c>
      <c r="K323" s="916" t="s">
        <v>1800</v>
      </c>
      <c r="L323" s="914" t="s">
        <v>1862</v>
      </c>
      <c r="M323" s="918" t="s">
        <v>1862</v>
      </c>
      <c r="N323" s="918" t="s">
        <v>1862</v>
      </c>
      <c r="O323" s="918" t="s">
        <v>1862</v>
      </c>
      <c r="P323" s="940" t="s">
        <v>1862</v>
      </c>
      <c r="Q323" s="940" t="s">
        <v>1862</v>
      </c>
      <c r="R323" s="940" t="s">
        <v>1862</v>
      </c>
      <c r="S323" s="951" t="s">
        <v>1862</v>
      </c>
      <c r="T323" s="951" t="s">
        <v>1862</v>
      </c>
      <c r="U323" s="951" t="s">
        <v>1862</v>
      </c>
      <c r="V323" s="951" t="s">
        <v>1862</v>
      </c>
      <c r="W323" s="951" t="s">
        <v>1862</v>
      </c>
      <c r="X323" s="949" t="s">
        <v>1862</v>
      </c>
      <c r="Y323" s="918" t="s">
        <v>168</v>
      </c>
      <c r="Z323" s="918" t="s">
        <v>168</v>
      </c>
      <c r="AA323" s="940" t="s">
        <v>1862</v>
      </c>
      <c r="AB323" s="949" t="s">
        <v>1862</v>
      </c>
      <c r="AC323" s="949" t="s">
        <v>1862</v>
      </c>
      <c r="AD323" s="949" t="s">
        <v>1862</v>
      </c>
      <c r="AE323" s="949" t="s">
        <v>1862</v>
      </c>
      <c r="AF323" s="916" t="s">
        <v>1873</v>
      </c>
      <c r="AG323" s="916" t="s">
        <v>1864</v>
      </c>
      <c r="AH323" s="916"/>
    </row>
    <row r="324" spans="1:34" ht="185.25">
      <c r="A324" s="915">
        <v>317</v>
      </c>
      <c r="B324" s="915" t="s">
        <v>228</v>
      </c>
      <c r="C324" s="915" t="s">
        <v>1856</v>
      </c>
      <c r="D324" s="915" t="s">
        <v>1874</v>
      </c>
      <c r="E324" s="915">
        <v>1</v>
      </c>
      <c r="F324" s="915" t="s">
        <v>1716</v>
      </c>
      <c r="G324" s="921" t="s">
        <v>1859</v>
      </c>
      <c r="H324" s="921" t="s">
        <v>1210</v>
      </c>
      <c r="I324" s="917" t="s">
        <v>1875</v>
      </c>
      <c r="J324" s="917" t="s">
        <v>1876</v>
      </c>
      <c r="K324" s="916" t="s">
        <v>1800</v>
      </c>
      <c r="L324" s="914" t="s">
        <v>1862</v>
      </c>
      <c r="M324" s="918" t="s">
        <v>1862</v>
      </c>
      <c r="N324" s="918" t="s">
        <v>168</v>
      </c>
      <c r="O324" s="918" t="s">
        <v>168</v>
      </c>
      <c r="P324" s="940" t="s">
        <v>1862</v>
      </c>
      <c r="Q324" s="940" t="s">
        <v>1862</v>
      </c>
      <c r="R324" s="940" t="s">
        <v>1862</v>
      </c>
      <c r="S324" s="951" t="s">
        <v>1862</v>
      </c>
      <c r="T324" s="951" t="s">
        <v>1862</v>
      </c>
      <c r="U324" s="951" t="s">
        <v>1862</v>
      </c>
      <c r="V324" s="951" t="s">
        <v>1862</v>
      </c>
      <c r="W324" s="951" t="s">
        <v>1862</v>
      </c>
      <c r="X324" s="949" t="s">
        <v>1862</v>
      </c>
      <c r="Y324" s="918" t="s">
        <v>168</v>
      </c>
      <c r="Z324" s="918" t="s">
        <v>168</v>
      </c>
      <c r="AA324" s="940" t="s">
        <v>1862</v>
      </c>
      <c r="AB324" s="949" t="s">
        <v>1862</v>
      </c>
      <c r="AC324" s="949" t="s">
        <v>1862</v>
      </c>
      <c r="AD324" s="949" t="s">
        <v>1862</v>
      </c>
      <c r="AE324" s="949" t="s">
        <v>1862</v>
      </c>
      <c r="AF324" s="916" t="s">
        <v>1877</v>
      </c>
      <c r="AG324" s="916" t="s">
        <v>1878</v>
      </c>
      <c r="AH324" s="916"/>
    </row>
    <row r="325" spans="1:34" ht="156.75">
      <c r="A325" s="915">
        <v>318</v>
      </c>
      <c r="B325" s="915" t="s">
        <v>228</v>
      </c>
      <c r="C325" s="915" t="s">
        <v>1856</v>
      </c>
      <c r="D325" s="915" t="s">
        <v>1879</v>
      </c>
      <c r="E325" s="915">
        <v>1</v>
      </c>
      <c r="F325" s="915" t="s">
        <v>1880</v>
      </c>
      <c r="G325" s="921" t="s">
        <v>1881</v>
      </c>
      <c r="H325" s="921" t="s">
        <v>1210</v>
      </c>
      <c r="I325" s="917" t="s">
        <v>1882</v>
      </c>
      <c r="J325" s="917" t="s">
        <v>1883</v>
      </c>
      <c r="K325" s="916" t="s">
        <v>1800</v>
      </c>
      <c r="L325" s="914" t="s">
        <v>1862</v>
      </c>
      <c r="M325" s="918" t="s">
        <v>1862</v>
      </c>
      <c r="N325" s="918" t="s">
        <v>168</v>
      </c>
      <c r="O325" s="918" t="s">
        <v>168</v>
      </c>
      <c r="P325" s="940" t="s">
        <v>1862</v>
      </c>
      <c r="Q325" s="940" t="s">
        <v>1862</v>
      </c>
      <c r="R325" s="940" t="s">
        <v>1862</v>
      </c>
      <c r="S325" s="951" t="s">
        <v>1862</v>
      </c>
      <c r="T325" s="951" t="s">
        <v>1862</v>
      </c>
      <c r="U325" s="951" t="s">
        <v>1862</v>
      </c>
      <c r="V325" s="951" t="s">
        <v>1862</v>
      </c>
      <c r="W325" s="951" t="s">
        <v>1862</v>
      </c>
      <c r="X325" s="949" t="s">
        <v>1862</v>
      </c>
      <c r="Y325" s="918" t="s">
        <v>168</v>
      </c>
      <c r="Z325" s="918" t="s">
        <v>168</v>
      </c>
      <c r="AA325" s="940" t="s">
        <v>1862</v>
      </c>
      <c r="AB325" s="949" t="s">
        <v>1862</v>
      </c>
      <c r="AC325" s="949" t="s">
        <v>1862</v>
      </c>
      <c r="AD325" s="949" t="s">
        <v>1862</v>
      </c>
      <c r="AE325" s="949" t="s">
        <v>1862</v>
      </c>
      <c r="AF325" s="916" t="s">
        <v>1884</v>
      </c>
      <c r="AG325" s="916" t="s">
        <v>1885</v>
      </c>
      <c r="AH325" s="916"/>
    </row>
    <row r="326" spans="1:34" ht="156.75">
      <c r="A326" s="915">
        <v>319</v>
      </c>
      <c r="B326" s="915" t="s">
        <v>228</v>
      </c>
      <c r="C326" s="915" t="s">
        <v>1856</v>
      </c>
      <c r="D326" s="915" t="s">
        <v>1886</v>
      </c>
      <c r="E326" s="915">
        <v>1</v>
      </c>
      <c r="F326" s="915" t="s">
        <v>1887</v>
      </c>
      <c r="G326" s="921" t="s">
        <v>1881</v>
      </c>
      <c r="H326" s="921" t="s">
        <v>1210</v>
      </c>
      <c r="I326" s="917" t="s">
        <v>1888</v>
      </c>
      <c r="J326" s="917" t="s">
        <v>1889</v>
      </c>
      <c r="K326" s="916" t="s">
        <v>1800</v>
      </c>
      <c r="L326" s="914" t="s">
        <v>1862</v>
      </c>
      <c r="M326" s="918" t="s">
        <v>1862</v>
      </c>
      <c r="N326" s="918" t="s">
        <v>168</v>
      </c>
      <c r="O326" s="918" t="s">
        <v>168</v>
      </c>
      <c r="P326" s="940" t="s">
        <v>1862</v>
      </c>
      <c r="Q326" s="940" t="s">
        <v>1862</v>
      </c>
      <c r="R326" s="940" t="s">
        <v>1862</v>
      </c>
      <c r="S326" s="951" t="s">
        <v>1862</v>
      </c>
      <c r="T326" s="951" t="s">
        <v>1862</v>
      </c>
      <c r="U326" s="951" t="s">
        <v>1862</v>
      </c>
      <c r="V326" s="951" t="s">
        <v>1862</v>
      </c>
      <c r="W326" s="951" t="s">
        <v>1862</v>
      </c>
      <c r="X326" s="949" t="s">
        <v>1862</v>
      </c>
      <c r="Y326" s="918" t="s">
        <v>168</v>
      </c>
      <c r="Z326" s="918" t="s">
        <v>168</v>
      </c>
      <c r="AA326" s="940" t="s">
        <v>1862</v>
      </c>
      <c r="AB326" s="949" t="s">
        <v>1862</v>
      </c>
      <c r="AC326" s="949" t="s">
        <v>1862</v>
      </c>
      <c r="AD326" s="949" t="s">
        <v>1862</v>
      </c>
      <c r="AE326" s="949" t="s">
        <v>1862</v>
      </c>
      <c r="AF326" s="916" t="s">
        <v>1884</v>
      </c>
      <c r="AG326" s="916" t="s">
        <v>1885</v>
      </c>
      <c r="AH326" s="916"/>
    </row>
    <row r="327" spans="1:34" ht="156.75">
      <c r="A327" s="915">
        <v>320</v>
      </c>
      <c r="B327" s="915" t="s">
        <v>228</v>
      </c>
      <c r="C327" s="915" t="s">
        <v>1856</v>
      </c>
      <c r="D327" s="915" t="s">
        <v>1890</v>
      </c>
      <c r="E327" s="915">
        <v>1</v>
      </c>
      <c r="F327" s="915" t="s">
        <v>1891</v>
      </c>
      <c r="G327" s="921" t="s">
        <v>1881</v>
      </c>
      <c r="H327" s="921" t="s">
        <v>1210</v>
      </c>
      <c r="I327" s="917" t="s">
        <v>1892</v>
      </c>
      <c r="J327" s="917" t="s">
        <v>1893</v>
      </c>
      <c r="K327" s="916" t="s">
        <v>1800</v>
      </c>
      <c r="L327" s="914" t="s">
        <v>1862</v>
      </c>
      <c r="M327" s="918" t="s">
        <v>1862</v>
      </c>
      <c r="N327" s="918" t="s">
        <v>168</v>
      </c>
      <c r="O327" s="918" t="s">
        <v>168</v>
      </c>
      <c r="P327" s="940" t="s">
        <v>1862</v>
      </c>
      <c r="Q327" s="940" t="s">
        <v>1862</v>
      </c>
      <c r="R327" s="940" t="s">
        <v>1862</v>
      </c>
      <c r="S327" s="951" t="s">
        <v>1862</v>
      </c>
      <c r="T327" s="951" t="s">
        <v>1862</v>
      </c>
      <c r="U327" s="951" t="s">
        <v>1862</v>
      </c>
      <c r="V327" s="951" t="s">
        <v>1862</v>
      </c>
      <c r="W327" s="951" t="s">
        <v>1862</v>
      </c>
      <c r="X327" s="949" t="s">
        <v>1862</v>
      </c>
      <c r="Y327" s="918" t="s">
        <v>168</v>
      </c>
      <c r="Z327" s="918" t="s">
        <v>168</v>
      </c>
      <c r="AA327" s="940" t="s">
        <v>1862</v>
      </c>
      <c r="AB327" s="949" t="s">
        <v>1862</v>
      </c>
      <c r="AC327" s="949" t="s">
        <v>1862</v>
      </c>
      <c r="AD327" s="949" t="s">
        <v>1862</v>
      </c>
      <c r="AE327" s="949" t="s">
        <v>1862</v>
      </c>
      <c r="AF327" s="916" t="s">
        <v>1884</v>
      </c>
      <c r="AG327" s="916" t="s">
        <v>1885</v>
      </c>
      <c r="AH327" s="916"/>
    </row>
    <row r="328" spans="1:34" ht="199.5">
      <c r="A328" s="915">
        <v>321</v>
      </c>
      <c r="B328" s="915" t="s">
        <v>228</v>
      </c>
      <c r="C328" s="915" t="s">
        <v>1856</v>
      </c>
      <c r="D328" s="915" t="s">
        <v>1894</v>
      </c>
      <c r="E328" s="915">
        <v>1</v>
      </c>
      <c r="F328" s="915" t="s">
        <v>1895</v>
      </c>
      <c r="G328" s="921" t="s">
        <v>1896</v>
      </c>
      <c r="H328" s="921" t="s">
        <v>1210</v>
      </c>
      <c r="I328" s="917" t="s">
        <v>1897</v>
      </c>
      <c r="J328" s="917" t="s">
        <v>1898</v>
      </c>
      <c r="K328" s="916" t="s">
        <v>1800</v>
      </c>
      <c r="L328" s="914" t="s">
        <v>168</v>
      </c>
      <c r="M328" s="918" t="s">
        <v>168</v>
      </c>
      <c r="N328" s="918" t="s">
        <v>168</v>
      </c>
      <c r="O328" s="918" t="s">
        <v>168</v>
      </c>
      <c r="P328" s="940" t="s">
        <v>168</v>
      </c>
      <c r="Q328" s="940" t="s">
        <v>1801</v>
      </c>
      <c r="R328" s="940" t="s">
        <v>1801</v>
      </c>
      <c r="S328" s="951" t="s">
        <v>1899</v>
      </c>
      <c r="T328" s="951" t="s">
        <v>803</v>
      </c>
      <c r="U328" s="951" t="s">
        <v>803</v>
      </c>
      <c r="V328" s="951" t="s">
        <v>803</v>
      </c>
      <c r="W328" s="951" t="s">
        <v>803</v>
      </c>
      <c r="X328" s="949" t="s">
        <v>1900</v>
      </c>
      <c r="Y328" s="918" t="s">
        <v>168</v>
      </c>
      <c r="Z328" s="918" t="s">
        <v>168</v>
      </c>
      <c r="AA328" s="940" t="s">
        <v>803</v>
      </c>
      <c r="AB328" s="940" t="s">
        <v>803</v>
      </c>
      <c r="AC328" s="940" t="s">
        <v>803</v>
      </c>
      <c r="AD328" s="940" t="s">
        <v>803</v>
      </c>
      <c r="AE328" s="940" t="s">
        <v>803</v>
      </c>
      <c r="AF328" s="916" t="s">
        <v>1901</v>
      </c>
      <c r="AG328" s="916" t="s">
        <v>1902</v>
      </c>
      <c r="AH328" s="916"/>
    </row>
    <row r="329" spans="1:34" ht="199.5">
      <c r="A329" s="915">
        <v>322</v>
      </c>
      <c r="B329" s="915" t="s">
        <v>228</v>
      </c>
      <c r="C329" s="915" t="s">
        <v>1856</v>
      </c>
      <c r="D329" s="915" t="s">
        <v>1903</v>
      </c>
      <c r="E329" s="915">
        <v>1</v>
      </c>
      <c r="F329" s="915" t="s">
        <v>1904</v>
      </c>
      <c r="G329" s="921" t="s">
        <v>1896</v>
      </c>
      <c r="H329" s="921" t="s">
        <v>1210</v>
      </c>
      <c r="I329" s="917" t="s">
        <v>1905</v>
      </c>
      <c r="J329" s="917" t="s">
        <v>1906</v>
      </c>
      <c r="K329" s="916" t="s">
        <v>1800</v>
      </c>
      <c r="L329" s="914" t="s">
        <v>168</v>
      </c>
      <c r="M329" s="918" t="s">
        <v>168</v>
      </c>
      <c r="N329" s="918" t="s">
        <v>168</v>
      </c>
      <c r="O329" s="918" t="s">
        <v>168</v>
      </c>
      <c r="P329" s="940" t="s">
        <v>168</v>
      </c>
      <c r="Q329" s="940" t="s">
        <v>1801</v>
      </c>
      <c r="R329" s="940" t="s">
        <v>1801</v>
      </c>
      <c r="S329" s="951" t="s">
        <v>1907</v>
      </c>
      <c r="T329" s="951" t="s">
        <v>803</v>
      </c>
      <c r="U329" s="951" t="s">
        <v>803</v>
      </c>
      <c r="V329" s="951" t="s">
        <v>803</v>
      </c>
      <c r="W329" s="951" t="s">
        <v>803</v>
      </c>
      <c r="X329" s="949" t="s">
        <v>1900</v>
      </c>
      <c r="Y329" s="918" t="s">
        <v>168</v>
      </c>
      <c r="Z329" s="918" t="s">
        <v>168</v>
      </c>
      <c r="AA329" s="940" t="s">
        <v>803</v>
      </c>
      <c r="AB329" s="940" t="s">
        <v>803</v>
      </c>
      <c r="AC329" s="940" t="s">
        <v>803</v>
      </c>
      <c r="AD329" s="940" t="s">
        <v>803</v>
      </c>
      <c r="AE329" s="940" t="s">
        <v>803</v>
      </c>
      <c r="AF329" s="916" t="s">
        <v>1901</v>
      </c>
      <c r="AG329" s="916" t="s">
        <v>1902</v>
      </c>
      <c r="AH329" s="916"/>
    </row>
    <row r="330" spans="1:34" ht="199.5">
      <c r="A330" s="915">
        <v>323</v>
      </c>
      <c r="B330" s="915" t="s">
        <v>228</v>
      </c>
      <c r="C330" s="915" t="s">
        <v>1856</v>
      </c>
      <c r="D330" s="915" t="s">
        <v>1908</v>
      </c>
      <c r="E330" s="915">
        <v>1</v>
      </c>
      <c r="F330" s="915" t="s">
        <v>1909</v>
      </c>
      <c r="G330" s="921" t="s">
        <v>1896</v>
      </c>
      <c r="H330" s="921" t="s">
        <v>1210</v>
      </c>
      <c r="I330" s="917" t="s">
        <v>1910</v>
      </c>
      <c r="J330" s="917" t="s">
        <v>1911</v>
      </c>
      <c r="K330" s="916" t="s">
        <v>1800</v>
      </c>
      <c r="L330" s="914" t="s">
        <v>168</v>
      </c>
      <c r="M330" s="918" t="s">
        <v>168</v>
      </c>
      <c r="N330" s="918" t="s">
        <v>168</v>
      </c>
      <c r="O330" s="918" t="s">
        <v>168</v>
      </c>
      <c r="P330" s="940" t="s">
        <v>168</v>
      </c>
      <c r="Q330" s="940" t="s">
        <v>1801</v>
      </c>
      <c r="R330" s="940" t="s">
        <v>1801</v>
      </c>
      <c r="S330" s="951" t="s">
        <v>1907</v>
      </c>
      <c r="T330" s="951" t="s">
        <v>803</v>
      </c>
      <c r="U330" s="951" t="s">
        <v>803</v>
      </c>
      <c r="V330" s="951" t="s">
        <v>803</v>
      </c>
      <c r="W330" s="951" t="s">
        <v>803</v>
      </c>
      <c r="X330" s="953" t="s">
        <v>1900</v>
      </c>
      <c r="Y330" s="918" t="s">
        <v>168</v>
      </c>
      <c r="Z330" s="918" t="s">
        <v>168</v>
      </c>
      <c r="AA330" s="940" t="s">
        <v>803</v>
      </c>
      <c r="AB330" s="940" t="s">
        <v>803</v>
      </c>
      <c r="AC330" s="940" t="s">
        <v>803</v>
      </c>
      <c r="AD330" s="940" t="s">
        <v>803</v>
      </c>
      <c r="AE330" s="940" t="s">
        <v>803</v>
      </c>
      <c r="AF330" s="916" t="s">
        <v>1901</v>
      </c>
      <c r="AG330" s="916" t="s">
        <v>1902</v>
      </c>
      <c r="AH330" s="916"/>
    </row>
    <row r="331" spans="1:34" ht="199.5">
      <c r="A331" s="915">
        <v>324</v>
      </c>
      <c r="B331" s="915" t="s">
        <v>228</v>
      </c>
      <c r="C331" s="915" t="s">
        <v>1856</v>
      </c>
      <c r="D331" s="915" t="s">
        <v>1912</v>
      </c>
      <c r="E331" s="915">
        <v>1</v>
      </c>
      <c r="F331" s="915" t="s">
        <v>1913</v>
      </c>
      <c r="G331" s="921" t="s">
        <v>1896</v>
      </c>
      <c r="H331" s="921" t="s">
        <v>1210</v>
      </c>
      <c r="I331" s="917" t="s">
        <v>1914</v>
      </c>
      <c r="J331" s="917" t="s">
        <v>1915</v>
      </c>
      <c r="K331" s="916" t="s">
        <v>1800</v>
      </c>
      <c r="L331" s="914" t="s">
        <v>168</v>
      </c>
      <c r="M331" s="918" t="s">
        <v>168</v>
      </c>
      <c r="N331" s="918" t="s">
        <v>168</v>
      </c>
      <c r="O331" s="918" t="s">
        <v>168</v>
      </c>
      <c r="P331" s="940" t="s">
        <v>168</v>
      </c>
      <c r="Q331" s="940" t="s">
        <v>1801</v>
      </c>
      <c r="R331" s="940" t="s">
        <v>1801</v>
      </c>
      <c r="S331" s="951" t="s">
        <v>1916</v>
      </c>
      <c r="T331" s="951" t="s">
        <v>1848</v>
      </c>
      <c r="U331" s="951" t="s">
        <v>1848</v>
      </c>
      <c r="V331" s="951" t="s">
        <v>803</v>
      </c>
      <c r="W331" s="951" t="s">
        <v>803</v>
      </c>
      <c r="X331" s="949" t="s">
        <v>1900</v>
      </c>
      <c r="Y331" s="918" t="s">
        <v>168</v>
      </c>
      <c r="Z331" s="918" t="s">
        <v>168</v>
      </c>
      <c r="AA331" s="940" t="s">
        <v>803</v>
      </c>
      <c r="AB331" s="940" t="s">
        <v>803</v>
      </c>
      <c r="AC331" s="940" t="s">
        <v>803</v>
      </c>
      <c r="AD331" s="940" t="s">
        <v>803</v>
      </c>
      <c r="AE331" s="940" t="s">
        <v>803</v>
      </c>
      <c r="AF331" s="916" t="s">
        <v>1901</v>
      </c>
      <c r="AG331" s="916" t="s">
        <v>1917</v>
      </c>
      <c r="AH331" s="916"/>
    </row>
    <row r="332" spans="1:34" ht="199.5">
      <c r="A332" s="915">
        <v>325</v>
      </c>
      <c r="B332" s="915" t="s">
        <v>228</v>
      </c>
      <c r="C332" s="915" t="s">
        <v>1856</v>
      </c>
      <c r="D332" s="915" t="s">
        <v>1918</v>
      </c>
      <c r="E332" s="915">
        <v>1</v>
      </c>
      <c r="F332" s="915" t="s">
        <v>1895</v>
      </c>
      <c r="G332" s="921" t="s">
        <v>1896</v>
      </c>
      <c r="H332" s="921" t="s">
        <v>1210</v>
      </c>
      <c r="I332" s="917" t="s">
        <v>1919</v>
      </c>
      <c r="J332" s="917" t="s">
        <v>1920</v>
      </c>
      <c r="K332" s="916" t="s">
        <v>1800</v>
      </c>
      <c r="L332" s="914" t="s">
        <v>168</v>
      </c>
      <c r="M332" s="918" t="s">
        <v>168</v>
      </c>
      <c r="N332" s="918" t="s">
        <v>168</v>
      </c>
      <c r="O332" s="918" t="s">
        <v>168</v>
      </c>
      <c r="P332" s="940" t="s">
        <v>168</v>
      </c>
      <c r="Q332" s="940" t="s">
        <v>1801</v>
      </c>
      <c r="R332" s="940" t="s">
        <v>1801</v>
      </c>
      <c r="S332" s="951" t="s">
        <v>1921</v>
      </c>
      <c r="T332" s="951" t="s">
        <v>1848</v>
      </c>
      <c r="U332" s="951" t="s">
        <v>1848</v>
      </c>
      <c r="V332" s="951" t="s">
        <v>803</v>
      </c>
      <c r="W332" s="951" t="s">
        <v>803</v>
      </c>
      <c r="X332" s="949" t="s">
        <v>1900</v>
      </c>
      <c r="Y332" s="918" t="s">
        <v>168</v>
      </c>
      <c r="Z332" s="918" t="s">
        <v>168</v>
      </c>
      <c r="AA332" s="940" t="s">
        <v>803</v>
      </c>
      <c r="AB332" s="940" t="s">
        <v>803</v>
      </c>
      <c r="AC332" s="940" t="s">
        <v>803</v>
      </c>
      <c r="AD332" s="940" t="s">
        <v>803</v>
      </c>
      <c r="AE332" s="940" t="s">
        <v>803</v>
      </c>
      <c r="AF332" s="916" t="s">
        <v>1922</v>
      </c>
      <c r="AG332" s="916" t="s">
        <v>1902</v>
      </c>
      <c r="AH332" s="916"/>
    </row>
    <row r="333" spans="1:34" ht="199.5">
      <c r="A333" s="915">
        <v>326</v>
      </c>
      <c r="B333" s="915" t="s">
        <v>228</v>
      </c>
      <c r="C333" s="915" t="s">
        <v>1856</v>
      </c>
      <c r="D333" s="915" t="s">
        <v>1923</v>
      </c>
      <c r="E333" s="915">
        <v>1</v>
      </c>
      <c r="F333" s="915" t="s">
        <v>1904</v>
      </c>
      <c r="G333" s="921" t="s">
        <v>1896</v>
      </c>
      <c r="H333" s="921" t="s">
        <v>1210</v>
      </c>
      <c r="I333" s="917" t="s">
        <v>1924</v>
      </c>
      <c r="J333" s="917" t="s">
        <v>1925</v>
      </c>
      <c r="K333" s="916" t="s">
        <v>1800</v>
      </c>
      <c r="L333" s="914" t="s">
        <v>168</v>
      </c>
      <c r="M333" s="918" t="s">
        <v>168</v>
      </c>
      <c r="N333" s="918" t="s">
        <v>168</v>
      </c>
      <c r="O333" s="918" t="s">
        <v>168</v>
      </c>
      <c r="P333" s="940" t="s">
        <v>168</v>
      </c>
      <c r="Q333" s="940" t="s">
        <v>1801</v>
      </c>
      <c r="R333" s="940" t="s">
        <v>1801</v>
      </c>
      <c r="S333" s="951" t="s">
        <v>1907</v>
      </c>
      <c r="T333" s="951" t="s">
        <v>1848</v>
      </c>
      <c r="U333" s="951" t="s">
        <v>1848</v>
      </c>
      <c r="V333" s="951" t="s">
        <v>803</v>
      </c>
      <c r="W333" s="951" t="s">
        <v>803</v>
      </c>
      <c r="X333" s="949" t="s">
        <v>1900</v>
      </c>
      <c r="Y333" s="918" t="s">
        <v>168</v>
      </c>
      <c r="Z333" s="918" t="s">
        <v>168</v>
      </c>
      <c r="AA333" s="940" t="s">
        <v>803</v>
      </c>
      <c r="AB333" s="940" t="s">
        <v>803</v>
      </c>
      <c r="AC333" s="940" t="s">
        <v>803</v>
      </c>
      <c r="AD333" s="940" t="s">
        <v>803</v>
      </c>
      <c r="AE333" s="940" t="s">
        <v>803</v>
      </c>
      <c r="AF333" s="916" t="s">
        <v>1922</v>
      </c>
      <c r="AG333" s="916" t="s">
        <v>1902</v>
      </c>
      <c r="AH333" s="916"/>
    </row>
    <row r="334" spans="1:34" ht="199.5">
      <c r="A334" s="915">
        <v>327</v>
      </c>
      <c r="B334" s="915" t="s">
        <v>228</v>
      </c>
      <c r="C334" s="915" t="s">
        <v>1856</v>
      </c>
      <c r="D334" s="915" t="s">
        <v>1926</v>
      </c>
      <c r="E334" s="915">
        <v>1</v>
      </c>
      <c r="F334" s="915" t="s">
        <v>1909</v>
      </c>
      <c r="G334" s="921" t="s">
        <v>1896</v>
      </c>
      <c r="H334" s="921" t="s">
        <v>1210</v>
      </c>
      <c r="I334" s="917" t="s">
        <v>1927</v>
      </c>
      <c r="J334" s="917" t="s">
        <v>1928</v>
      </c>
      <c r="K334" s="916" t="s">
        <v>1800</v>
      </c>
      <c r="L334" s="914" t="s">
        <v>168</v>
      </c>
      <c r="M334" s="918" t="s">
        <v>168</v>
      </c>
      <c r="N334" s="918" t="s">
        <v>168</v>
      </c>
      <c r="O334" s="918" t="s">
        <v>168</v>
      </c>
      <c r="P334" s="940" t="s">
        <v>168</v>
      </c>
      <c r="Q334" s="940" t="s">
        <v>1801</v>
      </c>
      <c r="R334" s="940" t="s">
        <v>1801</v>
      </c>
      <c r="S334" s="951" t="s">
        <v>1907</v>
      </c>
      <c r="T334" s="951" t="s">
        <v>803</v>
      </c>
      <c r="U334" s="951" t="s">
        <v>803</v>
      </c>
      <c r="V334" s="951" t="s">
        <v>803</v>
      </c>
      <c r="W334" s="951" t="s">
        <v>803</v>
      </c>
      <c r="X334" s="949" t="s">
        <v>1900</v>
      </c>
      <c r="Y334" s="918" t="s">
        <v>168</v>
      </c>
      <c r="Z334" s="918" t="s">
        <v>168</v>
      </c>
      <c r="AA334" s="940" t="s">
        <v>803</v>
      </c>
      <c r="AB334" s="940" t="s">
        <v>803</v>
      </c>
      <c r="AC334" s="940" t="s">
        <v>803</v>
      </c>
      <c r="AD334" s="940" t="s">
        <v>803</v>
      </c>
      <c r="AE334" s="940" t="s">
        <v>803</v>
      </c>
      <c r="AF334" s="916" t="s">
        <v>1922</v>
      </c>
      <c r="AG334" s="916" t="s">
        <v>1902</v>
      </c>
      <c r="AH334" s="916"/>
    </row>
    <row r="335" spans="1:34" ht="199.5">
      <c r="A335" s="915">
        <v>328</v>
      </c>
      <c r="B335" s="915" t="s">
        <v>228</v>
      </c>
      <c r="C335" s="915" t="s">
        <v>1856</v>
      </c>
      <c r="D335" s="915" t="s">
        <v>1929</v>
      </c>
      <c r="E335" s="915">
        <v>1</v>
      </c>
      <c r="F335" s="915" t="s">
        <v>1913</v>
      </c>
      <c r="G335" s="921" t="s">
        <v>1896</v>
      </c>
      <c r="H335" s="921" t="s">
        <v>1210</v>
      </c>
      <c r="I335" s="917" t="s">
        <v>1930</v>
      </c>
      <c r="J335" s="917" t="s">
        <v>1931</v>
      </c>
      <c r="K335" s="916" t="s">
        <v>1800</v>
      </c>
      <c r="L335" s="914" t="s">
        <v>168</v>
      </c>
      <c r="M335" s="918" t="s">
        <v>168</v>
      </c>
      <c r="N335" s="918" t="s">
        <v>168</v>
      </c>
      <c r="O335" s="918" t="s">
        <v>168</v>
      </c>
      <c r="P335" s="940" t="s">
        <v>168</v>
      </c>
      <c r="Q335" s="940" t="s">
        <v>1801</v>
      </c>
      <c r="R335" s="940" t="s">
        <v>1801</v>
      </c>
      <c r="S335" s="951" t="s">
        <v>1916</v>
      </c>
      <c r="T335" s="951" t="s">
        <v>803</v>
      </c>
      <c r="U335" s="951" t="s">
        <v>803</v>
      </c>
      <c r="V335" s="951" t="s">
        <v>803</v>
      </c>
      <c r="W335" s="951" t="s">
        <v>803</v>
      </c>
      <c r="X335" s="949" t="s">
        <v>1900</v>
      </c>
      <c r="Y335" s="918" t="s">
        <v>168</v>
      </c>
      <c r="Z335" s="918" t="s">
        <v>168</v>
      </c>
      <c r="AA335" s="940" t="s">
        <v>803</v>
      </c>
      <c r="AB335" s="940" t="s">
        <v>803</v>
      </c>
      <c r="AC335" s="940" t="s">
        <v>803</v>
      </c>
      <c r="AD335" s="940" t="s">
        <v>803</v>
      </c>
      <c r="AE335" s="940" t="s">
        <v>803</v>
      </c>
      <c r="AF335" s="916" t="s">
        <v>1922</v>
      </c>
      <c r="AG335" s="916" t="s">
        <v>1902</v>
      </c>
      <c r="AH335" s="916"/>
    </row>
    <row r="336" spans="1:34" ht="199.5">
      <c r="A336" s="915">
        <v>329</v>
      </c>
      <c r="B336" s="915" t="s">
        <v>228</v>
      </c>
      <c r="C336" s="915" t="s">
        <v>1932</v>
      </c>
      <c r="D336" s="915" t="s">
        <v>1933</v>
      </c>
      <c r="E336" s="915">
        <v>1</v>
      </c>
      <c r="F336" s="915" t="s">
        <v>1934</v>
      </c>
      <c r="G336" s="921" t="s">
        <v>1935</v>
      </c>
      <c r="H336" s="921" t="s">
        <v>1210</v>
      </c>
      <c r="I336" s="917" t="s">
        <v>1936</v>
      </c>
      <c r="J336" s="917" t="s">
        <v>1937</v>
      </c>
      <c r="K336" s="916" t="s">
        <v>1800</v>
      </c>
      <c r="L336" s="914" t="s">
        <v>168</v>
      </c>
      <c r="M336" s="918" t="s">
        <v>168</v>
      </c>
      <c r="N336" s="918" t="s">
        <v>168</v>
      </c>
      <c r="O336" s="918" t="s">
        <v>168</v>
      </c>
      <c r="P336" s="940" t="s">
        <v>168</v>
      </c>
      <c r="Q336" s="940" t="s">
        <v>1938</v>
      </c>
      <c r="R336" s="940" t="s">
        <v>1938</v>
      </c>
      <c r="S336" s="951" t="s">
        <v>1939</v>
      </c>
      <c r="T336" s="951" t="s">
        <v>1939</v>
      </c>
      <c r="U336" s="951" t="s">
        <v>1940</v>
      </c>
      <c r="V336" s="951" t="s">
        <v>803</v>
      </c>
      <c r="W336" s="951" t="s">
        <v>803</v>
      </c>
      <c r="X336" s="949" t="s">
        <v>1941</v>
      </c>
      <c r="Y336" s="918" t="s">
        <v>168</v>
      </c>
      <c r="Z336" s="918" t="s">
        <v>168</v>
      </c>
      <c r="AA336" s="940" t="s">
        <v>803</v>
      </c>
      <c r="AB336" s="940" t="s">
        <v>803</v>
      </c>
      <c r="AC336" s="940" t="s">
        <v>803</v>
      </c>
      <c r="AD336" s="940" t="s">
        <v>803</v>
      </c>
      <c r="AE336" s="940" t="s">
        <v>803</v>
      </c>
      <c r="AF336" s="916" t="s">
        <v>1942</v>
      </c>
      <c r="AG336" s="916" t="s">
        <v>1943</v>
      </c>
      <c r="AH336" s="916"/>
    </row>
  </sheetData>
  <autoFilter ref="A6:AH336" xr:uid="{8AF30AB7-D499-4A33-BB2A-D43447E9F0B5}">
    <filterColumn colId="18" showButton="0"/>
    <filterColumn colId="19" showButton="0"/>
  </autoFilter>
  <mergeCells count="1">
    <mergeCell ref="S6:U6"/>
  </mergeCells>
  <pageMargins left="0.7" right="0.7" top="0.75" bottom="0.75" header="0.3" footer="0.3"/>
  <pageSetup paperSize="3" scale="36"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CE74F-3F1F-4B09-A398-08FF7C942094}">
  <sheetPr>
    <pageSetUpPr fitToPage="1"/>
  </sheetPr>
  <dimension ref="A1:U56"/>
  <sheetViews>
    <sheetView zoomScaleNormal="100" workbookViewId="0"/>
  </sheetViews>
  <sheetFormatPr defaultColWidth="8.875" defaultRowHeight="14.25"/>
  <cols>
    <col min="1" max="1" width="12.125" style="1018" bestFit="1" customWidth="1"/>
    <col min="2" max="2" width="11.625" style="1018" customWidth="1"/>
    <col min="3" max="4" width="8.875" style="1018"/>
    <col min="5" max="5" width="5.875" style="1018" customWidth="1"/>
    <col min="6" max="6" width="96.125" style="1311" customWidth="1"/>
    <col min="7" max="9" width="21.125" style="1018" customWidth="1"/>
    <col min="10" max="10" width="13.125" style="1018" bestFit="1" customWidth="1"/>
    <col min="11" max="15" width="10.125" style="1018" bestFit="1" customWidth="1"/>
    <col min="16" max="16" width="20.625" style="1018" bestFit="1" customWidth="1"/>
    <col min="17" max="18" width="16.125" style="1018" customWidth="1"/>
    <col min="19" max="19" width="67.25" style="1018" customWidth="1"/>
    <col min="20" max="20" width="123" style="1018" bestFit="1" customWidth="1"/>
    <col min="21" max="21" width="50.375" style="1018" bestFit="1" customWidth="1"/>
    <col min="22" max="16384" width="8.875" style="1018"/>
  </cols>
  <sheetData>
    <row r="1" spans="1:21">
      <c r="A1" s="1308" t="s">
        <v>98</v>
      </c>
      <c r="B1" s="1309" t="str">
        <f>PA_NAME</f>
        <v>SoCalGas</v>
      </c>
      <c r="D1" s="1310"/>
      <c r="Q1" s="1018" t="s">
        <v>1944</v>
      </c>
    </row>
    <row r="2" spans="1:21">
      <c r="A2" s="1308" t="s">
        <v>99</v>
      </c>
      <c r="B2" s="1312" t="s">
        <v>303</v>
      </c>
    </row>
    <row r="3" spans="1:21">
      <c r="A3" s="1313" t="s">
        <v>1945</v>
      </c>
      <c r="B3" s="1314"/>
    </row>
    <row r="4" spans="1:21">
      <c r="C4" s="1445" t="s">
        <v>1946</v>
      </c>
      <c r="D4" s="1445"/>
      <c r="E4" s="1445"/>
      <c r="F4" s="1445"/>
      <c r="G4" s="1445"/>
      <c r="H4" s="1445"/>
      <c r="I4" s="1445"/>
      <c r="J4" s="1445"/>
      <c r="K4" s="1445"/>
      <c r="L4" s="1445"/>
      <c r="M4" s="1445"/>
      <c r="N4" s="1445"/>
      <c r="O4" s="1445"/>
      <c r="P4" s="1445"/>
      <c r="Q4" s="1445"/>
      <c r="R4" s="1445"/>
      <c r="S4" s="1445"/>
    </row>
    <row r="5" spans="1:21" s="1316" customFormat="1" ht="42.75">
      <c r="A5" s="1315" t="s">
        <v>1201</v>
      </c>
      <c r="B5" s="1315" t="s">
        <v>1202</v>
      </c>
      <c r="C5" s="896" t="s">
        <v>916</v>
      </c>
      <c r="D5" s="896" t="s">
        <v>1208</v>
      </c>
      <c r="E5" s="896" t="s">
        <v>1947</v>
      </c>
      <c r="F5" s="896" t="s">
        <v>1948</v>
      </c>
      <c r="G5" s="896" t="s">
        <v>1949</v>
      </c>
      <c r="H5" s="896" t="s">
        <v>929</v>
      </c>
      <c r="I5" s="896" t="s">
        <v>1950</v>
      </c>
      <c r="J5" s="896" t="s">
        <v>1951</v>
      </c>
      <c r="K5" s="896" t="s">
        <v>1952</v>
      </c>
      <c r="L5" s="147" t="s">
        <v>1225</v>
      </c>
      <c r="M5" s="147" t="s">
        <v>1226</v>
      </c>
      <c r="N5" s="147" t="s">
        <v>1227</v>
      </c>
      <c r="O5" s="147" t="s">
        <v>1228</v>
      </c>
      <c r="P5" s="896" t="s">
        <v>1229</v>
      </c>
      <c r="Q5" s="896" t="s">
        <v>1230</v>
      </c>
      <c r="R5" s="896" t="s">
        <v>1953</v>
      </c>
      <c r="S5" s="896" t="s">
        <v>1954</v>
      </c>
      <c r="T5" s="897" t="s">
        <v>1955</v>
      </c>
      <c r="U5" s="896" t="s">
        <v>1956</v>
      </c>
    </row>
    <row r="6" spans="1:21" s="899" customFormat="1" ht="28.5">
      <c r="A6" s="1315" t="s">
        <v>1957</v>
      </c>
      <c r="B6" s="1315" t="s">
        <v>1</v>
      </c>
      <c r="C6" s="1315" t="s">
        <v>26</v>
      </c>
      <c r="D6" s="1329" t="s">
        <v>1210</v>
      </c>
      <c r="E6" s="1329" t="s">
        <v>1689</v>
      </c>
      <c r="F6" s="1330" t="s">
        <v>1958</v>
      </c>
      <c r="G6" s="1330" t="s">
        <v>1959</v>
      </c>
      <c r="H6" s="1330" t="s">
        <v>1296</v>
      </c>
      <c r="I6" s="1330" t="s">
        <v>1960</v>
      </c>
      <c r="J6" s="1317"/>
      <c r="K6" s="1317"/>
      <c r="L6" s="1317"/>
      <c r="M6" s="1317"/>
      <c r="N6" s="1317"/>
      <c r="O6" s="1317"/>
      <c r="P6" s="1318" t="s">
        <v>803</v>
      </c>
      <c r="Q6" s="1319"/>
      <c r="R6" s="1319"/>
      <c r="S6" s="1320" t="s">
        <v>1961</v>
      </c>
    </row>
    <row r="7" spans="1:21" ht="28.5">
      <c r="A7" s="1315" t="s">
        <v>1962</v>
      </c>
      <c r="B7" s="1315" t="s">
        <v>1</v>
      </c>
      <c r="C7" s="1315" t="s">
        <v>26</v>
      </c>
      <c r="D7" s="1315" t="s">
        <v>1360</v>
      </c>
      <c r="E7" s="1315" t="s">
        <v>1963</v>
      </c>
      <c r="F7" s="1331" t="s">
        <v>1964</v>
      </c>
      <c r="G7" s="1331" t="s">
        <v>1959</v>
      </c>
      <c r="H7" s="1331" t="s">
        <v>1296</v>
      </c>
      <c r="I7" s="1331" t="s">
        <v>1965</v>
      </c>
      <c r="J7" s="1317" t="s">
        <v>1966</v>
      </c>
      <c r="K7" s="1317" t="s">
        <v>1966</v>
      </c>
      <c r="L7" s="1317" t="s">
        <v>1966</v>
      </c>
      <c r="M7" s="1317" t="s">
        <v>1966</v>
      </c>
      <c r="N7" s="1317" t="s">
        <v>1966</v>
      </c>
      <c r="O7" s="1317" t="s">
        <v>1966</v>
      </c>
      <c r="P7" s="1317" t="s">
        <v>1966</v>
      </c>
      <c r="Q7" s="1317" t="s">
        <v>1966</v>
      </c>
      <c r="R7" s="1317" t="s">
        <v>1966</v>
      </c>
      <c r="S7" s="1321" t="s">
        <v>1967</v>
      </c>
    </row>
    <row r="8" spans="1:21" ht="28.5">
      <c r="A8" s="1315" t="s">
        <v>1968</v>
      </c>
      <c r="B8" s="1315" t="s">
        <v>1</v>
      </c>
      <c r="C8" s="1315" t="s">
        <v>26</v>
      </c>
      <c r="D8" s="1315" t="s">
        <v>1360</v>
      </c>
      <c r="E8" s="1315" t="s">
        <v>1969</v>
      </c>
      <c r="F8" s="1331" t="s">
        <v>1970</v>
      </c>
      <c r="G8" s="1331" t="s">
        <v>1959</v>
      </c>
      <c r="H8" s="1331" t="s">
        <v>1296</v>
      </c>
      <c r="I8" s="1331" t="s">
        <v>1971</v>
      </c>
      <c r="J8" s="1317" t="s">
        <v>1966</v>
      </c>
      <c r="K8" s="1317" t="s">
        <v>1966</v>
      </c>
      <c r="L8" s="1317" t="s">
        <v>1966</v>
      </c>
      <c r="M8" s="1317" t="s">
        <v>1966</v>
      </c>
      <c r="N8" s="1317" t="s">
        <v>1966</v>
      </c>
      <c r="O8" s="1317" t="s">
        <v>1966</v>
      </c>
      <c r="P8" s="1317" t="s">
        <v>1966</v>
      </c>
      <c r="Q8" s="1317" t="s">
        <v>1966</v>
      </c>
      <c r="R8" s="1317" t="s">
        <v>1966</v>
      </c>
      <c r="S8" s="1321" t="s">
        <v>1967</v>
      </c>
    </row>
    <row r="9" spans="1:21" ht="28.5">
      <c r="A9" s="1315" t="s">
        <v>1972</v>
      </c>
      <c r="B9" s="1315" t="s">
        <v>1</v>
      </c>
      <c r="C9" s="1315" t="s">
        <v>26</v>
      </c>
      <c r="D9" s="1315" t="s">
        <v>1360</v>
      </c>
      <c r="E9" s="1315" t="s">
        <v>1973</v>
      </c>
      <c r="F9" s="1331" t="s">
        <v>1974</v>
      </c>
      <c r="G9" s="1331" t="s">
        <v>1959</v>
      </c>
      <c r="H9" s="1331" t="s">
        <v>1371</v>
      </c>
      <c r="I9" s="1331" t="s">
        <v>1965</v>
      </c>
      <c r="J9" s="1317" t="s">
        <v>1966</v>
      </c>
      <c r="K9" s="1317" t="s">
        <v>1966</v>
      </c>
      <c r="L9" s="1317" t="s">
        <v>1966</v>
      </c>
      <c r="M9" s="1317" t="s">
        <v>1966</v>
      </c>
      <c r="N9" s="1317" t="s">
        <v>1966</v>
      </c>
      <c r="O9" s="1317" t="s">
        <v>1966</v>
      </c>
      <c r="P9" s="1317" t="s">
        <v>1966</v>
      </c>
      <c r="Q9" s="1317" t="s">
        <v>1966</v>
      </c>
      <c r="R9" s="1317" t="s">
        <v>1966</v>
      </c>
      <c r="S9" s="1321" t="s">
        <v>1967</v>
      </c>
      <c r="T9" s="1018" t="s">
        <v>1975</v>
      </c>
    </row>
    <row r="10" spans="1:21" ht="28.5">
      <c r="A10" s="1315" t="s">
        <v>1976</v>
      </c>
      <c r="B10" s="1315" t="s">
        <v>1</v>
      </c>
      <c r="C10" s="1315" t="s">
        <v>26</v>
      </c>
      <c r="D10" s="1315" t="s">
        <v>1360</v>
      </c>
      <c r="E10" s="1315" t="s">
        <v>1977</v>
      </c>
      <c r="F10" s="1331" t="s">
        <v>1978</v>
      </c>
      <c r="G10" s="1331" t="s">
        <v>1959</v>
      </c>
      <c r="H10" s="1331" t="s">
        <v>1371</v>
      </c>
      <c r="I10" s="1331" t="s">
        <v>1971</v>
      </c>
      <c r="J10" s="1317" t="s">
        <v>1966</v>
      </c>
      <c r="K10" s="1317" t="s">
        <v>1966</v>
      </c>
      <c r="L10" s="1317" t="s">
        <v>1966</v>
      </c>
      <c r="M10" s="1317" t="s">
        <v>1966</v>
      </c>
      <c r="N10" s="1317" t="s">
        <v>1966</v>
      </c>
      <c r="O10" s="1317" t="s">
        <v>1966</v>
      </c>
      <c r="P10" s="1317" t="s">
        <v>1966</v>
      </c>
      <c r="Q10" s="1317" t="s">
        <v>1966</v>
      </c>
      <c r="R10" s="1317" t="s">
        <v>1966</v>
      </c>
      <c r="S10" s="1321" t="s">
        <v>1967</v>
      </c>
      <c r="T10" s="1018" t="s">
        <v>1975</v>
      </c>
    </row>
    <row r="11" spans="1:21" s="899" customFormat="1" ht="28.5">
      <c r="A11" s="1315" t="s">
        <v>1979</v>
      </c>
      <c r="B11" s="1315" t="s">
        <v>1</v>
      </c>
      <c r="C11" s="1315" t="s">
        <v>26</v>
      </c>
      <c r="D11" s="1329" t="s">
        <v>1210</v>
      </c>
      <c r="E11" s="1329" t="s">
        <v>1692</v>
      </c>
      <c r="F11" s="1330" t="s">
        <v>1980</v>
      </c>
      <c r="G11" s="1330" t="s">
        <v>1981</v>
      </c>
      <c r="H11" s="1330" t="s">
        <v>1371</v>
      </c>
      <c r="I11" s="1330" t="s">
        <v>1960</v>
      </c>
      <c r="J11" s="1317"/>
      <c r="K11" s="1317"/>
      <c r="L11" s="1317"/>
      <c r="M11" s="1317"/>
      <c r="N11" s="1317"/>
      <c r="O11" s="1317"/>
      <c r="P11" s="1318" t="s">
        <v>803</v>
      </c>
      <c r="Q11" s="1319"/>
      <c r="R11" s="1319"/>
      <c r="S11" s="1320" t="s">
        <v>1961</v>
      </c>
      <c r="T11" s="1018" t="s">
        <v>1975</v>
      </c>
    </row>
    <row r="12" spans="1:21" ht="28.5">
      <c r="A12" s="1315" t="s">
        <v>1982</v>
      </c>
      <c r="B12" s="1315" t="s">
        <v>1</v>
      </c>
      <c r="C12" s="1315" t="s">
        <v>26</v>
      </c>
      <c r="D12" s="1315" t="s">
        <v>1360</v>
      </c>
      <c r="E12" s="1315" t="s">
        <v>1983</v>
      </c>
      <c r="F12" s="1331" t="s">
        <v>1984</v>
      </c>
      <c r="G12" s="1331" t="s">
        <v>1981</v>
      </c>
      <c r="H12" s="1331" t="s">
        <v>1371</v>
      </c>
      <c r="I12" s="1331" t="s">
        <v>1965</v>
      </c>
      <c r="J12" s="1317" t="s">
        <v>1966</v>
      </c>
      <c r="K12" s="1317" t="s">
        <v>1966</v>
      </c>
      <c r="L12" s="1317" t="s">
        <v>1966</v>
      </c>
      <c r="M12" s="1317" t="s">
        <v>1966</v>
      </c>
      <c r="N12" s="1317" t="s">
        <v>1966</v>
      </c>
      <c r="O12" s="1317" t="s">
        <v>1966</v>
      </c>
      <c r="P12" s="1317" t="s">
        <v>1966</v>
      </c>
      <c r="Q12" s="1317" t="s">
        <v>1966</v>
      </c>
      <c r="R12" s="1317" t="s">
        <v>1966</v>
      </c>
      <c r="S12" s="1321" t="s">
        <v>1967</v>
      </c>
      <c r="T12" s="1018" t="s">
        <v>1975</v>
      </c>
    </row>
    <row r="13" spans="1:21" ht="28.5">
      <c r="A13" s="1315" t="s">
        <v>1985</v>
      </c>
      <c r="B13" s="1315" t="s">
        <v>1</v>
      </c>
      <c r="C13" s="1315" t="s">
        <v>26</v>
      </c>
      <c r="D13" s="1315" t="s">
        <v>1360</v>
      </c>
      <c r="E13" s="1315" t="s">
        <v>1986</v>
      </c>
      <c r="F13" s="1331" t="s">
        <v>1987</v>
      </c>
      <c r="G13" s="1331" t="s">
        <v>1981</v>
      </c>
      <c r="H13" s="1331" t="s">
        <v>1371</v>
      </c>
      <c r="I13" s="1331" t="s">
        <v>1971</v>
      </c>
      <c r="J13" s="1317" t="s">
        <v>1966</v>
      </c>
      <c r="K13" s="1317" t="s">
        <v>1966</v>
      </c>
      <c r="L13" s="1317" t="s">
        <v>1966</v>
      </c>
      <c r="M13" s="1317" t="s">
        <v>1966</v>
      </c>
      <c r="N13" s="1317" t="s">
        <v>1966</v>
      </c>
      <c r="O13" s="1317" t="s">
        <v>1966</v>
      </c>
      <c r="P13" s="1317" t="s">
        <v>1966</v>
      </c>
      <c r="Q13" s="1317" t="s">
        <v>1966</v>
      </c>
      <c r="R13" s="1317" t="s">
        <v>1966</v>
      </c>
      <c r="S13" s="1322" t="s">
        <v>1967</v>
      </c>
      <c r="T13" s="1018" t="s">
        <v>1975</v>
      </c>
    </row>
    <row r="14" spans="1:21" s="899" customFormat="1" ht="28.5">
      <c r="A14" s="1315" t="s">
        <v>1988</v>
      </c>
      <c r="B14" s="1315" t="s">
        <v>1</v>
      </c>
      <c r="C14" s="1315" t="s">
        <v>26</v>
      </c>
      <c r="D14" s="1329" t="s">
        <v>1210</v>
      </c>
      <c r="E14" s="1329" t="s">
        <v>1694</v>
      </c>
      <c r="F14" s="1330" t="s">
        <v>1989</v>
      </c>
      <c r="G14" s="1330" t="s">
        <v>1990</v>
      </c>
      <c r="H14" s="1330" t="s">
        <v>1991</v>
      </c>
      <c r="I14" s="1330" t="s">
        <v>1960</v>
      </c>
      <c r="J14" s="1317"/>
      <c r="K14" s="1317"/>
      <c r="L14" s="1317"/>
      <c r="M14" s="1317"/>
      <c r="N14" s="1317"/>
      <c r="O14" s="1317"/>
      <c r="P14" s="1318" t="s">
        <v>803</v>
      </c>
      <c r="Q14" s="1319"/>
      <c r="R14" s="1323"/>
      <c r="S14" s="1324" t="s">
        <v>1961</v>
      </c>
    </row>
    <row r="15" spans="1:21" ht="28.5">
      <c r="A15" s="1315" t="s">
        <v>1992</v>
      </c>
      <c r="B15" s="1315" t="s">
        <v>1</v>
      </c>
      <c r="C15" s="1315" t="s">
        <v>26</v>
      </c>
      <c r="D15" s="1315" t="s">
        <v>1360</v>
      </c>
      <c r="E15" s="1315" t="s">
        <v>1993</v>
      </c>
      <c r="F15" s="1331" t="s">
        <v>1994</v>
      </c>
      <c r="G15" s="1331" t="s">
        <v>1990</v>
      </c>
      <c r="H15" s="1331" t="s">
        <v>1691</v>
      </c>
      <c r="I15" s="1331" t="s">
        <v>1965</v>
      </c>
      <c r="J15" s="1317">
        <v>0</v>
      </c>
      <c r="K15" s="1317">
        <v>0</v>
      </c>
      <c r="L15" s="1317" t="s">
        <v>1966</v>
      </c>
      <c r="M15" s="1317" t="s">
        <v>1966</v>
      </c>
      <c r="N15" s="1317" t="s">
        <v>1966</v>
      </c>
      <c r="O15" s="1317" t="s">
        <v>1966</v>
      </c>
      <c r="P15" s="1317" t="s">
        <v>1966</v>
      </c>
      <c r="Q15" s="1317" t="s">
        <v>1966</v>
      </c>
      <c r="R15" s="1317" t="s">
        <v>1966</v>
      </c>
      <c r="S15" s="1325" t="s">
        <v>1967</v>
      </c>
    </row>
    <row r="16" spans="1:21" ht="28.5">
      <c r="A16" s="1315" t="s">
        <v>1995</v>
      </c>
      <c r="B16" s="1315" t="s">
        <v>1</v>
      </c>
      <c r="C16" s="1315" t="s">
        <v>26</v>
      </c>
      <c r="D16" s="1315" t="s">
        <v>1360</v>
      </c>
      <c r="E16" s="1315" t="s">
        <v>1996</v>
      </c>
      <c r="F16" s="1331" t="s">
        <v>1997</v>
      </c>
      <c r="G16" s="1331" t="s">
        <v>1990</v>
      </c>
      <c r="H16" s="1331" t="s">
        <v>1691</v>
      </c>
      <c r="I16" s="1331" t="s">
        <v>1971</v>
      </c>
      <c r="J16" s="1317">
        <v>0</v>
      </c>
      <c r="K16" s="1317">
        <v>0</v>
      </c>
      <c r="L16" s="1317" t="s">
        <v>1966</v>
      </c>
      <c r="M16" s="1317" t="s">
        <v>1966</v>
      </c>
      <c r="N16" s="1317" t="s">
        <v>1966</v>
      </c>
      <c r="O16" s="1317" t="s">
        <v>1966</v>
      </c>
      <c r="P16" s="1317" t="s">
        <v>1966</v>
      </c>
      <c r="Q16" s="1317" t="s">
        <v>1966</v>
      </c>
      <c r="R16" s="1317" t="s">
        <v>1966</v>
      </c>
      <c r="S16" s="1321" t="s">
        <v>1967</v>
      </c>
    </row>
    <row r="17" spans="1:21" ht="28.5">
      <c r="A17" s="1315" t="s">
        <v>1998</v>
      </c>
      <c r="B17" s="1315" t="s">
        <v>1</v>
      </c>
      <c r="C17" s="1315" t="s">
        <v>26</v>
      </c>
      <c r="D17" s="1315" t="s">
        <v>1360</v>
      </c>
      <c r="E17" s="1315" t="s">
        <v>1999</v>
      </c>
      <c r="F17" s="1331" t="s">
        <v>2000</v>
      </c>
      <c r="G17" s="1331" t="s">
        <v>1990</v>
      </c>
      <c r="H17" s="1331" t="s">
        <v>1663</v>
      </c>
      <c r="I17" s="1331" t="s">
        <v>1965</v>
      </c>
      <c r="J17" s="1317">
        <v>0</v>
      </c>
      <c r="K17" s="1317">
        <v>0</v>
      </c>
      <c r="L17" s="1317" t="s">
        <v>1966</v>
      </c>
      <c r="M17" s="1317" t="s">
        <v>1966</v>
      </c>
      <c r="N17" s="1317" t="s">
        <v>1966</v>
      </c>
      <c r="O17" s="1317" t="s">
        <v>1966</v>
      </c>
      <c r="P17" s="1317" t="s">
        <v>1966</v>
      </c>
      <c r="Q17" s="1317" t="s">
        <v>1966</v>
      </c>
      <c r="R17" s="1317" t="s">
        <v>1966</v>
      </c>
      <c r="S17" s="1321" t="s">
        <v>1967</v>
      </c>
    </row>
    <row r="18" spans="1:21" ht="28.5">
      <c r="A18" s="1315" t="s">
        <v>2001</v>
      </c>
      <c r="B18" s="1315" t="s">
        <v>1</v>
      </c>
      <c r="C18" s="1315" t="s">
        <v>26</v>
      </c>
      <c r="D18" s="1315" t="s">
        <v>1360</v>
      </c>
      <c r="E18" s="1315" t="s">
        <v>2002</v>
      </c>
      <c r="F18" s="1331" t="s">
        <v>2003</v>
      </c>
      <c r="G18" s="1331" t="s">
        <v>1990</v>
      </c>
      <c r="H18" s="1331" t="s">
        <v>1663</v>
      </c>
      <c r="I18" s="1331" t="s">
        <v>1971</v>
      </c>
      <c r="J18" s="1317">
        <v>0</v>
      </c>
      <c r="K18" s="1317">
        <v>0</v>
      </c>
      <c r="L18" s="1317" t="s">
        <v>1966</v>
      </c>
      <c r="M18" s="1317" t="s">
        <v>1966</v>
      </c>
      <c r="N18" s="1317" t="s">
        <v>1966</v>
      </c>
      <c r="O18" s="1317" t="s">
        <v>1966</v>
      </c>
      <c r="P18" s="1317" t="s">
        <v>1966</v>
      </c>
      <c r="Q18" s="1317" t="s">
        <v>1966</v>
      </c>
      <c r="R18" s="1317" t="s">
        <v>1966</v>
      </c>
      <c r="S18" s="1321" t="s">
        <v>1967</v>
      </c>
    </row>
    <row r="19" spans="1:21" s="899" customFormat="1" ht="28.5">
      <c r="A19" s="1315" t="s">
        <v>2004</v>
      </c>
      <c r="B19" s="1315" t="s">
        <v>1</v>
      </c>
      <c r="C19" s="1315" t="s">
        <v>26</v>
      </c>
      <c r="D19" s="1329" t="s">
        <v>1210</v>
      </c>
      <c r="E19" s="1329" t="s">
        <v>1700</v>
      </c>
      <c r="F19" s="1330" t="s">
        <v>2005</v>
      </c>
      <c r="G19" s="1330" t="s">
        <v>1817</v>
      </c>
      <c r="H19" s="1330" t="s">
        <v>1592</v>
      </c>
      <c r="I19" s="1330" t="s">
        <v>1960</v>
      </c>
      <c r="J19" s="1317"/>
      <c r="K19" s="1317"/>
      <c r="L19" s="1317"/>
      <c r="M19" s="1317"/>
      <c r="N19" s="1317"/>
      <c r="O19" s="1317"/>
      <c r="P19" s="1318" t="s">
        <v>803</v>
      </c>
      <c r="Q19" s="1319"/>
      <c r="R19" s="1319"/>
      <c r="S19" s="1320" t="s">
        <v>1961</v>
      </c>
    </row>
    <row r="20" spans="1:21" ht="28.5">
      <c r="A20" s="1315" t="s">
        <v>2006</v>
      </c>
      <c r="B20" s="1315" t="s">
        <v>1</v>
      </c>
      <c r="C20" s="1315" t="s">
        <v>26</v>
      </c>
      <c r="D20" s="1315" t="s">
        <v>1360</v>
      </c>
      <c r="E20" s="1315" t="s">
        <v>2007</v>
      </c>
      <c r="F20" s="1331" t="s">
        <v>1984</v>
      </c>
      <c r="G20" s="1331" t="s">
        <v>1817</v>
      </c>
      <c r="H20" s="1331" t="s">
        <v>1592</v>
      </c>
      <c r="I20" s="1331" t="s">
        <v>1965</v>
      </c>
      <c r="J20" s="1317">
        <v>0</v>
      </c>
      <c r="K20" s="1317">
        <v>0</v>
      </c>
      <c r="L20" s="1317" t="s">
        <v>1966</v>
      </c>
      <c r="M20" s="1317" t="s">
        <v>1966</v>
      </c>
      <c r="N20" s="1317" t="s">
        <v>1966</v>
      </c>
      <c r="O20" s="1317" t="s">
        <v>1966</v>
      </c>
      <c r="P20" s="1317" t="s">
        <v>1966</v>
      </c>
      <c r="Q20" s="1317" t="s">
        <v>1966</v>
      </c>
      <c r="R20" s="1317" t="s">
        <v>1966</v>
      </c>
      <c r="S20" s="1321" t="s">
        <v>1967</v>
      </c>
    </row>
    <row r="21" spans="1:21" ht="28.5">
      <c r="A21" s="1315" t="s">
        <v>2008</v>
      </c>
      <c r="B21" s="1315" t="s">
        <v>1</v>
      </c>
      <c r="C21" s="1315" t="s">
        <v>26</v>
      </c>
      <c r="D21" s="1315" t="s">
        <v>1360</v>
      </c>
      <c r="E21" s="1315" t="s">
        <v>2009</v>
      </c>
      <c r="F21" s="1331" t="s">
        <v>1987</v>
      </c>
      <c r="G21" s="1331" t="s">
        <v>1817</v>
      </c>
      <c r="H21" s="1331" t="s">
        <v>1592</v>
      </c>
      <c r="I21" s="1331" t="s">
        <v>1971</v>
      </c>
      <c r="J21" s="1317">
        <v>0</v>
      </c>
      <c r="K21" s="1317">
        <v>0</v>
      </c>
      <c r="L21" s="1317" t="s">
        <v>1966</v>
      </c>
      <c r="M21" s="1317" t="s">
        <v>1966</v>
      </c>
      <c r="N21" s="1317" t="s">
        <v>1966</v>
      </c>
      <c r="O21" s="1317" t="s">
        <v>1966</v>
      </c>
      <c r="P21" s="1317" t="s">
        <v>1966</v>
      </c>
      <c r="Q21" s="1317" t="s">
        <v>1966</v>
      </c>
      <c r="R21" s="1317" t="s">
        <v>1966</v>
      </c>
      <c r="S21" s="1321" t="s">
        <v>1967</v>
      </c>
    </row>
    <row r="22" spans="1:21" s="899" customFormat="1" ht="28.5">
      <c r="A22" s="1315" t="s">
        <v>2010</v>
      </c>
      <c r="B22" s="1315" t="s">
        <v>1</v>
      </c>
      <c r="C22" s="1315" t="s">
        <v>26</v>
      </c>
      <c r="D22" s="1329" t="s">
        <v>1210</v>
      </c>
      <c r="E22" s="1329" t="s">
        <v>2011</v>
      </c>
      <c r="F22" s="1330" t="s">
        <v>2012</v>
      </c>
      <c r="G22" s="1330" t="s">
        <v>2013</v>
      </c>
      <c r="H22" s="1330" t="s">
        <v>1492</v>
      </c>
      <c r="I22" s="1330" t="s">
        <v>1960</v>
      </c>
      <c r="J22" s="1317"/>
      <c r="K22" s="1317"/>
      <c r="L22" s="1317"/>
      <c r="M22" s="1317"/>
      <c r="N22" s="1317"/>
      <c r="O22" s="1317"/>
      <c r="P22" s="1318" t="s">
        <v>803</v>
      </c>
      <c r="Q22" s="1319"/>
      <c r="R22" s="1319"/>
      <c r="S22" s="1320" t="s">
        <v>1961</v>
      </c>
      <c r="T22" s="1018" t="s">
        <v>2014</v>
      </c>
    </row>
    <row r="23" spans="1:21" ht="28.5">
      <c r="A23" s="1315" t="s">
        <v>2015</v>
      </c>
      <c r="B23" s="1315" t="s">
        <v>1</v>
      </c>
      <c r="C23" s="1315" t="s">
        <v>26</v>
      </c>
      <c r="D23" s="1315" t="s">
        <v>1360</v>
      </c>
      <c r="E23" s="1315" t="s">
        <v>2016</v>
      </c>
      <c r="F23" s="1331" t="s">
        <v>1984</v>
      </c>
      <c r="G23" s="1331" t="s">
        <v>2013</v>
      </c>
      <c r="H23" s="1331" t="s">
        <v>1492</v>
      </c>
      <c r="I23" s="1331" t="s">
        <v>1965</v>
      </c>
      <c r="J23" s="1317">
        <v>0</v>
      </c>
      <c r="K23" s="1317">
        <v>0</v>
      </c>
      <c r="L23" s="1317" t="s">
        <v>1966</v>
      </c>
      <c r="M23" s="1317" t="s">
        <v>1966</v>
      </c>
      <c r="N23" s="1317" t="s">
        <v>1966</v>
      </c>
      <c r="O23" s="1317" t="s">
        <v>1966</v>
      </c>
      <c r="P23" s="1317" t="s">
        <v>1966</v>
      </c>
      <c r="Q23" s="1317" t="s">
        <v>1966</v>
      </c>
      <c r="R23" s="1317" t="s">
        <v>1966</v>
      </c>
      <c r="S23" s="1321" t="s">
        <v>1967</v>
      </c>
    </row>
    <row r="24" spans="1:21" ht="28.5">
      <c r="A24" s="1315" t="s">
        <v>2017</v>
      </c>
      <c r="B24" s="1315" t="s">
        <v>1</v>
      </c>
      <c r="C24" s="1315" t="s">
        <v>26</v>
      </c>
      <c r="D24" s="1315" t="s">
        <v>1360</v>
      </c>
      <c r="E24" s="1315" t="s">
        <v>2018</v>
      </c>
      <c r="F24" s="1331" t="s">
        <v>1987</v>
      </c>
      <c r="G24" s="1331" t="s">
        <v>2013</v>
      </c>
      <c r="H24" s="1331" t="s">
        <v>1492</v>
      </c>
      <c r="I24" s="1331" t="s">
        <v>1971</v>
      </c>
      <c r="J24" s="1317">
        <v>0</v>
      </c>
      <c r="K24" s="1317">
        <v>0</v>
      </c>
      <c r="L24" s="1317" t="s">
        <v>1966</v>
      </c>
      <c r="M24" s="1317" t="s">
        <v>1966</v>
      </c>
      <c r="N24" s="1317" t="s">
        <v>1966</v>
      </c>
      <c r="O24" s="1317" t="s">
        <v>1966</v>
      </c>
      <c r="P24" s="1317" t="s">
        <v>1966</v>
      </c>
      <c r="Q24" s="1317" t="s">
        <v>1966</v>
      </c>
      <c r="R24" s="1317" t="s">
        <v>1966</v>
      </c>
      <c r="S24" s="1321" t="s">
        <v>1967</v>
      </c>
    </row>
    <row r="25" spans="1:21" s="899" customFormat="1" ht="28.5">
      <c r="A25" s="1315" t="s">
        <v>2019</v>
      </c>
      <c r="B25" s="1315" t="s">
        <v>1</v>
      </c>
      <c r="C25" s="1315" t="s">
        <v>26</v>
      </c>
      <c r="D25" s="1329" t="s">
        <v>1210</v>
      </c>
      <c r="E25" s="1329" t="s">
        <v>2020</v>
      </c>
      <c r="F25" s="1330" t="s">
        <v>2021</v>
      </c>
      <c r="G25" s="1330" t="s">
        <v>2013</v>
      </c>
      <c r="H25" s="1330" t="s">
        <v>1492</v>
      </c>
      <c r="I25" s="1330" t="s">
        <v>1960</v>
      </c>
      <c r="J25" s="1317"/>
      <c r="K25" s="1317"/>
      <c r="L25" s="1317"/>
      <c r="M25" s="1317"/>
      <c r="N25" s="1317"/>
      <c r="O25" s="1317"/>
      <c r="P25" s="1318" t="s">
        <v>803</v>
      </c>
      <c r="Q25" s="1319"/>
      <c r="R25" s="1319"/>
      <c r="S25" s="1320" t="s">
        <v>1961</v>
      </c>
    </row>
    <row r="26" spans="1:21" ht="28.5">
      <c r="A26" s="1315" t="s">
        <v>2022</v>
      </c>
      <c r="B26" s="1315" t="s">
        <v>1</v>
      </c>
      <c r="C26" s="1315" t="s">
        <v>26</v>
      </c>
      <c r="D26" s="1315" t="s">
        <v>1360</v>
      </c>
      <c r="E26" s="1315" t="s">
        <v>2023</v>
      </c>
      <c r="F26" s="1331" t="s">
        <v>1984</v>
      </c>
      <c r="G26" s="1331" t="s">
        <v>2013</v>
      </c>
      <c r="H26" s="1331" t="s">
        <v>1492</v>
      </c>
      <c r="I26" s="1331" t="s">
        <v>1965</v>
      </c>
      <c r="J26" s="1317">
        <v>0</v>
      </c>
      <c r="K26" s="1317">
        <v>0</v>
      </c>
      <c r="L26" s="1317" t="s">
        <v>1966</v>
      </c>
      <c r="M26" s="1317" t="s">
        <v>1966</v>
      </c>
      <c r="N26" s="1317" t="s">
        <v>1966</v>
      </c>
      <c r="O26" s="1317" t="s">
        <v>1966</v>
      </c>
      <c r="P26" s="1317" t="s">
        <v>1966</v>
      </c>
      <c r="Q26" s="1317" t="s">
        <v>1966</v>
      </c>
      <c r="R26" s="1317" t="s">
        <v>1966</v>
      </c>
      <c r="S26" s="1321" t="s">
        <v>1967</v>
      </c>
    </row>
    <row r="27" spans="1:21" ht="28.5">
      <c r="A27" s="1315" t="s">
        <v>2024</v>
      </c>
      <c r="B27" s="1315" t="s">
        <v>1</v>
      </c>
      <c r="C27" s="1315" t="s">
        <v>26</v>
      </c>
      <c r="D27" s="1315" t="s">
        <v>1360</v>
      </c>
      <c r="E27" s="1315" t="s">
        <v>2025</v>
      </c>
      <c r="F27" s="1331" t="s">
        <v>1987</v>
      </c>
      <c r="G27" s="1331" t="s">
        <v>2013</v>
      </c>
      <c r="H27" s="1331" t="s">
        <v>1492</v>
      </c>
      <c r="I27" s="1331" t="s">
        <v>1971</v>
      </c>
      <c r="J27" s="1317">
        <v>0</v>
      </c>
      <c r="K27" s="1317">
        <v>0</v>
      </c>
      <c r="L27" s="1317" t="s">
        <v>1966</v>
      </c>
      <c r="M27" s="1317" t="s">
        <v>1966</v>
      </c>
      <c r="N27" s="1317" t="s">
        <v>1966</v>
      </c>
      <c r="O27" s="1317" t="s">
        <v>1966</v>
      </c>
      <c r="P27" s="1317" t="s">
        <v>1966</v>
      </c>
      <c r="Q27" s="1317" t="s">
        <v>1966</v>
      </c>
      <c r="R27" s="1317" t="s">
        <v>1966</v>
      </c>
      <c r="S27" s="1321" t="s">
        <v>1967</v>
      </c>
    </row>
    <row r="28" spans="1:21" s="899" customFormat="1" ht="28.5">
      <c r="A28" s="1315" t="s">
        <v>2026</v>
      </c>
      <c r="B28" s="1315" t="s">
        <v>1</v>
      </c>
      <c r="C28" s="1315" t="s">
        <v>26</v>
      </c>
      <c r="D28" s="1329" t="s">
        <v>1210</v>
      </c>
      <c r="E28" s="1329" t="s">
        <v>2027</v>
      </c>
      <c r="F28" s="1330" t="s">
        <v>2028</v>
      </c>
      <c r="G28" s="1330" t="s">
        <v>2029</v>
      </c>
      <c r="H28" s="1330" t="s">
        <v>1239</v>
      </c>
      <c r="I28" s="1330" t="s">
        <v>1960</v>
      </c>
      <c r="J28" s="1317"/>
      <c r="K28" s="1317"/>
      <c r="L28" s="1317"/>
      <c r="M28" s="1317"/>
      <c r="N28" s="1317"/>
      <c r="O28" s="1317"/>
      <c r="P28" s="1318" t="s">
        <v>803</v>
      </c>
      <c r="Q28" s="1319"/>
      <c r="R28" s="1319"/>
      <c r="S28" s="1320" t="s">
        <v>1961</v>
      </c>
      <c r="T28" s="1018" t="s">
        <v>2030</v>
      </c>
    </row>
    <row r="29" spans="1:21" ht="28.5">
      <c r="A29" s="1315" t="s">
        <v>2031</v>
      </c>
      <c r="B29" s="1315" t="s">
        <v>1</v>
      </c>
      <c r="C29" s="1315" t="s">
        <v>26</v>
      </c>
      <c r="D29" s="1315" t="s">
        <v>1360</v>
      </c>
      <c r="E29" s="1315" t="s">
        <v>2032</v>
      </c>
      <c r="F29" s="1331" t="s">
        <v>2033</v>
      </c>
      <c r="G29" s="1331" t="s">
        <v>2029</v>
      </c>
      <c r="H29" s="1331" t="s">
        <v>1239</v>
      </c>
      <c r="I29" s="1332" t="s">
        <v>1960</v>
      </c>
      <c r="J29" s="1317" t="s">
        <v>1966</v>
      </c>
      <c r="K29" s="1317" t="s">
        <v>1966</v>
      </c>
      <c r="L29" s="1317" t="s">
        <v>1966</v>
      </c>
      <c r="M29" s="1317" t="s">
        <v>1966</v>
      </c>
      <c r="N29" s="1317" t="s">
        <v>1966</v>
      </c>
      <c r="O29" s="1317" t="s">
        <v>1966</v>
      </c>
      <c r="P29" s="1318" t="s">
        <v>803</v>
      </c>
      <c r="Q29" s="1326"/>
      <c r="R29" s="1326"/>
      <c r="S29" s="1320" t="s">
        <v>1961</v>
      </c>
      <c r="U29" s="900"/>
    </row>
    <row r="30" spans="1:21" ht="42.75">
      <c r="A30" s="1315" t="s">
        <v>2034</v>
      </c>
      <c r="B30" s="1315" t="s">
        <v>1</v>
      </c>
      <c r="C30" s="1315" t="s">
        <v>26</v>
      </c>
      <c r="D30" s="1315" t="s">
        <v>1360</v>
      </c>
      <c r="E30" s="1315" t="s">
        <v>2035</v>
      </c>
      <c r="F30" s="1331" t="s">
        <v>2036</v>
      </c>
      <c r="G30" s="1331" t="s">
        <v>2037</v>
      </c>
      <c r="H30" s="1331" t="s">
        <v>1239</v>
      </c>
      <c r="I30" s="1332" t="s">
        <v>1960</v>
      </c>
      <c r="J30" s="1317" t="s">
        <v>1966</v>
      </c>
      <c r="K30" s="1317" t="s">
        <v>1966</v>
      </c>
      <c r="L30" s="1317" t="s">
        <v>1966</v>
      </c>
      <c r="M30" s="1317" t="s">
        <v>1966</v>
      </c>
      <c r="N30" s="1317" t="s">
        <v>1966</v>
      </c>
      <c r="O30" s="1317" t="s">
        <v>1966</v>
      </c>
      <c r="P30" s="1318" t="s">
        <v>803</v>
      </c>
      <c r="Q30" s="1326"/>
      <c r="R30" s="1326"/>
      <c r="S30" s="1320" t="s">
        <v>1961</v>
      </c>
      <c r="U30" s="900"/>
    </row>
    <row r="31" spans="1:21" s="899" customFormat="1" ht="28.5">
      <c r="A31" s="1315" t="s">
        <v>2038</v>
      </c>
      <c r="B31" s="1315" t="s">
        <v>1</v>
      </c>
      <c r="C31" s="1315" t="s">
        <v>26</v>
      </c>
      <c r="D31" s="1329" t="s">
        <v>1210</v>
      </c>
      <c r="E31" s="1329" t="s">
        <v>1464</v>
      </c>
      <c r="F31" s="1330" t="s">
        <v>2039</v>
      </c>
      <c r="G31" s="1330" t="s">
        <v>2040</v>
      </c>
      <c r="H31" s="1330" t="s">
        <v>1239</v>
      </c>
      <c r="I31" s="1330" t="s">
        <v>1960</v>
      </c>
      <c r="J31" s="1317"/>
      <c r="K31" s="1317"/>
      <c r="L31" s="1317"/>
      <c r="M31" s="1317"/>
      <c r="N31" s="1317"/>
      <c r="O31" s="1317"/>
      <c r="P31" s="1318" t="s">
        <v>803</v>
      </c>
      <c r="Q31" s="1319"/>
      <c r="R31" s="1319"/>
      <c r="S31" s="1320" t="s">
        <v>1961</v>
      </c>
      <c r="T31" s="1018" t="s">
        <v>2041</v>
      </c>
    </row>
    <row r="32" spans="1:21" s="899" customFormat="1" ht="28.5">
      <c r="A32" s="1329" t="s">
        <v>2042</v>
      </c>
      <c r="B32" s="1315" t="s">
        <v>1</v>
      </c>
      <c r="C32" s="1329" t="s">
        <v>26</v>
      </c>
      <c r="D32" s="1329" t="s">
        <v>1360</v>
      </c>
      <c r="E32" s="1329" t="s">
        <v>1540</v>
      </c>
      <c r="F32" s="1330" t="s">
        <v>2043</v>
      </c>
      <c r="G32" s="1330" t="s">
        <v>2044</v>
      </c>
      <c r="H32" s="1330" t="s">
        <v>1239</v>
      </c>
      <c r="I32" s="1330" t="s">
        <v>1960</v>
      </c>
      <c r="J32" s="1317" t="s">
        <v>1966</v>
      </c>
      <c r="K32" s="1317" t="s">
        <v>1966</v>
      </c>
      <c r="L32" s="1317" t="s">
        <v>1966</v>
      </c>
      <c r="M32" s="1317" t="s">
        <v>1966</v>
      </c>
      <c r="N32" s="1317" t="s">
        <v>1966</v>
      </c>
      <c r="O32" s="1317" t="s">
        <v>1966</v>
      </c>
      <c r="P32" s="1317" t="s">
        <v>2045</v>
      </c>
      <c r="Q32" s="1317" t="s">
        <v>1966</v>
      </c>
      <c r="R32" s="1317" t="s">
        <v>1966</v>
      </c>
      <c r="S32" s="1321" t="s">
        <v>2046</v>
      </c>
    </row>
    <row r="33" spans="1:21" s="900" customFormat="1" ht="28.5">
      <c r="A33" s="1315" t="s">
        <v>2047</v>
      </c>
      <c r="B33" s="1315" t="s">
        <v>1</v>
      </c>
      <c r="C33" s="1315" t="s">
        <v>26</v>
      </c>
      <c r="D33" s="1315" t="s">
        <v>1360</v>
      </c>
      <c r="E33" s="1315" t="s">
        <v>2048</v>
      </c>
      <c r="F33" s="1331" t="s">
        <v>2049</v>
      </c>
      <c r="G33" s="1333" t="s">
        <v>2044</v>
      </c>
      <c r="H33" s="1331" t="s">
        <v>1239</v>
      </c>
      <c r="I33" s="1331" t="s">
        <v>2050</v>
      </c>
      <c r="J33" s="1317" t="s">
        <v>1966</v>
      </c>
      <c r="K33" s="1317" t="s">
        <v>1966</v>
      </c>
      <c r="L33" s="1317" t="s">
        <v>1966</v>
      </c>
      <c r="M33" s="1317" t="s">
        <v>1966</v>
      </c>
      <c r="N33" s="1317" t="s">
        <v>1966</v>
      </c>
      <c r="O33" s="1317" t="s">
        <v>1966</v>
      </c>
      <c r="P33" s="1317" t="s">
        <v>1966</v>
      </c>
      <c r="Q33" s="1317" t="s">
        <v>1966</v>
      </c>
      <c r="R33" s="1317" t="s">
        <v>1966</v>
      </c>
      <c r="S33" s="1321" t="s">
        <v>1967</v>
      </c>
      <c r="U33" s="1310"/>
    </row>
    <row r="34" spans="1:21" s="900" customFormat="1" ht="28.5">
      <c r="A34" s="1315" t="s">
        <v>2051</v>
      </c>
      <c r="B34" s="1315" t="s">
        <v>1</v>
      </c>
      <c r="C34" s="1315" t="s">
        <v>26</v>
      </c>
      <c r="D34" s="1315" t="s">
        <v>1360</v>
      </c>
      <c r="E34" s="1315" t="s">
        <v>2052</v>
      </c>
      <c r="F34" s="1331" t="s">
        <v>2053</v>
      </c>
      <c r="G34" s="1333" t="s">
        <v>2044</v>
      </c>
      <c r="H34" s="1331" t="s">
        <v>1239</v>
      </c>
      <c r="I34" s="1331" t="s">
        <v>2054</v>
      </c>
      <c r="J34" s="1317" t="s">
        <v>1966</v>
      </c>
      <c r="K34" s="1317" t="s">
        <v>1966</v>
      </c>
      <c r="L34" s="1317" t="s">
        <v>1966</v>
      </c>
      <c r="M34" s="1317" t="s">
        <v>1966</v>
      </c>
      <c r="N34" s="1317" t="s">
        <v>1966</v>
      </c>
      <c r="O34" s="1317" t="s">
        <v>1966</v>
      </c>
      <c r="P34" s="1317" t="s">
        <v>1966</v>
      </c>
      <c r="Q34" s="1317" t="s">
        <v>1966</v>
      </c>
      <c r="R34" s="1317" t="s">
        <v>1966</v>
      </c>
      <c r="S34" s="1321" t="s">
        <v>1967</v>
      </c>
      <c r="U34" s="1018"/>
    </row>
    <row r="35" spans="1:21" s="900" customFormat="1" ht="28.5">
      <c r="A35" s="1315" t="s">
        <v>2055</v>
      </c>
      <c r="B35" s="1315" t="s">
        <v>1</v>
      </c>
      <c r="C35" s="1315" t="s">
        <v>26</v>
      </c>
      <c r="D35" s="1315" t="s">
        <v>1360</v>
      </c>
      <c r="E35" s="1315" t="s">
        <v>2056</v>
      </c>
      <c r="F35" s="1331" t="s">
        <v>2057</v>
      </c>
      <c r="G35" s="1333" t="s">
        <v>2044</v>
      </c>
      <c r="H35" s="1331" t="s">
        <v>1239</v>
      </c>
      <c r="I35" s="1331" t="s">
        <v>2058</v>
      </c>
      <c r="J35" s="1317" t="s">
        <v>1966</v>
      </c>
      <c r="K35" s="1317" t="s">
        <v>1966</v>
      </c>
      <c r="L35" s="1317" t="s">
        <v>1966</v>
      </c>
      <c r="M35" s="1317" t="s">
        <v>1966</v>
      </c>
      <c r="N35" s="1317" t="s">
        <v>1966</v>
      </c>
      <c r="O35" s="1317" t="s">
        <v>1966</v>
      </c>
      <c r="P35" s="1317" t="s">
        <v>1966</v>
      </c>
      <c r="Q35" s="1317" t="s">
        <v>1966</v>
      </c>
      <c r="R35" s="1317" t="s">
        <v>1966</v>
      </c>
      <c r="S35" s="1321" t="s">
        <v>1967</v>
      </c>
      <c r="U35" s="899"/>
    </row>
    <row r="36" spans="1:21" s="899" customFormat="1" ht="28.5">
      <c r="A36" s="1329" t="s">
        <v>2059</v>
      </c>
      <c r="B36" s="1315" t="s">
        <v>1</v>
      </c>
      <c r="C36" s="1329" t="s">
        <v>26</v>
      </c>
      <c r="D36" s="1329" t="s">
        <v>1360</v>
      </c>
      <c r="E36" s="1329" t="s">
        <v>1643</v>
      </c>
      <c r="F36" s="1330" t="s">
        <v>2060</v>
      </c>
      <c r="G36" s="1330" t="s">
        <v>1254</v>
      </c>
      <c r="H36" s="1330" t="s">
        <v>1239</v>
      </c>
      <c r="I36" s="1330" t="s">
        <v>1960</v>
      </c>
      <c r="J36" s="1317" t="s">
        <v>1966</v>
      </c>
      <c r="K36" s="1317" t="s">
        <v>1966</v>
      </c>
      <c r="L36" s="1317" t="s">
        <v>1966</v>
      </c>
      <c r="M36" s="1317" t="s">
        <v>1966</v>
      </c>
      <c r="N36" s="1317" t="s">
        <v>1966</v>
      </c>
      <c r="O36" s="1317" t="s">
        <v>1966</v>
      </c>
      <c r="P36" s="1317" t="s">
        <v>2045</v>
      </c>
      <c r="Q36" s="1317" t="s">
        <v>1966</v>
      </c>
      <c r="R36" s="1317" t="s">
        <v>1966</v>
      </c>
      <c r="S36" s="1321" t="s">
        <v>2046</v>
      </c>
      <c r="U36" s="899" t="s">
        <v>1254</v>
      </c>
    </row>
    <row r="37" spans="1:21" s="1310" customFormat="1" ht="28.5">
      <c r="A37" s="1315" t="s">
        <v>2061</v>
      </c>
      <c r="B37" s="1315" t="s">
        <v>1</v>
      </c>
      <c r="C37" s="1315" t="s">
        <v>26</v>
      </c>
      <c r="D37" s="1315" t="s">
        <v>1360</v>
      </c>
      <c r="E37" s="1315" t="s">
        <v>2062</v>
      </c>
      <c r="F37" s="1331" t="s">
        <v>2063</v>
      </c>
      <c r="G37" s="1331" t="s">
        <v>1254</v>
      </c>
      <c r="H37" s="1331" t="s">
        <v>1239</v>
      </c>
      <c r="I37" s="1331" t="s">
        <v>2050</v>
      </c>
      <c r="J37" s="1317" t="s">
        <v>1966</v>
      </c>
      <c r="K37" s="1317" t="s">
        <v>1966</v>
      </c>
      <c r="L37" s="1317" t="s">
        <v>1966</v>
      </c>
      <c r="M37" s="1317" t="s">
        <v>1966</v>
      </c>
      <c r="N37" s="1317" t="s">
        <v>1966</v>
      </c>
      <c r="O37" s="1317" t="s">
        <v>1966</v>
      </c>
      <c r="P37" s="1317" t="s">
        <v>1966</v>
      </c>
      <c r="Q37" s="1317" t="s">
        <v>1966</v>
      </c>
      <c r="R37" s="1317" t="s">
        <v>1966</v>
      </c>
      <c r="S37" s="1321" t="s">
        <v>1967</v>
      </c>
      <c r="T37" s="900"/>
      <c r="U37" s="1018" t="s">
        <v>1271</v>
      </c>
    </row>
    <row r="38" spans="1:21" s="1310" customFormat="1" ht="28.5">
      <c r="A38" s="1315" t="s">
        <v>2064</v>
      </c>
      <c r="B38" s="1315" t="s">
        <v>1</v>
      </c>
      <c r="C38" s="1315" t="s">
        <v>26</v>
      </c>
      <c r="D38" s="1315" t="s">
        <v>1360</v>
      </c>
      <c r="E38" s="1315" t="s">
        <v>2065</v>
      </c>
      <c r="F38" s="1331" t="s">
        <v>2066</v>
      </c>
      <c r="G38" s="1331" t="s">
        <v>1254</v>
      </c>
      <c r="H38" s="1331" t="s">
        <v>1239</v>
      </c>
      <c r="I38" s="1331" t="s">
        <v>2054</v>
      </c>
      <c r="J38" s="1317" t="s">
        <v>1966</v>
      </c>
      <c r="K38" s="1317" t="s">
        <v>1966</v>
      </c>
      <c r="L38" s="1317" t="s">
        <v>1966</v>
      </c>
      <c r="M38" s="1317" t="s">
        <v>1966</v>
      </c>
      <c r="N38" s="1317" t="s">
        <v>1966</v>
      </c>
      <c r="O38" s="1317" t="s">
        <v>1966</v>
      </c>
      <c r="P38" s="1317" t="s">
        <v>1966</v>
      </c>
      <c r="Q38" s="1317" t="s">
        <v>1966</v>
      </c>
      <c r="R38" s="1317" t="s">
        <v>1966</v>
      </c>
      <c r="S38" s="1321" t="s">
        <v>1967</v>
      </c>
      <c r="T38" s="900"/>
      <c r="U38" s="1018" t="s">
        <v>2067</v>
      </c>
    </row>
    <row r="39" spans="1:21" s="1310" customFormat="1" ht="28.5">
      <c r="A39" s="1315" t="s">
        <v>2068</v>
      </c>
      <c r="B39" s="1315" t="s">
        <v>1</v>
      </c>
      <c r="C39" s="1315" t="s">
        <v>26</v>
      </c>
      <c r="D39" s="1315" t="s">
        <v>1360</v>
      </c>
      <c r="E39" s="1315" t="s">
        <v>2069</v>
      </c>
      <c r="F39" s="1331" t="s">
        <v>2070</v>
      </c>
      <c r="G39" s="1331" t="s">
        <v>1254</v>
      </c>
      <c r="H39" s="1331" t="s">
        <v>1239</v>
      </c>
      <c r="I39" s="1331" t="s">
        <v>2058</v>
      </c>
      <c r="J39" s="1317" t="s">
        <v>1966</v>
      </c>
      <c r="K39" s="1317" t="s">
        <v>1966</v>
      </c>
      <c r="L39" s="1317" t="s">
        <v>1966</v>
      </c>
      <c r="M39" s="1317" t="s">
        <v>1966</v>
      </c>
      <c r="N39" s="1317" t="s">
        <v>1966</v>
      </c>
      <c r="O39" s="1317" t="s">
        <v>1966</v>
      </c>
      <c r="P39" s="1317" t="s">
        <v>1966</v>
      </c>
      <c r="Q39" s="1317" t="s">
        <v>1966</v>
      </c>
      <c r="R39" s="1317" t="s">
        <v>1966</v>
      </c>
      <c r="S39" s="1321" t="s">
        <v>1967</v>
      </c>
      <c r="T39" s="900"/>
      <c r="U39" s="899"/>
    </row>
    <row r="40" spans="1:21" s="899" customFormat="1" ht="28.5">
      <c r="A40" s="1329" t="s">
        <v>2071</v>
      </c>
      <c r="B40" s="1315" t="s">
        <v>1</v>
      </c>
      <c r="C40" s="1329" t="s">
        <v>26</v>
      </c>
      <c r="D40" s="1329" t="s">
        <v>1360</v>
      </c>
      <c r="E40" s="1329" t="s">
        <v>1655</v>
      </c>
      <c r="F40" s="1330" t="s">
        <v>2072</v>
      </c>
      <c r="G40" s="1330" t="s">
        <v>1252</v>
      </c>
      <c r="H40" s="1330" t="s">
        <v>1239</v>
      </c>
      <c r="I40" s="1330" t="s">
        <v>1960</v>
      </c>
      <c r="J40" s="1317" t="s">
        <v>1966</v>
      </c>
      <c r="K40" s="1317" t="s">
        <v>1966</v>
      </c>
      <c r="L40" s="1317" t="s">
        <v>1966</v>
      </c>
      <c r="M40" s="1317" t="s">
        <v>1966</v>
      </c>
      <c r="N40" s="1317" t="s">
        <v>1966</v>
      </c>
      <c r="O40" s="1317" t="s">
        <v>1966</v>
      </c>
      <c r="P40" s="1317" t="s">
        <v>2045</v>
      </c>
      <c r="Q40" s="1317" t="s">
        <v>1966</v>
      </c>
      <c r="R40" s="1317" t="s">
        <v>1966</v>
      </c>
      <c r="S40" s="1321" t="s">
        <v>2046</v>
      </c>
      <c r="U40" s="899" t="s">
        <v>1252</v>
      </c>
    </row>
    <row r="41" spans="1:21" s="1310" customFormat="1" ht="28.5">
      <c r="A41" s="1315" t="s">
        <v>2073</v>
      </c>
      <c r="B41" s="1315" t="s">
        <v>1</v>
      </c>
      <c r="C41" s="1315" t="s">
        <v>26</v>
      </c>
      <c r="D41" s="1315" t="s">
        <v>1360</v>
      </c>
      <c r="E41" s="1315" t="s">
        <v>2074</v>
      </c>
      <c r="F41" s="1331" t="s">
        <v>2075</v>
      </c>
      <c r="G41" s="1331" t="s">
        <v>1252</v>
      </c>
      <c r="H41" s="1331" t="s">
        <v>1239</v>
      </c>
      <c r="I41" s="1331" t="s">
        <v>2050</v>
      </c>
      <c r="J41" s="1317" t="s">
        <v>1966</v>
      </c>
      <c r="K41" s="1317" t="s">
        <v>1966</v>
      </c>
      <c r="L41" s="1317" t="s">
        <v>1966</v>
      </c>
      <c r="M41" s="1317" t="s">
        <v>1966</v>
      </c>
      <c r="N41" s="1317" t="s">
        <v>1966</v>
      </c>
      <c r="O41" s="1317" t="s">
        <v>1966</v>
      </c>
      <c r="P41" s="1317" t="s">
        <v>1966</v>
      </c>
      <c r="Q41" s="1317" t="s">
        <v>1966</v>
      </c>
      <c r="R41" s="1317" t="s">
        <v>1966</v>
      </c>
      <c r="S41" s="1321" t="s">
        <v>1967</v>
      </c>
      <c r="T41" s="900"/>
      <c r="U41" s="1018" t="s">
        <v>1269</v>
      </c>
    </row>
    <row r="42" spans="1:21" s="1310" customFormat="1" ht="28.5">
      <c r="A42" s="1315" t="s">
        <v>2076</v>
      </c>
      <c r="B42" s="1315" t="s">
        <v>1</v>
      </c>
      <c r="C42" s="1315" t="s">
        <v>26</v>
      </c>
      <c r="D42" s="1315" t="s">
        <v>1360</v>
      </c>
      <c r="E42" s="1315" t="s">
        <v>2077</v>
      </c>
      <c r="F42" s="1331" t="s">
        <v>2078</v>
      </c>
      <c r="G42" s="1331" t="s">
        <v>1252</v>
      </c>
      <c r="H42" s="1331" t="s">
        <v>1239</v>
      </c>
      <c r="I42" s="1331" t="s">
        <v>2054</v>
      </c>
      <c r="J42" s="1317" t="s">
        <v>1966</v>
      </c>
      <c r="K42" s="1317" t="s">
        <v>1966</v>
      </c>
      <c r="L42" s="1317" t="s">
        <v>1966</v>
      </c>
      <c r="M42" s="1317" t="s">
        <v>1966</v>
      </c>
      <c r="N42" s="1317" t="s">
        <v>1966</v>
      </c>
      <c r="O42" s="1317" t="s">
        <v>1966</v>
      </c>
      <c r="P42" s="1317" t="s">
        <v>1966</v>
      </c>
      <c r="Q42" s="1317" t="s">
        <v>1966</v>
      </c>
      <c r="R42" s="1317" t="s">
        <v>1966</v>
      </c>
      <c r="S42" s="1321" t="s">
        <v>1967</v>
      </c>
      <c r="T42" s="900"/>
      <c r="U42" s="1018" t="s">
        <v>2079</v>
      </c>
    </row>
    <row r="43" spans="1:21" s="1310" customFormat="1" ht="28.5">
      <c r="A43" s="1315" t="s">
        <v>2080</v>
      </c>
      <c r="B43" s="1315" t="s">
        <v>1</v>
      </c>
      <c r="C43" s="1315" t="s">
        <v>26</v>
      </c>
      <c r="D43" s="1315" t="s">
        <v>1360</v>
      </c>
      <c r="E43" s="1315" t="s">
        <v>2081</v>
      </c>
      <c r="F43" s="1331" t="s">
        <v>2082</v>
      </c>
      <c r="G43" s="1331" t="s">
        <v>1252</v>
      </c>
      <c r="H43" s="1331" t="s">
        <v>1239</v>
      </c>
      <c r="I43" s="1331" t="s">
        <v>2058</v>
      </c>
      <c r="J43" s="1317" t="s">
        <v>1966</v>
      </c>
      <c r="K43" s="1317" t="s">
        <v>1966</v>
      </c>
      <c r="L43" s="1317" t="s">
        <v>1966</v>
      </c>
      <c r="M43" s="1317" t="s">
        <v>1966</v>
      </c>
      <c r="N43" s="1317" t="s">
        <v>1966</v>
      </c>
      <c r="O43" s="1317" t="s">
        <v>1966</v>
      </c>
      <c r="P43" s="1317" t="s">
        <v>1966</v>
      </c>
      <c r="Q43" s="1317" t="s">
        <v>1966</v>
      </c>
      <c r="R43" s="1317" t="s">
        <v>1966</v>
      </c>
      <c r="S43" s="1321" t="s">
        <v>1967</v>
      </c>
      <c r="T43" s="900"/>
      <c r="U43" s="899"/>
    </row>
    <row r="44" spans="1:21" s="1327" customFormat="1" ht="28.5">
      <c r="A44" s="1329" t="s">
        <v>2083</v>
      </c>
      <c r="B44" s="1315" t="s">
        <v>1</v>
      </c>
      <c r="C44" s="1329" t="s">
        <v>26</v>
      </c>
      <c r="D44" s="1329" t="s">
        <v>1360</v>
      </c>
      <c r="E44" s="1329" t="s">
        <v>2084</v>
      </c>
      <c r="F44" s="1330" t="s">
        <v>2085</v>
      </c>
      <c r="G44" s="1330" t="s">
        <v>1256</v>
      </c>
      <c r="H44" s="1330" t="s">
        <v>1239</v>
      </c>
      <c r="I44" s="1330" t="s">
        <v>1960</v>
      </c>
      <c r="J44" s="1317" t="s">
        <v>1966</v>
      </c>
      <c r="K44" s="1317" t="s">
        <v>1966</v>
      </c>
      <c r="L44" s="1317" t="s">
        <v>1966</v>
      </c>
      <c r="M44" s="1317" t="s">
        <v>1966</v>
      </c>
      <c r="N44" s="1317" t="s">
        <v>1966</v>
      </c>
      <c r="O44" s="1317" t="s">
        <v>1966</v>
      </c>
      <c r="P44" s="1317" t="s">
        <v>2045</v>
      </c>
      <c r="Q44" s="1317" t="s">
        <v>1966</v>
      </c>
      <c r="R44" s="1317" t="s">
        <v>1966</v>
      </c>
      <c r="S44" s="1321" t="s">
        <v>2046</v>
      </c>
      <c r="T44" s="901"/>
      <c r="U44" s="899" t="s">
        <v>1256</v>
      </c>
    </row>
    <row r="45" spans="1:21" s="1310" customFormat="1" ht="28.5">
      <c r="A45" s="1315" t="s">
        <v>2086</v>
      </c>
      <c r="B45" s="1315" t="s">
        <v>1</v>
      </c>
      <c r="C45" s="1315" t="s">
        <v>26</v>
      </c>
      <c r="D45" s="1315" t="s">
        <v>1360</v>
      </c>
      <c r="E45" s="1315" t="s">
        <v>2087</v>
      </c>
      <c r="F45" s="1331" t="s">
        <v>2088</v>
      </c>
      <c r="G45" s="1333" t="s">
        <v>1256</v>
      </c>
      <c r="H45" s="1333" t="s">
        <v>1239</v>
      </c>
      <c r="I45" s="1333" t="s">
        <v>2050</v>
      </c>
      <c r="J45" s="1317" t="s">
        <v>1966</v>
      </c>
      <c r="K45" s="1317" t="s">
        <v>1966</v>
      </c>
      <c r="L45" s="1317" t="s">
        <v>1966</v>
      </c>
      <c r="M45" s="1317" t="s">
        <v>1966</v>
      </c>
      <c r="N45" s="1317" t="s">
        <v>1966</v>
      </c>
      <c r="O45" s="1317" t="s">
        <v>1966</v>
      </c>
      <c r="P45" s="1317" t="s">
        <v>1966</v>
      </c>
      <c r="Q45" s="1317" t="s">
        <v>1966</v>
      </c>
      <c r="R45" s="1317" t="s">
        <v>1966</v>
      </c>
      <c r="S45" s="1321" t="s">
        <v>1967</v>
      </c>
      <c r="T45" s="900"/>
      <c r="U45" s="1018" t="s">
        <v>1273</v>
      </c>
    </row>
    <row r="46" spans="1:21" s="1310" customFormat="1" ht="28.5">
      <c r="A46" s="1315" t="s">
        <v>2089</v>
      </c>
      <c r="B46" s="1315" t="s">
        <v>1</v>
      </c>
      <c r="C46" s="1315" t="s">
        <v>26</v>
      </c>
      <c r="D46" s="1315" t="s">
        <v>1360</v>
      </c>
      <c r="E46" s="1315" t="s">
        <v>2090</v>
      </c>
      <c r="F46" s="1331" t="s">
        <v>2091</v>
      </c>
      <c r="G46" s="1333" t="s">
        <v>1256</v>
      </c>
      <c r="H46" s="1333" t="s">
        <v>1239</v>
      </c>
      <c r="I46" s="1333" t="s">
        <v>2054</v>
      </c>
      <c r="J46" s="1317" t="s">
        <v>1966</v>
      </c>
      <c r="K46" s="1317" t="s">
        <v>1966</v>
      </c>
      <c r="L46" s="1317" t="s">
        <v>1966</v>
      </c>
      <c r="M46" s="1317" t="s">
        <v>1966</v>
      </c>
      <c r="N46" s="1317" t="s">
        <v>1966</v>
      </c>
      <c r="O46" s="1317" t="s">
        <v>1966</v>
      </c>
      <c r="P46" s="1317" t="s">
        <v>1966</v>
      </c>
      <c r="Q46" s="1317" t="s">
        <v>1966</v>
      </c>
      <c r="R46" s="1317" t="s">
        <v>1966</v>
      </c>
      <c r="S46" s="1321" t="s">
        <v>1967</v>
      </c>
      <c r="T46" s="900"/>
      <c r="U46" s="1018" t="s">
        <v>2092</v>
      </c>
    </row>
    <row r="47" spans="1:21" s="1310" customFormat="1" ht="28.5">
      <c r="A47" s="1315" t="s">
        <v>2093</v>
      </c>
      <c r="B47" s="1315" t="s">
        <v>1</v>
      </c>
      <c r="C47" s="1315" t="s">
        <v>26</v>
      </c>
      <c r="D47" s="1315" t="s">
        <v>1360</v>
      </c>
      <c r="E47" s="1315" t="s">
        <v>2094</v>
      </c>
      <c r="F47" s="1331" t="s">
        <v>2095</v>
      </c>
      <c r="G47" s="1331" t="s">
        <v>1256</v>
      </c>
      <c r="H47" s="1331" t="s">
        <v>1239</v>
      </c>
      <c r="I47" s="1333" t="s">
        <v>2058</v>
      </c>
      <c r="J47" s="1317" t="s">
        <v>1966</v>
      </c>
      <c r="K47" s="1317" t="s">
        <v>1966</v>
      </c>
      <c r="L47" s="1317" t="s">
        <v>1966</v>
      </c>
      <c r="M47" s="1317" t="s">
        <v>1966</v>
      </c>
      <c r="N47" s="1317" t="s">
        <v>1966</v>
      </c>
      <c r="O47" s="1317" t="s">
        <v>1966</v>
      </c>
      <c r="P47" s="1317" t="s">
        <v>1966</v>
      </c>
      <c r="Q47" s="1317" t="s">
        <v>1966</v>
      </c>
      <c r="R47" s="1317" t="s">
        <v>1966</v>
      </c>
      <c r="S47" s="1321" t="s">
        <v>1967</v>
      </c>
      <c r="T47" s="900"/>
      <c r="U47" s="899"/>
    </row>
    <row r="48" spans="1:21" s="901" customFormat="1" ht="28.5">
      <c r="A48" s="1329" t="s">
        <v>2096</v>
      </c>
      <c r="B48" s="1315" t="s">
        <v>1</v>
      </c>
      <c r="C48" s="1329" t="s">
        <v>26</v>
      </c>
      <c r="D48" s="1329" t="s">
        <v>1360</v>
      </c>
      <c r="E48" s="1329" t="s">
        <v>1469</v>
      </c>
      <c r="F48" s="1330" t="s">
        <v>2097</v>
      </c>
      <c r="G48" s="1330" t="s">
        <v>2098</v>
      </c>
      <c r="H48" s="1330" t="s">
        <v>1239</v>
      </c>
      <c r="I48" s="1330" t="s">
        <v>1960</v>
      </c>
      <c r="J48" s="1317" t="s">
        <v>1966</v>
      </c>
      <c r="K48" s="1317" t="s">
        <v>1966</v>
      </c>
      <c r="L48" s="1317" t="s">
        <v>1966</v>
      </c>
      <c r="M48" s="1317" t="s">
        <v>1966</v>
      </c>
      <c r="N48" s="1317" t="s">
        <v>1966</v>
      </c>
      <c r="O48" s="1317" t="s">
        <v>1966</v>
      </c>
      <c r="P48" s="1317" t="s">
        <v>1966</v>
      </c>
      <c r="Q48" s="1317" t="s">
        <v>1966</v>
      </c>
      <c r="R48" s="1317" t="s">
        <v>1966</v>
      </c>
      <c r="S48" s="1321" t="s">
        <v>2099</v>
      </c>
      <c r="U48" s="899"/>
    </row>
    <row r="49" spans="1:21" s="901" customFormat="1" ht="28.5">
      <c r="A49" s="1329" t="s">
        <v>2100</v>
      </c>
      <c r="B49" s="1315" t="s">
        <v>1</v>
      </c>
      <c r="C49" s="1329" t="s">
        <v>26</v>
      </c>
      <c r="D49" s="1329" t="s">
        <v>1360</v>
      </c>
      <c r="E49" s="1329" t="s">
        <v>2101</v>
      </c>
      <c r="F49" s="1330" t="s">
        <v>2102</v>
      </c>
      <c r="G49" s="1330" t="s">
        <v>2098</v>
      </c>
      <c r="H49" s="1330" t="s">
        <v>1239</v>
      </c>
      <c r="I49" s="1330" t="s">
        <v>1960</v>
      </c>
      <c r="J49" s="1317" t="s">
        <v>1966</v>
      </c>
      <c r="K49" s="1317" t="s">
        <v>1966</v>
      </c>
      <c r="L49" s="1317" t="s">
        <v>1966</v>
      </c>
      <c r="M49" s="1317" t="s">
        <v>1966</v>
      </c>
      <c r="N49" s="1317" t="s">
        <v>1966</v>
      </c>
      <c r="O49" s="1317" t="s">
        <v>1966</v>
      </c>
      <c r="P49" s="1317" t="s">
        <v>1966</v>
      </c>
      <c r="Q49" s="1317" t="s">
        <v>1966</v>
      </c>
      <c r="R49" s="1317" t="s">
        <v>1966</v>
      </c>
      <c r="S49" s="1321" t="s">
        <v>2099</v>
      </c>
      <c r="U49" s="899"/>
    </row>
    <row r="50" spans="1:21" s="901" customFormat="1" ht="28.5">
      <c r="A50" s="1329" t="s">
        <v>2103</v>
      </c>
      <c r="B50" s="1315" t="s">
        <v>1</v>
      </c>
      <c r="C50" s="1329" t="s">
        <v>26</v>
      </c>
      <c r="D50" s="1329" t="s">
        <v>1360</v>
      </c>
      <c r="E50" s="1329" t="s">
        <v>2104</v>
      </c>
      <c r="F50" s="1330" t="s">
        <v>2105</v>
      </c>
      <c r="G50" s="1330" t="s">
        <v>2098</v>
      </c>
      <c r="H50" s="1330" t="s">
        <v>1239</v>
      </c>
      <c r="I50" s="1330" t="s">
        <v>1960</v>
      </c>
      <c r="J50" s="1317" t="s">
        <v>1966</v>
      </c>
      <c r="K50" s="1317" t="s">
        <v>1966</v>
      </c>
      <c r="L50" s="1317" t="s">
        <v>1966</v>
      </c>
      <c r="M50" s="1317" t="s">
        <v>1966</v>
      </c>
      <c r="N50" s="1317" t="s">
        <v>1966</v>
      </c>
      <c r="O50" s="1317" t="s">
        <v>1966</v>
      </c>
      <c r="P50" s="1317" t="s">
        <v>1966</v>
      </c>
      <c r="Q50" s="1317" t="s">
        <v>1966</v>
      </c>
      <c r="R50" s="1317" t="s">
        <v>1966</v>
      </c>
      <c r="S50" s="1321" t="s">
        <v>2099</v>
      </c>
      <c r="U50" s="899"/>
    </row>
    <row r="51" spans="1:21" s="899" customFormat="1" ht="28.5">
      <c r="A51" s="1329" t="s">
        <v>2106</v>
      </c>
      <c r="B51" s="1315" t="s">
        <v>1</v>
      </c>
      <c r="C51" s="1329" t="s">
        <v>26</v>
      </c>
      <c r="D51" s="1329" t="s">
        <v>1360</v>
      </c>
      <c r="E51" s="1329" t="s">
        <v>1490</v>
      </c>
      <c r="F51" s="1330" t="s">
        <v>2107</v>
      </c>
      <c r="G51" s="1330" t="s">
        <v>2040</v>
      </c>
      <c r="H51" s="1330" t="s">
        <v>1239</v>
      </c>
      <c r="I51" s="1330" t="s">
        <v>1960</v>
      </c>
      <c r="J51" s="1317" t="s">
        <v>1966</v>
      </c>
      <c r="K51" s="1317" t="s">
        <v>1966</v>
      </c>
      <c r="L51" s="1317" t="s">
        <v>1966</v>
      </c>
      <c r="M51" s="1317" t="s">
        <v>1966</v>
      </c>
      <c r="N51" s="1317" t="s">
        <v>1966</v>
      </c>
      <c r="O51" s="1317" t="s">
        <v>1966</v>
      </c>
      <c r="P51" s="1317" t="s">
        <v>2045</v>
      </c>
      <c r="Q51" s="1317" t="s">
        <v>1966</v>
      </c>
      <c r="R51" s="1317" t="s">
        <v>1966</v>
      </c>
      <c r="S51" s="1321" t="s">
        <v>2046</v>
      </c>
    </row>
    <row r="52" spans="1:21" ht="42.75">
      <c r="A52" s="1315" t="s">
        <v>2108</v>
      </c>
      <c r="B52" s="1315" t="s">
        <v>1</v>
      </c>
      <c r="C52" s="1315" t="s">
        <v>26</v>
      </c>
      <c r="D52" s="1315" t="s">
        <v>1360</v>
      </c>
      <c r="E52" s="1315" t="s">
        <v>2109</v>
      </c>
      <c r="F52" s="1331" t="s">
        <v>2110</v>
      </c>
      <c r="G52" s="1331" t="s">
        <v>2098</v>
      </c>
      <c r="H52" s="1331" t="s">
        <v>1239</v>
      </c>
      <c r="I52" s="1331" t="s">
        <v>1960</v>
      </c>
      <c r="J52" s="1317" t="s">
        <v>1966</v>
      </c>
      <c r="K52" s="1317" t="s">
        <v>1966</v>
      </c>
      <c r="L52" s="1317" t="s">
        <v>1966</v>
      </c>
      <c r="M52" s="1317" t="s">
        <v>1966</v>
      </c>
      <c r="N52" s="1317" t="s">
        <v>1966</v>
      </c>
      <c r="O52" s="1317" t="s">
        <v>1966</v>
      </c>
      <c r="P52" s="1317" t="s">
        <v>1966</v>
      </c>
      <c r="Q52" s="1317" t="s">
        <v>1966</v>
      </c>
      <c r="R52" s="1317" t="s">
        <v>1966</v>
      </c>
      <c r="S52" s="1321" t="s">
        <v>1967</v>
      </c>
    </row>
    <row r="53" spans="1:21" ht="28.5">
      <c r="A53" s="1315" t="s">
        <v>2111</v>
      </c>
      <c r="B53" s="1315" t="s">
        <v>1</v>
      </c>
      <c r="C53" s="1315" t="s">
        <v>26</v>
      </c>
      <c r="D53" s="1315" t="s">
        <v>1360</v>
      </c>
      <c r="E53" s="1315" t="s">
        <v>2112</v>
      </c>
      <c r="F53" s="1331" t="s">
        <v>2113</v>
      </c>
      <c r="G53" s="1331" t="s">
        <v>2098</v>
      </c>
      <c r="H53" s="1331" t="s">
        <v>1239</v>
      </c>
      <c r="I53" s="1331" t="s">
        <v>1960</v>
      </c>
      <c r="J53" s="1317" t="s">
        <v>1966</v>
      </c>
      <c r="K53" s="1317" t="s">
        <v>1966</v>
      </c>
      <c r="L53" s="1317" t="s">
        <v>1966</v>
      </c>
      <c r="M53" s="1317" t="s">
        <v>1966</v>
      </c>
      <c r="N53" s="1317" t="s">
        <v>1966</v>
      </c>
      <c r="O53" s="1317" t="s">
        <v>1966</v>
      </c>
      <c r="P53" s="1317" t="s">
        <v>1966</v>
      </c>
      <c r="Q53" s="1317" t="s">
        <v>1966</v>
      </c>
      <c r="R53" s="1317" t="s">
        <v>1966</v>
      </c>
      <c r="S53" s="1321" t="s">
        <v>1967</v>
      </c>
    </row>
    <row r="54" spans="1:21" ht="28.5">
      <c r="A54" s="1315" t="s">
        <v>2114</v>
      </c>
      <c r="B54" s="1315" t="s">
        <v>1</v>
      </c>
      <c r="C54" s="1315" t="s">
        <v>26</v>
      </c>
      <c r="D54" s="1315" t="s">
        <v>1360</v>
      </c>
      <c r="E54" s="1315" t="s">
        <v>2115</v>
      </c>
      <c r="F54" s="1331" t="s">
        <v>2116</v>
      </c>
      <c r="G54" s="1331" t="s">
        <v>2098</v>
      </c>
      <c r="H54" s="1331" t="s">
        <v>1239</v>
      </c>
      <c r="I54" s="1331" t="s">
        <v>1960</v>
      </c>
      <c r="J54" s="1317" t="s">
        <v>1966</v>
      </c>
      <c r="K54" s="1317" t="s">
        <v>1966</v>
      </c>
      <c r="L54" s="1317" t="s">
        <v>1966</v>
      </c>
      <c r="M54" s="1317" t="s">
        <v>1966</v>
      </c>
      <c r="N54" s="1317" t="s">
        <v>1966</v>
      </c>
      <c r="O54" s="1317" t="s">
        <v>1966</v>
      </c>
      <c r="P54" s="1317" t="s">
        <v>1966</v>
      </c>
      <c r="Q54" s="1317" t="s">
        <v>1966</v>
      </c>
      <c r="R54" s="1317" t="s">
        <v>1966</v>
      </c>
      <c r="S54" s="1321" t="s">
        <v>1967</v>
      </c>
    </row>
    <row r="55" spans="1:21" ht="28.5">
      <c r="A55" s="1315" t="s">
        <v>2117</v>
      </c>
      <c r="B55" s="1315" t="s">
        <v>1</v>
      </c>
      <c r="C55" s="1315" t="s">
        <v>26</v>
      </c>
      <c r="D55" s="1315" t="s">
        <v>1360</v>
      </c>
      <c r="E55" s="1315" t="s">
        <v>2118</v>
      </c>
      <c r="F55" s="1331" t="s">
        <v>2119</v>
      </c>
      <c r="G55" s="1331" t="s">
        <v>2098</v>
      </c>
      <c r="H55" s="1331" t="s">
        <v>1239</v>
      </c>
      <c r="I55" s="1332" t="s">
        <v>1960</v>
      </c>
      <c r="J55" s="1317" t="s">
        <v>1966</v>
      </c>
      <c r="K55" s="1317" t="s">
        <v>1966</v>
      </c>
      <c r="L55" s="1317" t="s">
        <v>1966</v>
      </c>
      <c r="M55" s="1317" t="s">
        <v>1966</v>
      </c>
      <c r="N55" s="1317" t="s">
        <v>1966</v>
      </c>
      <c r="O55" s="1317" t="s">
        <v>1966</v>
      </c>
      <c r="P55" s="1317" t="s">
        <v>1966</v>
      </c>
      <c r="Q55" s="1317" t="s">
        <v>1966</v>
      </c>
      <c r="R55" s="1317" t="s">
        <v>1966</v>
      </c>
      <c r="S55" s="1321" t="s">
        <v>1967</v>
      </c>
    </row>
    <row r="56" spans="1:21">
      <c r="J56" s="1328"/>
      <c r="K56" s="1328"/>
      <c r="L56" s="1328"/>
      <c r="M56" s="1328"/>
      <c r="N56" s="1328"/>
      <c r="O56" s="1328"/>
      <c r="P56" s="1328"/>
      <c r="Q56" s="1328"/>
      <c r="R56" s="1328"/>
      <c r="S56" s="1328"/>
    </row>
  </sheetData>
  <autoFilter ref="A5:U55" xr:uid="{EEFC8FA6-6445-450D-8AD3-E693B989CC1C}">
    <sortState xmlns:xlrd2="http://schemas.microsoft.com/office/spreadsheetml/2017/richdata2" ref="A6:U55">
      <sortCondition ref="A5:A55"/>
    </sortState>
  </autoFilter>
  <mergeCells count="1">
    <mergeCell ref="C4:S4"/>
  </mergeCells>
  <phoneticPr fontId="176" type="noConversion"/>
  <pageMargins left="0.7" right="0.7" top="0.75" bottom="0.75" header="0.3" footer="0.3"/>
  <pageSetup paperSize="3" scale="43"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0AD2F19-C339-4E76-8ED3-8DA67900FE45}">
          <x14:formula1>
            <xm:f>Sheet3!$A$2:$A$11</xm:f>
          </x14:formula1>
          <xm:sqref>H6:H13 H15:H55</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9F7D5-36C6-45D2-9D32-766458D0B172}">
  <sheetPr>
    <pageSetUpPr fitToPage="1"/>
  </sheetPr>
  <dimension ref="A1:T65"/>
  <sheetViews>
    <sheetView workbookViewId="0"/>
  </sheetViews>
  <sheetFormatPr defaultColWidth="8.875" defaultRowHeight="14.25"/>
  <cols>
    <col min="1" max="1" width="12.625" style="886" customWidth="1"/>
    <col min="2" max="2" width="9.25" style="886" customWidth="1"/>
    <col min="3" max="3" width="27.375" style="886" customWidth="1"/>
    <col min="4" max="5" width="8.875" style="886"/>
    <col min="6" max="6" width="73.25" style="886" customWidth="1"/>
    <col min="7" max="7" width="16.75" style="230" customWidth="1"/>
    <col min="8" max="8" width="9.375" style="886" customWidth="1"/>
    <col min="9" max="9" width="15.875" style="886" customWidth="1"/>
    <col min="10" max="15" width="18.875" style="886" customWidth="1"/>
    <col min="16" max="16" width="19" style="886" customWidth="1"/>
    <col min="17" max="18" width="7.625" style="886" customWidth="1"/>
    <col min="19" max="19" width="76.125" style="886" customWidth="1"/>
    <col min="20" max="20" width="42.375" style="230" bestFit="1" customWidth="1"/>
    <col min="21" max="16384" width="8.875" style="886"/>
  </cols>
  <sheetData>
    <row r="1" spans="1:20">
      <c r="A1" s="889" t="s">
        <v>98</v>
      </c>
      <c r="B1" s="890" t="str">
        <f>PA_NAME</f>
        <v>SoCalGas</v>
      </c>
      <c r="C1" s="887"/>
      <c r="G1" s="886"/>
      <c r="T1" s="886"/>
    </row>
    <row r="2" spans="1:20">
      <c r="A2" s="889" t="s">
        <v>99</v>
      </c>
      <c r="B2" s="891" t="s">
        <v>303</v>
      </c>
      <c r="G2" s="886"/>
      <c r="T2" s="886"/>
    </row>
    <row r="3" spans="1:20">
      <c r="A3" s="10" t="s">
        <v>2120</v>
      </c>
      <c r="B3" s="266"/>
      <c r="G3" s="886"/>
      <c r="T3" s="886"/>
    </row>
    <row r="4" spans="1:20">
      <c r="C4" s="1446" t="s">
        <v>2121</v>
      </c>
      <c r="D4" s="1446"/>
      <c r="E4" s="1446"/>
      <c r="F4" s="1446"/>
      <c r="G4" s="1446"/>
      <c r="H4" s="1446"/>
      <c r="I4" s="1446"/>
      <c r="J4" s="1446"/>
      <c r="K4" s="1446"/>
      <c r="L4" s="1446"/>
      <c r="M4" s="1446"/>
      <c r="N4" s="1446"/>
      <c r="O4" s="1446"/>
      <c r="P4" s="1446"/>
      <c r="Q4" s="1446"/>
      <c r="R4" s="1446"/>
      <c r="S4" s="1446"/>
      <c r="T4" s="886"/>
    </row>
    <row r="5" spans="1:20" s="1018" customFormat="1" ht="42.75">
      <c r="A5" s="1335" t="s">
        <v>2122</v>
      </c>
      <c r="B5" s="1335" t="s">
        <v>1202</v>
      </c>
      <c r="C5" s="1336" t="s">
        <v>916</v>
      </c>
      <c r="D5" s="1336" t="s">
        <v>1208</v>
      </c>
      <c r="E5" s="1336" t="s">
        <v>1947</v>
      </c>
      <c r="F5" s="1337" t="s">
        <v>1948</v>
      </c>
      <c r="G5" s="1338" t="s">
        <v>1949</v>
      </c>
      <c r="H5" s="1338" t="s">
        <v>2123</v>
      </c>
      <c r="I5" s="1338" t="s">
        <v>2124</v>
      </c>
      <c r="J5" s="1338" t="s">
        <v>1951</v>
      </c>
      <c r="K5" s="1338" t="s">
        <v>1952</v>
      </c>
      <c r="L5" s="1338" t="s">
        <v>1225</v>
      </c>
      <c r="M5" s="1336" t="s">
        <v>1226</v>
      </c>
      <c r="N5" s="1336" t="s">
        <v>1227</v>
      </c>
      <c r="O5" s="1336" t="s">
        <v>1228</v>
      </c>
      <c r="P5" s="1336" t="s">
        <v>1229</v>
      </c>
      <c r="Q5" s="1336" t="s">
        <v>1230</v>
      </c>
      <c r="R5" s="1336" t="s">
        <v>1953</v>
      </c>
      <c r="S5" s="1336" t="s">
        <v>1954</v>
      </c>
      <c r="T5" s="1338" t="s">
        <v>1955</v>
      </c>
    </row>
    <row r="6" spans="1:20" s="1018" customFormat="1" ht="28.5">
      <c r="A6" s="1339" t="s">
        <v>2125</v>
      </c>
      <c r="B6" s="1335" t="str">
        <f>$B$1</f>
        <v>SoCalGas</v>
      </c>
      <c r="C6" s="1335" t="s">
        <v>23</v>
      </c>
      <c r="D6" s="1335" t="s">
        <v>1210</v>
      </c>
      <c r="E6" s="1340" t="s">
        <v>2126</v>
      </c>
      <c r="F6" s="1341" t="s">
        <v>2127</v>
      </c>
      <c r="G6" s="1341" t="s">
        <v>2128</v>
      </c>
      <c r="H6" s="1342"/>
      <c r="I6" s="1342"/>
      <c r="J6" s="893" t="s">
        <v>1966</v>
      </c>
      <c r="K6" s="893" t="s">
        <v>1966</v>
      </c>
      <c r="L6" s="893" t="s">
        <v>1966</v>
      </c>
      <c r="M6" s="893" t="s">
        <v>1966</v>
      </c>
      <c r="N6" s="893" t="s">
        <v>1966</v>
      </c>
      <c r="O6" s="893" t="s">
        <v>1966</v>
      </c>
      <c r="P6" s="1342"/>
      <c r="Q6" s="1342"/>
      <c r="R6" s="1342"/>
      <c r="S6" s="1321" t="s">
        <v>2129</v>
      </c>
      <c r="T6" s="1335" t="s">
        <v>2130</v>
      </c>
    </row>
    <row r="7" spans="1:20" s="1343" customFormat="1" ht="28.5">
      <c r="A7" s="1339" t="s">
        <v>2131</v>
      </c>
      <c r="B7" s="1335" t="str">
        <f t="shared" ref="B7:B55" si="0">$B$1</f>
        <v>SoCalGas</v>
      </c>
      <c r="C7" s="1335" t="s">
        <v>23</v>
      </c>
      <c r="D7" s="1335" t="s">
        <v>1210</v>
      </c>
      <c r="E7" s="1340" t="s">
        <v>2132</v>
      </c>
      <c r="F7" s="1341" t="s">
        <v>2133</v>
      </c>
      <c r="G7" s="1341" t="s">
        <v>2128</v>
      </c>
      <c r="H7" s="1342"/>
      <c r="I7" s="1342"/>
      <c r="J7" s="893" t="s">
        <v>1966</v>
      </c>
      <c r="K7" s="893" t="s">
        <v>1966</v>
      </c>
      <c r="L7" s="893" t="s">
        <v>1966</v>
      </c>
      <c r="M7" s="893" t="s">
        <v>1966</v>
      </c>
      <c r="N7" s="893" t="s">
        <v>1966</v>
      </c>
      <c r="O7" s="893" t="s">
        <v>1966</v>
      </c>
      <c r="P7" s="1342"/>
      <c r="Q7" s="1342"/>
      <c r="R7" s="1342"/>
      <c r="S7" s="1321" t="s">
        <v>2129</v>
      </c>
      <c r="T7" s="1335" t="s">
        <v>2130</v>
      </c>
    </row>
    <row r="8" spans="1:20" s="1018" customFormat="1" ht="28.5">
      <c r="A8" s="1339" t="s">
        <v>2134</v>
      </c>
      <c r="B8" s="1335" t="str">
        <f t="shared" si="0"/>
        <v>SoCalGas</v>
      </c>
      <c r="C8" s="1335" t="s">
        <v>23</v>
      </c>
      <c r="D8" s="1335" t="s">
        <v>1210</v>
      </c>
      <c r="E8" s="1340" t="s">
        <v>2135</v>
      </c>
      <c r="F8" s="1341" t="s">
        <v>2136</v>
      </c>
      <c r="G8" s="1341" t="s">
        <v>1338</v>
      </c>
      <c r="H8" s="1342"/>
      <c r="I8" s="1342" t="s">
        <v>2137</v>
      </c>
      <c r="J8" s="893" t="s">
        <v>1966</v>
      </c>
      <c r="K8" s="893" t="s">
        <v>1966</v>
      </c>
      <c r="L8" s="893" t="s">
        <v>1966</v>
      </c>
      <c r="M8" s="893" t="s">
        <v>1966</v>
      </c>
      <c r="N8" s="893" t="s">
        <v>1966</v>
      </c>
      <c r="O8" s="893" t="s">
        <v>1966</v>
      </c>
      <c r="P8" s="1342" t="s">
        <v>2138</v>
      </c>
      <c r="Q8" s="1342"/>
      <c r="R8" s="1326"/>
      <c r="S8" s="1321" t="s">
        <v>2129</v>
      </c>
      <c r="T8" s="1335" t="s">
        <v>2139</v>
      </c>
    </row>
    <row r="9" spans="1:20" s="1018" customFormat="1" ht="28.5">
      <c r="A9" s="1339" t="s">
        <v>2140</v>
      </c>
      <c r="B9" s="1335" t="str">
        <f t="shared" si="0"/>
        <v>SoCalGas</v>
      </c>
      <c r="C9" s="1335" t="s">
        <v>23</v>
      </c>
      <c r="D9" s="1335" t="s">
        <v>1210</v>
      </c>
      <c r="E9" s="1340" t="s">
        <v>2141</v>
      </c>
      <c r="F9" s="1341" t="s">
        <v>2142</v>
      </c>
      <c r="G9" s="1341" t="s">
        <v>1338</v>
      </c>
      <c r="H9" s="1342"/>
      <c r="I9" s="1342" t="s">
        <v>2137</v>
      </c>
      <c r="J9" s="893" t="s">
        <v>1966</v>
      </c>
      <c r="K9" s="893" t="s">
        <v>1966</v>
      </c>
      <c r="L9" s="893" t="s">
        <v>1966</v>
      </c>
      <c r="M9" s="893" t="s">
        <v>1966</v>
      </c>
      <c r="N9" s="893" t="s">
        <v>1966</v>
      </c>
      <c r="O9" s="893" t="s">
        <v>1966</v>
      </c>
      <c r="P9" s="1342" t="s">
        <v>2138</v>
      </c>
      <c r="Q9" s="1342"/>
      <c r="R9" s="1326"/>
      <c r="S9" s="1321" t="s">
        <v>2129</v>
      </c>
      <c r="T9" s="1335" t="s">
        <v>2139</v>
      </c>
    </row>
    <row r="10" spans="1:20" s="1018" customFormat="1" ht="28.5">
      <c r="A10" s="1339" t="s">
        <v>2143</v>
      </c>
      <c r="B10" s="1335" t="str">
        <f t="shared" si="0"/>
        <v>SoCalGas</v>
      </c>
      <c r="C10" s="1335" t="s">
        <v>23</v>
      </c>
      <c r="D10" s="1335" t="s">
        <v>1210</v>
      </c>
      <c r="E10" s="1340" t="s">
        <v>2144</v>
      </c>
      <c r="F10" s="1341" t="s">
        <v>2145</v>
      </c>
      <c r="G10" s="1341" t="s">
        <v>1338</v>
      </c>
      <c r="H10" s="1342"/>
      <c r="I10" s="1342" t="s">
        <v>2137</v>
      </c>
      <c r="J10" s="893" t="s">
        <v>1966</v>
      </c>
      <c r="K10" s="893" t="s">
        <v>1966</v>
      </c>
      <c r="L10" s="893" t="s">
        <v>1966</v>
      </c>
      <c r="M10" s="893" t="s">
        <v>1966</v>
      </c>
      <c r="N10" s="893" t="s">
        <v>1966</v>
      </c>
      <c r="O10" s="893" t="s">
        <v>1966</v>
      </c>
      <c r="P10" s="1342" t="s">
        <v>2138</v>
      </c>
      <c r="Q10" s="1342"/>
      <c r="R10" s="1326"/>
      <c r="S10" s="1321" t="s">
        <v>2129</v>
      </c>
      <c r="T10" s="1335" t="s">
        <v>2139</v>
      </c>
    </row>
    <row r="11" spans="1:20" s="1018" customFormat="1" ht="28.5">
      <c r="A11" s="1339" t="s">
        <v>2146</v>
      </c>
      <c r="B11" s="1335" t="str">
        <f t="shared" si="0"/>
        <v>SoCalGas</v>
      </c>
      <c r="C11" s="1335" t="s">
        <v>23</v>
      </c>
      <c r="D11" s="1335" t="s">
        <v>1210</v>
      </c>
      <c r="E11" s="1340" t="s">
        <v>2147</v>
      </c>
      <c r="F11" s="1341" t="s">
        <v>2148</v>
      </c>
      <c r="G11" s="1341" t="s">
        <v>1338</v>
      </c>
      <c r="H11" s="1342"/>
      <c r="I11" s="1342" t="s">
        <v>2137</v>
      </c>
      <c r="J11" s="893" t="s">
        <v>1966</v>
      </c>
      <c r="K11" s="893" t="s">
        <v>1966</v>
      </c>
      <c r="L11" s="893" t="s">
        <v>1966</v>
      </c>
      <c r="M11" s="893" t="s">
        <v>1966</v>
      </c>
      <c r="N11" s="893" t="s">
        <v>1966</v>
      </c>
      <c r="O11" s="893" t="s">
        <v>1966</v>
      </c>
      <c r="P11" s="1342" t="s">
        <v>2138</v>
      </c>
      <c r="Q11" s="1342"/>
      <c r="R11" s="1326"/>
      <c r="S11" s="1321" t="s">
        <v>2129</v>
      </c>
      <c r="T11" s="1335" t="s">
        <v>2139</v>
      </c>
    </row>
    <row r="12" spans="1:20" s="1310" customFormat="1" ht="28.5">
      <c r="A12" s="1339" t="s">
        <v>2149</v>
      </c>
      <c r="B12" s="1335" t="str">
        <f t="shared" si="0"/>
        <v>SoCalGas</v>
      </c>
      <c r="C12" s="1335" t="s">
        <v>23</v>
      </c>
      <c r="D12" s="1335" t="s">
        <v>1210</v>
      </c>
      <c r="E12" s="1340" t="s">
        <v>2150</v>
      </c>
      <c r="F12" s="1341" t="s">
        <v>2151</v>
      </c>
      <c r="G12" s="1341" t="s">
        <v>1338</v>
      </c>
      <c r="H12" s="1342"/>
      <c r="I12" s="1342" t="s">
        <v>2137</v>
      </c>
      <c r="J12" s="893" t="s">
        <v>1966</v>
      </c>
      <c r="K12" s="893" t="s">
        <v>1966</v>
      </c>
      <c r="L12" s="893" t="s">
        <v>1966</v>
      </c>
      <c r="M12" s="893" t="s">
        <v>1966</v>
      </c>
      <c r="N12" s="893" t="s">
        <v>1966</v>
      </c>
      <c r="O12" s="893" t="s">
        <v>1966</v>
      </c>
      <c r="P12" s="1342" t="s">
        <v>2138</v>
      </c>
      <c r="Q12" s="1344"/>
      <c r="R12" s="1326"/>
      <c r="S12" s="1321" t="s">
        <v>2129</v>
      </c>
      <c r="T12" s="1335" t="s">
        <v>2139</v>
      </c>
    </row>
    <row r="13" spans="1:20" s="1018" customFormat="1" ht="28.5">
      <c r="A13" s="1339">
        <v>301</v>
      </c>
      <c r="B13" s="1335" t="str">
        <f t="shared" si="0"/>
        <v>SoCalGas</v>
      </c>
      <c r="C13" s="1335" t="s">
        <v>1769</v>
      </c>
      <c r="D13" s="1335" t="s">
        <v>1210</v>
      </c>
      <c r="E13" s="1335" t="s">
        <v>1766</v>
      </c>
      <c r="F13" s="1341" t="s">
        <v>1768</v>
      </c>
      <c r="G13" s="1341" t="s">
        <v>1716</v>
      </c>
      <c r="H13" s="1342"/>
      <c r="I13" s="1342"/>
      <c r="J13" s="893" t="s">
        <v>1966</v>
      </c>
      <c r="K13" s="893" t="s">
        <v>1966</v>
      </c>
      <c r="L13" s="893" t="s">
        <v>1771</v>
      </c>
      <c r="M13" s="893" t="s">
        <v>1771</v>
      </c>
      <c r="N13" s="893" t="s">
        <v>1771</v>
      </c>
      <c r="O13" s="893" t="s">
        <v>1771</v>
      </c>
      <c r="P13" s="1326"/>
      <c r="Q13" s="1326"/>
      <c r="R13" s="1326"/>
      <c r="S13" s="1321" t="s">
        <v>2129</v>
      </c>
      <c r="T13" s="1335" t="s">
        <v>2152</v>
      </c>
    </row>
    <row r="14" spans="1:20" s="1018" customFormat="1" ht="28.5">
      <c r="A14" s="1339">
        <v>302</v>
      </c>
      <c r="B14" s="1335" t="str">
        <f t="shared" si="0"/>
        <v>SoCalGas</v>
      </c>
      <c r="C14" s="1335" t="s">
        <v>1769</v>
      </c>
      <c r="D14" s="1335" t="s">
        <v>1210</v>
      </c>
      <c r="E14" s="1335" t="s">
        <v>1774</v>
      </c>
      <c r="F14" s="1341" t="s">
        <v>1776</v>
      </c>
      <c r="G14" s="1341" t="s">
        <v>1716</v>
      </c>
      <c r="H14" s="1342"/>
      <c r="I14" s="1342"/>
      <c r="J14" s="893" t="s">
        <v>1966</v>
      </c>
      <c r="K14" s="893" t="s">
        <v>1966</v>
      </c>
      <c r="L14" s="893" t="s">
        <v>1771</v>
      </c>
      <c r="M14" s="893" t="s">
        <v>1771</v>
      </c>
      <c r="N14" s="893" t="s">
        <v>1771</v>
      </c>
      <c r="O14" s="893" t="s">
        <v>1771</v>
      </c>
      <c r="P14" s="1326"/>
      <c r="Q14" s="1326"/>
      <c r="R14" s="1326"/>
      <c r="S14" s="1321" t="s">
        <v>2129</v>
      </c>
      <c r="T14" s="1335" t="s">
        <v>2152</v>
      </c>
    </row>
    <row r="15" spans="1:20" s="1018" customFormat="1" ht="28.5">
      <c r="A15" s="1339">
        <v>303</v>
      </c>
      <c r="B15" s="1335" t="str">
        <f t="shared" si="0"/>
        <v>SoCalGas</v>
      </c>
      <c r="C15" s="1335" t="s">
        <v>1769</v>
      </c>
      <c r="D15" s="1335" t="s">
        <v>1210</v>
      </c>
      <c r="E15" s="1335" t="s">
        <v>1774</v>
      </c>
      <c r="F15" s="1341" t="s">
        <v>1784</v>
      </c>
      <c r="G15" s="1341" t="s">
        <v>1783</v>
      </c>
      <c r="H15" s="1342"/>
      <c r="I15" s="1342"/>
      <c r="J15" s="893" t="s">
        <v>1966</v>
      </c>
      <c r="K15" s="893" t="s">
        <v>1966</v>
      </c>
      <c r="L15" s="893" t="s">
        <v>1771</v>
      </c>
      <c r="M15" s="893" t="s">
        <v>1771</v>
      </c>
      <c r="N15" s="893" t="s">
        <v>1771</v>
      </c>
      <c r="O15" s="893" t="s">
        <v>1771</v>
      </c>
      <c r="P15" s="1326"/>
      <c r="Q15" s="1326"/>
      <c r="R15" s="1326"/>
      <c r="S15" s="1321" t="s">
        <v>2129</v>
      </c>
      <c r="T15" s="1335" t="s">
        <v>2152</v>
      </c>
    </row>
    <row r="16" spans="1:20" s="1018" customFormat="1" ht="28.5">
      <c r="A16" s="1339">
        <v>304</v>
      </c>
      <c r="B16" s="1335" t="str">
        <f t="shared" si="0"/>
        <v>SoCalGas</v>
      </c>
      <c r="C16" s="1335" t="s">
        <v>1769</v>
      </c>
      <c r="D16" s="1335" t="s">
        <v>1210</v>
      </c>
      <c r="E16" s="1335" t="s">
        <v>1786</v>
      </c>
      <c r="F16" s="1341" t="s">
        <v>1788</v>
      </c>
      <c r="G16" s="1341" t="s">
        <v>1783</v>
      </c>
      <c r="H16" s="1342"/>
      <c r="I16" s="1342"/>
      <c r="J16" s="893" t="s">
        <v>1966</v>
      </c>
      <c r="K16" s="893" t="s">
        <v>1966</v>
      </c>
      <c r="L16" s="893" t="s">
        <v>1771</v>
      </c>
      <c r="M16" s="893" t="s">
        <v>1771</v>
      </c>
      <c r="N16" s="893" t="s">
        <v>1771</v>
      </c>
      <c r="O16" s="893" t="s">
        <v>1771</v>
      </c>
      <c r="P16" s="1326"/>
      <c r="Q16" s="1326"/>
      <c r="R16" s="1326"/>
      <c r="S16" s="1321" t="s">
        <v>2129</v>
      </c>
      <c r="T16" s="1335" t="s">
        <v>2152</v>
      </c>
    </row>
    <row r="17" spans="1:20" s="1018" customFormat="1" ht="28.5">
      <c r="A17" s="1339">
        <v>305</v>
      </c>
      <c r="B17" s="1335" t="str">
        <f t="shared" si="0"/>
        <v>SoCalGas</v>
      </c>
      <c r="C17" s="1335" t="s">
        <v>1769</v>
      </c>
      <c r="D17" s="1335" t="s">
        <v>1210</v>
      </c>
      <c r="E17" s="1335" t="s">
        <v>1786</v>
      </c>
      <c r="F17" s="1341" t="s">
        <v>2153</v>
      </c>
      <c r="G17" s="1341" t="s">
        <v>1783</v>
      </c>
      <c r="H17" s="1342"/>
      <c r="I17" s="1342"/>
      <c r="J17" s="893" t="s">
        <v>1966</v>
      </c>
      <c r="K17" s="893" t="s">
        <v>1966</v>
      </c>
      <c r="L17" s="893" t="s">
        <v>1771</v>
      </c>
      <c r="M17" s="893" t="s">
        <v>1771</v>
      </c>
      <c r="N17" s="893" t="s">
        <v>1771</v>
      </c>
      <c r="O17" s="893" t="s">
        <v>1771</v>
      </c>
      <c r="P17" s="1326"/>
      <c r="Q17" s="1326"/>
      <c r="R17" s="1326"/>
      <c r="S17" s="1321" t="s">
        <v>2129</v>
      </c>
      <c r="T17" s="1335" t="s">
        <v>2152</v>
      </c>
    </row>
    <row r="18" spans="1:20" s="1018" customFormat="1" ht="28.5">
      <c r="A18" s="1339">
        <v>306</v>
      </c>
      <c r="B18" s="1335" t="str">
        <f t="shared" si="0"/>
        <v>SoCalGas</v>
      </c>
      <c r="C18" s="1335" t="s">
        <v>1769</v>
      </c>
      <c r="D18" s="1335" t="s">
        <v>1210</v>
      </c>
      <c r="E18" s="1335" t="s">
        <v>1792</v>
      </c>
      <c r="F18" s="1341" t="s">
        <v>1793</v>
      </c>
      <c r="G18" s="1341" t="s">
        <v>1716</v>
      </c>
      <c r="H18" s="1342"/>
      <c r="I18" s="1342"/>
      <c r="J18" s="893" t="s">
        <v>1966</v>
      </c>
      <c r="K18" s="893" t="s">
        <v>1966</v>
      </c>
      <c r="L18" s="893" t="s">
        <v>1771</v>
      </c>
      <c r="M18" s="893" t="s">
        <v>1771</v>
      </c>
      <c r="N18" s="893" t="s">
        <v>1771</v>
      </c>
      <c r="O18" s="893" t="s">
        <v>1771</v>
      </c>
      <c r="P18" s="1326"/>
      <c r="Q18" s="1326"/>
      <c r="R18" s="1326"/>
      <c r="S18" s="1321" t="s">
        <v>2129</v>
      </c>
      <c r="T18" s="1335" t="s">
        <v>2152</v>
      </c>
    </row>
    <row r="19" spans="1:20" s="1018" customFormat="1" ht="28.5">
      <c r="A19" s="1339" t="s">
        <v>2154</v>
      </c>
      <c r="B19" s="1335" t="str">
        <f t="shared" si="0"/>
        <v>SoCalGas</v>
      </c>
      <c r="C19" s="1335" t="s">
        <v>23</v>
      </c>
      <c r="D19" s="1335" t="s">
        <v>1210</v>
      </c>
      <c r="E19" s="1340" t="s">
        <v>2155</v>
      </c>
      <c r="F19" s="1341" t="s">
        <v>2156</v>
      </c>
      <c r="G19" s="1341" t="s">
        <v>1716</v>
      </c>
      <c r="H19" s="1342"/>
      <c r="I19" s="1342"/>
      <c r="J19" s="893" t="s">
        <v>1966</v>
      </c>
      <c r="K19" s="893" t="s">
        <v>1966</v>
      </c>
      <c r="L19" s="893" t="s">
        <v>1966</v>
      </c>
      <c r="M19" s="893" t="s">
        <v>1966</v>
      </c>
      <c r="N19" s="893" t="s">
        <v>1966</v>
      </c>
      <c r="O19" s="893" t="s">
        <v>1966</v>
      </c>
      <c r="P19" s="1342"/>
      <c r="Q19" s="1342"/>
      <c r="R19" s="1342"/>
      <c r="S19" s="1321" t="s">
        <v>2129</v>
      </c>
      <c r="T19" s="1335" t="s">
        <v>2152</v>
      </c>
    </row>
    <row r="20" spans="1:20" s="1018" customFormat="1" ht="28.5">
      <c r="A20" s="1339" t="s">
        <v>2157</v>
      </c>
      <c r="B20" s="1335" t="str">
        <f t="shared" si="0"/>
        <v>SoCalGas</v>
      </c>
      <c r="C20" s="1335" t="s">
        <v>23</v>
      </c>
      <c r="D20" s="1335" t="s">
        <v>1210</v>
      </c>
      <c r="E20" s="1340" t="s">
        <v>2158</v>
      </c>
      <c r="F20" s="1341" t="s">
        <v>2159</v>
      </c>
      <c r="G20" s="1341" t="s">
        <v>1338</v>
      </c>
      <c r="H20" s="1344"/>
      <c r="I20" s="1342" t="s">
        <v>2160</v>
      </c>
      <c r="J20" s="893" t="s">
        <v>1966</v>
      </c>
      <c r="K20" s="893" t="s">
        <v>1966</v>
      </c>
      <c r="L20" s="893" t="s">
        <v>1966</v>
      </c>
      <c r="M20" s="893" t="s">
        <v>1966</v>
      </c>
      <c r="N20" s="893" t="s">
        <v>1966</v>
      </c>
      <c r="O20" s="893" t="s">
        <v>1966</v>
      </c>
      <c r="P20" s="1342" t="s">
        <v>2138</v>
      </c>
      <c r="Q20" s="1342"/>
      <c r="R20" s="1326"/>
      <c r="S20" s="1321" t="s">
        <v>2129</v>
      </c>
      <c r="T20" s="1335" t="s">
        <v>1229</v>
      </c>
    </row>
    <row r="21" spans="1:20" s="1018" customFormat="1" ht="28.5">
      <c r="A21" s="1339" t="s">
        <v>2161</v>
      </c>
      <c r="B21" s="1335" t="str">
        <f t="shared" si="0"/>
        <v>SoCalGas</v>
      </c>
      <c r="C21" s="1335" t="s">
        <v>23</v>
      </c>
      <c r="D21" s="1335" t="s">
        <v>1210</v>
      </c>
      <c r="E21" s="1340" t="s">
        <v>2162</v>
      </c>
      <c r="F21" s="1341" t="s">
        <v>2163</v>
      </c>
      <c r="G21" s="1341" t="s">
        <v>1338</v>
      </c>
      <c r="H21" s="1342"/>
      <c r="I21" s="1342" t="s">
        <v>2160</v>
      </c>
      <c r="J21" s="893" t="s">
        <v>1966</v>
      </c>
      <c r="K21" s="893" t="s">
        <v>1966</v>
      </c>
      <c r="L21" s="893" t="s">
        <v>1966</v>
      </c>
      <c r="M21" s="893" t="s">
        <v>1966</v>
      </c>
      <c r="N21" s="893" t="s">
        <v>1966</v>
      </c>
      <c r="O21" s="893" t="s">
        <v>1966</v>
      </c>
      <c r="P21" s="1342" t="s">
        <v>2138</v>
      </c>
      <c r="Q21" s="1342"/>
      <c r="R21" s="1326"/>
      <c r="S21" s="1321" t="s">
        <v>2129</v>
      </c>
      <c r="T21" s="1335" t="s">
        <v>1229</v>
      </c>
    </row>
    <row r="22" spans="1:20" s="1018" customFormat="1" ht="28.5">
      <c r="A22" s="1339" t="s">
        <v>2164</v>
      </c>
      <c r="B22" s="1335" t="str">
        <f t="shared" si="0"/>
        <v>SoCalGas</v>
      </c>
      <c r="C22" s="1335" t="s">
        <v>23</v>
      </c>
      <c r="D22" s="1335" t="s">
        <v>1210</v>
      </c>
      <c r="E22" s="1340" t="s">
        <v>2165</v>
      </c>
      <c r="F22" s="1341" t="s">
        <v>2166</v>
      </c>
      <c r="G22" s="1341" t="s">
        <v>1338</v>
      </c>
      <c r="H22" s="1344"/>
      <c r="I22" s="1342" t="s">
        <v>2160</v>
      </c>
      <c r="J22" s="893" t="s">
        <v>1966</v>
      </c>
      <c r="K22" s="893" t="s">
        <v>1966</v>
      </c>
      <c r="L22" s="893" t="s">
        <v>1966</v>
      </c>
      <c r="M22" s="893" t="s">
        <v>1966</v>
      </c>
      <c r="N22" s="893" t="s">
        <v>1966</v>
      </c>
      <c r="O22" s="893" t="s">
        <v>1966</v>
      </c>
      <c r="P22" s="1342" t="s">
        <v>2138</v>
      </c>
      <c r="Q22" s="1342"/>
      <c r="R22" s="1326"/>
      <c r="S22" s="1321" t="s">
        <v>2129</v>
      </c>
      <c r="T22" s="1335" t="s">
        <v>1229</v>
      </c>
    </row>
    <row r="23" spans="1:20" s="1018" customFormat="1" ht="28.5">
      <c r="A23" s="1339" t="s">
        <v>2167</v>
      </c>
      <c r="B23" s="1335" t="str">
        <f t="shared" si="0"/>
        <v>SoCalGas</v>
      </c>
      <c r="C23" s="1335" t="s">
        <v>23</v>
      </c>
      <c r="D23" s="1335" t="s">
        <v>1210</v>
      </c>
      <c r="E23" s="1340" t="s">
        <v>2168</v>
      </c>
      <c r="F23" s="1341" t="s">
        <v>2169</v>
      </c>
      <c r="G23" s="1341" t="s">
        <v>1338</v>
      </c>
      <c r="H23" s="1344"/>
      <c r="I23" s="1342" t="s">
        <v>2160</v>
      </c>
      <c r="J23" s="893" t="s">
        <v>1966</v>
      </c>
      <c r="K23" s="893" t="s">
        <v>1966</v>
      </c>
      <c r="L23" s="893" t="s">
        <v>1966</v>
      </c>
      <c r="M23" s="893" t="s">
        <v>1966</v>
      </c>
      <c r="N23" s="893" t="s">
        <v>1966</v>
      </c>
      <c r="O23" s="893" t="s">
        <v>1966</v>
      </c>
      <c r="P23" s="1342" t="s">
        <v>2138</v>
      </c>
      <c r="Q23" s="1342"/>
      <c r="R23" s="1326"/>
      <c r="S23" s="1321" t="s">
        <v>2129</v>
      </c>
      <c r="T23" s="1335" t="s">
        <v>1229</v>
      </c>
    </row>
    <row r="24" spans="1:20" s="1018" customFormat="1" ht="28.5">
      <c r="A24" s="1339" t="s">
        <v>2170</v>
      </c>
      <c r="B24" s="1335" t="str">
        <f t="shared" si="0"/>
        <v>SoCalGas</v>
      </c>
      <c r="C24" s="1335" t="s">
        <v>23</v>
      </c>
      <c r="D24" s="1335" t="s">
        <v>1210</v>
      </c>
      <c r="E24" s="1340" t="s">
        <v>2171</v>
      </c>
      <c r="F24" s="1341" t="s">
        <v>2172</v>
      </c>
      <c r="G24" s="1341" t="s">
        <v>1338</v>
      </c>
      <c r="H24" s="1342"/>
      <c r="I24" s="1342" t="s">
        <v>2160</v>
      </c>
      <c r="J24" s="893" t="s">
        <v>1966</v>
      </c>
      <c r="K24" s="893" t="s">
        <v>1966</v>
      </c>
      <c r="L24" s="893" t="s">
        <v>1966</v>
      </c>
      <c r="M24" s="893" t="s">
        <v>1966</v>
      </c>
      <c r="N24" s="893" t="s">
        <v>1966</v>
      </c>
      <c r="O24" s="893" t="s">
        <v>1966</v>
      </c>
      <c r="P24" s="1342" t="s">
        <v>2138</v>
      </c>
      <c r="Q24" s="1342"/>
      <c r="R24" s="1326"/>
      <c r="S24" s="1321" t="s">
        <v>2129</v>
      </c>
      <c r="T24" s="1335" t="s">
        <v>1229</v>
      </c>
    </row>
    <row r="25" spans="1:20" s="1018" customFormat="1" ht="28.5">
      <c r="A25" s="1339" t="s">
        <v>2173</v>
      </c>
      <c r="B25" s="1335" t="str">
        <f t="shared" si="0"/>
        <v>SoCalGas</v>
      </c>
      <c r="C25" s="1335" t="s">
        <v>23</v>
      </c>
      <c r="D25" s="1335" t="s">
        <v>1210</v>
      </c>
      <c r="E25" s="1340" t="s">
        <v>2174</v>
      </c>
      <c r="F25" s="1341" t="s">
        <v>2175</v>
      </c>
      <c r="G25" s="1341" t="s">
        <v>1338</v>
      </c>
      <c r="H25" s="1344"/>
      <c r="I25" s="1342" t="s">
        <v>2160</v>
      </c>
      <c r="J25" s="893" t="s">
        <v>1966</v>
      </c>
      <c r="K25" s="893" t="s">
        <v>1966</v>
      </c>
      <c r="L25" s="893" t="s">
        <v>1966</v>
      </c>
      <c r="M25" s="893" t="s">
        <v>1966</v>
      </c>
      <c r="N25" s="893" t="s">
        <v>1966</v>
      </c>
      <c r="O25" s="893" t="s">
        <v>1966</v>
      </c>
      <c r="P25" s="1342" t="s">
        <v>2138</v>
      </c>
      <c r="Q25" s="1342"/>
      <c r="R25" s="1326"/>
      <c r="S25" s="1321" t="s">
        <v>2129</v>
      </c>
      <c r="T25" s="1335" t="s">
        <v>1229</v>
      </c>
    </row>
    <row r="26" spans="1:20" s="1018" customFormat="1" ht="28.5">
      <c r="A26" s="1339" t="s">
        <v>2176</v>
      </c>
      <c r="B26" s="1335" t="str">
        <f t="shared" si="0"/>
        <v>SoCalGas</v>
      </c>
      <c r="C26" s="1335" t="s">
        <v>23</v>
      </c>
      <c r="D26" s="1335" t="s">
        <v>1210</v>
      </c>
      <c r="E26" s="1340" t="s">
        <v>2177</v>
      </c>
      <c r="F26" s="1341" t="s">
        <v>2178</v>
      </c>
      <c r="G26" s="1341" t="s">
        <v>1338</v>
      </c>
      <c r="H26" s="1344"/>
      <c r="I26" s="1342" t="s">
        <v>2160</v>
      </c>
      <c r="J26" s="893" t="s">
        <v>1966</v>
      </c>
      <c r="K26" s="893" t="s">
        <v>1966</v>
      </c>
      <c r="L26" s="893" t="s">
        <v>1966</v>
      </c>
      <c r="M26" s="893" t="s">
        <v>1966</v>
      </c>
      <c r="N26" s="893" t="s">
        <v>1966</v>
      </c>
      <c r="O26" s="893" t="s">
        <v>1966</v>
      </c>
      <c r="P26" s="1342" t="s">
        <v>2138</v>
      </c>
      <c r="Q26" s="1342"/>
      <c r="R26" s="1326"/>
      <c r="S26" s="1321" t="s">
        <v>2129</v>
      </c>
      <c r="T26" s="1335" t="s">
        <v>1229</v>
      </c>
    </row>
    <row r="27" spans="1:20" s="1018" customFormat="1" ht="28.5">
      <c r="A27" s="1339" t="s">
        <v>2179</v>
      </c>
      <c r="B27" s="1335" t="str">
        <f t="shared" si="0"/>
        <v>SoCalGas</v>
      </c>
      <c r="C27" s="1335" t="s">
        <v>23</v>
      </c>
      <c r="D27" s="1335" t="s">
        <v>1210</v>
      </c>
      <c r="E27" s="1340" t="s">
        <v>2180</v>
      </c>
      <c r="F27" s="1341" t="s">
        <v>2181</v>
      </c>
      <c r="G27" s="1341" t="s">
        <v>1338</v>
      </c>
      <c r="H27" s="1344"/>
      <c r="I27" s="1342" t="s">
        <v>2160</v>
      </c>
      <c r="J27" s="893" t="s">
        <v>1966</v>
      </c>
      <c r="K27" s="893" t="s">
        <v>1966</v>
      </c>
      <c r="L27" s="893" t="s">
        <v>1966</v>
      </c>
      <c r="M27" s="893" t="s">
        <v>1966</v>
      </c>
      <c r="N27" s="893" t="s">
        <v>1966</v>
      </c>
      <c r="O27" s="893" t="s">
        <v>1966</v>
      </c>
      <c r="P27" s="1342" t="s">
        <v>2138</v>
      </c>
      <c r="Q27" s="1342"/>
      <c r="R27" s="1326"/>
      <c r="S27" s="1321" t="s">
        <v>2129</v>
      </c>
      <c r="T27" s="1335" t="s">
        <v>1229</v>
      </c>
    </row>
    <row r="28" spans="1:20" s="1018" customFormat="1" ht="28.5">
      <c r="A28" s="1339" t="s">
        <v>2182</v>
      </c>
      <c r="B28" s="1335" t="str">
        <f t="shared" si="0"/>
        <v>SoCalGas</v>
      </c>
      <c r="C28" s="1335" t="s">
        <v>23</v>
      </c>
      <c r="D28" s="1335" t="s">
        <v>1210</v>
      </c>
      <c r="E28" s="1340" t="s">
        <v>2183</v>
      </c>
      <c r="F28" s="1341" t="s">
        <v>2184</v>
      </c>
      <c r="G28" s="1341" t="s">
        <v>1716</v>
      </c>
      <c r="H28" s="1342"/>
      <c r="I28" s="1342"/>
      <c r="J28" s="893" t="s">
        <v>1966</v>
      </c>
      <c r="K28" s="893" t="s">
        <v>1966</v>
      </c>
      <c r="L28" s="893" t="s">
        <v>1966</v>
      </c>
      <c r="M28" s="893" t="s">
        <v>1966</v>
      </c>
      <c r="N28" s="893" t="s">
        <v>1966</v>
      </c>
      <c r="O28" s="893" t="s">
        <v>1966</v>
      </c>
      <c r="P28" s="1342"/>
      <c r="Q28" s="1342"/>
      <c r="R28" s="1326"/>
      <c r="S28" s="1321" t="s">
        <v>2129</v>
      </c>
      <c r="T28" s="1335" t="s">
        <v>2185</v>
      </c>
    </row>
    <row r="29" spans="1:20" s="1018" customFormat="1" ht="28.5">
      <c r="A29" s="1339" t="s">
        <v>2186</v>
      </c>
      <c r="B29" s="1335" t="str">
        <f t="shared" si="0"/>
        <v>SoCalGas</v>
      </c>
      <c r="C29" s="1335" t="s">
        <v>23</v>
      </c>
      <c r="D29" s="1335" t="s">
        <v>1210</v>
      </c>
      <c r="E29" s="1340" t="s">
        <v>2187</v>
      </c>
      <c r="F29" s="1341" t="s">
        <v>2188</v>
      </c>
      <c r="G29" s="1341" t="s">
        <v>2189</v>
      </c>
      <c r="H29" s="1344"/>
      <c r="I29" s="1342"/>
      <c r="J29" s="893" t="s">
        <v>1966</v>
      </c>
      <c r="K29" s="893" t="s">
        <v>1966</v>
      </c>
      <c r="L29" s="893" t="s">
        <v>1966</v>
      </c>
      <c r="M29" s="893" t="s">
        <v>1966</v>
      </c>
      <c r="N29" s="893" t="s">
        <v>1966</v>
      </c>
      <c r="O29" s="893" t="s">
        <v>1966</v>
      </c>
      <c r="P29" s="1342"/>
      <c r="Q29" s="1342"/>
      <c r="R29" s="1342"/>
      <c r="S29" s="1321" t="s">
        <v>2129</v>
      </c>
      <c r="T29" s="1335" t="s">
        <v>2190</v>
      </c>
    </row>
    <row r="30" spans="1:20" s="1018" customFormat="1" ht="28.5">
      <c r="A30" s="1339" t="s">
        <v>2191</v>
      </c>
      <c r="B30" s="1335" t="str">
        <f t="shared" si="0"/>
        <v>SoCalGas</v>
      </c>
      <c r="C30" s="1335" t="s">
        <v>23</v>
      </c>
      <c r="D30" s="1335" t="s">
        <v>1210</v>
      </c>
      <c r="E30" s="1340" t="s">
        <v>2192</v>
      </c>
      <c r="F30" s="1341" t="s">
        <v>2193</v>
      </c>
      <c r="G30" s="1341" t="s">
        <v>1338</v>
      </c>
      <c r="H30" s="1342"/>
      <c r="I30" s="1342"/>
      <c r="J30" s="893" t="s">
        <v>1966</v>
      </c>
      <c r="K30" s="893" t="s">
        <v>1966</v>
      </c>
      <c r="L30" s="893" t="s">
        <v>1966</v>
      </c>
      <c r="M30" s="893" t="s">
        <v>1966</v>
      </c>
      <c r="N30" s="893" t="s">
        <v>1966</v>
      </c>
      <c r="O30" s="893" t="s">
        <v>1966</v>
      </c>
      <c r="P30" s="1342"/>
      <c r="Q30" s="1342"/>
      <c r="R30" s="1326"/>
      <c r="S30" s="1321" t="s">
        <v>2129</v>
      </c>
      <c r="T30" s="1335" t="s">
        <v>2152</v>
      </c>
    </row>
    <row r="31" spans="1:20" s="1018" customFormat="1">
      <c r="A31" s="1339" t="s">
        <v>2194</v>
      </c>
      <c r="B31" s="1335" t="str">
        <f t="shared" si="0"/>
        <v>SoCalGas</v>
      </c>
      <c r="C31" s="1335" t="s">
        <v>23</v>
      </c>
      <c r="D31" s="1335" t="s">
        <v>1360</v>
      </c>
      <c r="E31" s="1340" t="s">
        <v>2195</v>
      </c>
      <c r="F31" s="1341" t="s">
        <v>2196</v>
      </c>
      <c r="G31" s="1341" t="s">
        <v>1716</v>
      </c>
      <c r="H31" s="1342"/>
      <c r="I31" s="1342"/>
      <c r="J31" s="893" t="s">
        <v>1966</v>
      </c>
      <c r="K31" s="893" t="s">
        <v>1966</v>
      </c>
      <c r="L31" s="893" t="s">
        <v>1966</v>
      </c>
      <c r="M31" s="893" t="s">
        <v>1966</v>
      </c>
      <c r="N31" s="893" t="s">
        <v>1966</v>
      </c>
      <c r="O31" s="893" t="s">
        <v>1966</v>
      </c>
      <c r="P31" s="1342"/>
      <c r="Q31" s="1342"/>
      <c r="R31" s="1326"/>
      <c r="S31" s="1321"/>
      <c r="T31" s="1335" t="s">
        <v>2152</v>
      </c>
    </row>
    <row r="32" spans="1:20" s="1018" customFormat="1">
      <c r="A32" s="1339" t="s">
        <v>2197</v>
      </c>
      <c r="B32" s="1335" t="str">
        <f t="shared" si="0"/>
        <v>SoCalGas</v>
      </c>
      <c r="C32" s="1335" t="s">
        <v>23</v>
      </c>
      <c r="D32" s="1335" t="s">
        <v>1360</v>
      </c>
      <c r="E32" s="1340" t="s">
        <v>2198</v>
      </c>
      <c r="F32" s="1341" t="s">
        <v>2199</v>
      </c>
      <c r="G32" s="1341" t="s">
        <v>2040</v>
      </c>
      <c r="H32" s="1342"/>
      <c r="I32" s="1342"/>
      <c r="J32" s="893" t="s">
        <v>1966</v>
      </c>
      <c r="K32" s="893" t="s">
        <v>1966</v>
      </c>
      <c r="L32" s="893" t="s">
        <v>1966</v>
      </c>
      <c r="M32" s="893" t="s">
        <v>1966</v>
      </c>
      <c r="N32" s="893" t="s">
        <v>1966</v>
      </c>
      <c r="O32" s="893" t="s">
        <v>1966</v>
      </c>
      <c r="P32" s="1342"/>
      <c r="Q32" s="1342"/>
      <c r="R32" s="1326"/>
      <c r="S32" s="1321"/>
      <c r="T32" s="1345"/>
    </row>
    <row r="33" spans="1:20" s="1018" customFormat="1" ht="42.75">
      <c r="A33" s="1339">
        <v>314</v>
      </c>
      <c r="B33" s="1335" t="str">
        <f t="shared" si="0"/>
        <v>SoCalGas</v>
      </c>
      <c r="C33" s="1335" t="s">
        <v>1800</v>
      </c>
      <c r="D33" s="1335" t="s">
        <v>1210</v>
      </c>
      <c r="E33" s="1335" t="s">
        <v>1857</v>
      </c>
      <c r="F33" s="1341" t="s">
        <v>2200</v>
      </c>
      <c r="G33" s="1341" t="s">
        <v>1858</v>
      </c>
      <c r="H33" s="893"/>
      <c r="I33" s="893"/>
      <c r="J33" s="893" t="s">
        <v>1966</v>
      </c>
      <c r="K33" s="893" t="s">
        <v>1966</v>
      </c>
      <c r="L33" s="894" t="s">
        <v>1862</v>
      </c>
      <c r="M33" s="894" t="s">
        <v>1862</v>
      </c>
      <c r="N33" s="894" t="s">
        <v>1862</v>
      </c>
      <c r="O33" s="894" t="s">
        <v>1862</v>
      </c>
      <c r="P33" s="1342"/>
      <c r="Q33" s="1342"/>
      <c r="R33" s="1326"/>
      <c r="S33" s="1321"/>
      <c r="T33" s="1345"/>
    </row>
    <row r="34" spans="1:20" s="1018" customFormat="1" ht="42.75">
      <c r="A34" s="1339">
        <v>315</v>
      </c>
      <c r="B34" s="1335" t="str">
        <f t="shared" si="0"/>
        <v>SoCalGas</v>
      </c>
      <c r="C34" s="1335" t="s">
        <v>1800</v>
      </c>
      <c r="D34" s="1335" t="s">
        <v>1210</v>
      </c>
      <c r="E34" s="1335" t="s">
        <v>1865</v>
      </c>
      <c r="F34" s="1341" t="s">
        <v>2201</v>
      </c>
      <c r="G34" s="1341" t="s">
        <v>1866</v>
      </c>
      <c r="H34" s="893"/>
      <c r="I34" s="893"/>
      <c r="J34" s="893" t="s">
        <v>1966</v>
      </c>
      <c r="K34" s="893" t="s">
        <v>1966</v>
      </c>
      <c r="L34" s="894" t="s">
        <v>1862</v>
      </c>
      <c r="M34" s="894" t="s">
        <v>1862</v>
      </c>
      <c r="N34" s="894" t="s">
        <v>1862</v>
      </c>
      <c r="O34" s="894" t="s">
        <v>1862</v>
      </c>
      <c r="P34" s="1342"/>
      <c r="Q34" s="1342"/>
      <c r="R34" s="1326"/>
      <c r="S34" s="1321"/>
      <c r="T34" s="1335"/>
    </row>
    <row r="35" spans="1:20" s="1018" customFormat="1" ht="42.75">
      <c r="A35" s="1339">
        <v>316</v>
      </c>
      <c r="B35" s="1335" t="str">
        <f t="shared" si="0"/>
        <v>SoCalGas</v>
      </c>
      <c r="C35" s="1335" t="s">
        <v>1800</v>
      </c>
      <c r="D35" s="1335" t="s">
        <v>1210</v>
      </c>
      <c r="E35" s="1335" t="s">
        <v>1870</v>
      </c>
      <c r="F35" s="1341" t="s">
        <v>2202</v>
      </c>
      <c r="G35" s="1341" t="s">
        <v>1338</v>
      </c>
      <c r="H35" s="893"/>
      <c r="I35" s="893"/>
      <c r="J35" s="893" t="s">
        <v>1966</v>
      </c>
      <c r="K35" s="893" t="s">
        <v>1966</v>
      </c>
      <c r="L35" s="894" t="s">
        <v>1862</v>
      </c>
      <c r="M35" s="894" t="s">
        <v>1862</v>
      </c>
      <c r="N35" s="894" t="s">
        <v>1862</v>
      </c>
      <c r="O35" s="894" t="s">
        <v>1862</v>
      </c>
      <c r="P35" s="1342"/>
      <c r="Q35" s="1342"/>
      <c r="R35" s="1326"/>
      <c r="S35" s="1321"/>
      <c r="T35" s="1345"/>
    </row>
    <row r="36" spans="1:20" s="1018" customFormat="1" ht="42.75">
      <c r="A36" s="1339">
        <v>317</v>
      </c>
      <c r="B36" s="1335" t="str">
        <f t="shared" si="0"/>
        <v>SoCalGas</v>
      </c>
      <c r="C36" s="1335" t="s">
        <v>1800</v>
      </c>
      <c r="D36" s="1335" t="s">
        <v>1210</v>
      </c>
      <c r="E36" s="1335" t="s">
        <v>1874</v>
      </c>
      <c r="F36" s="1341" t="s">
        <v>2203</v>
      </c>
      <c r="G36" s="1341" t="s">
        <v>1716</v>
      </c>
      <c r="H36" s="893"/>
      <c r="I36" s="893"/>
      <c r="J36" s="893" t="s">
        <v>1966</v>
      </c>
      <c r="K36" s="893" t="s">
        <v>1966</v>
      </c>
      <c r="L36" s="894" t="s">
        <v>1862</v>
      </c>
      <c r="M36" s="894" t="s">
        <v>1862</v>
      </c>
      <c r="N36" s="894" t="s">
        <v>1862</v>
      </c>
      <c r="O36" s="894" t="s">
        <v>1862</v>
      </c>
      <c r="P36" s="1342"/>
      <c r="Q36" s="1342"/>
      <c r="R36" s="1326"/>
      <c r="S36" s="1321"/>
      <c r="T36" s="1345"/>
    </row>
    <row r="37" spans="1:20" s="1018" customFormat="1" ht="42.75">
      <c r="A37" s="1339">
        <v>318</v>
      </c>
      <c r="B37" s="1335" t="str">
        <f t="shared" si="0"/>
        <v>SoCalGas</v>
      </c>
      <c r="C37" s="1335" t="s">
        <v>1800</v>
      </c>
      <c r="D37" s="1335" t="s">
        <v>1210</v>
      </c>
      <c r="E37" s="1335" t="s">
        <v>1879</v>
      </c>
      <c r="F37" s="1332" t="s">
        <v>2204</v>
      </c>
      <c r="G37" s="1341" t="s">
        <v>1880</v>
      </c>
      <c r="H37" s="893"/>
      <c r="I37" s="893"/>
      <c r="J37" s="893" t="s">
        <v>1966</v>
      </c>
      <c r="K37" s="893" t="s">
        <v>1966</v>
      </c>
      <c r="L37" s="894" t="s">
        <v>1862</v>
      </c>
      <c r="M37" s="894" t="s">
        <v>1862</v>
      </c>
      <c r="N37" s="894" t="s">
        <v>1862</v>
      </c>
      <c r="O37" s="894" t="s">
        <v>1862</v>
      </c>
      <c r="P37" s="1342"/>
      <c r="Q37" s="1342"/>
      <c r="R37" s="1326"/>
      <c r="S37" s="1321"/>
      <c r="T37" s="1345"/>
    </row>
    <row r="38" spans="1:20" s="1018" customFormat="1" ht="42.75">
      <c r="A38" s="1339">
        <v>319</v>
      </c>
      <c r="B38" s="1335" t="str">
        <f t="shared" si="0"/>
        <v>SoCalGas</v>
      </c>
      <c r="C38" s="1335" t="s">
        <v>1800</v>
      </c>
      <c r="D38" s="1335" t="s">
        <v>1210</v>
      </c>
      <c r="E38" s="1335" t="s">
        <v>1886</v>
      </c>
      <c r="F38" s="1332" t="s">
        <v>2204</v>
      </c>
      <c r="G38" s="1341" t="s">
        <v>1887</v>
      </c>
      <c r="H38" s="893"/>
      <c r="I38" s="893"/>
      <c r="J38" s="893" t="s">
        <v>1966</v>
      </c>
      <c r="K38" s="893" t="s">
        <v>1966</v>
      </c>
      <c r="L38" s="894" t="s">
        <v>1862</v>
      </c>
      <c r="M38" s="894" t="s">
        <v>1862</v>
      </c>
      <c r="N38" s="894" t="s">
        <v>1862</v>
      </c>
      <c r="O38" s="894" t="s">
        <v>1862</v>
      </c>
      <c r="P38" s="1342"/>
      <c r="Q38" s="1342"/>
      <c r="R38" s="1326"/>
      <c r="S38" s="1321"/>
      <c r="T38" s="1345"/>
    </row>
    <row r="39" spans="1:20" s="1018" customFormat="1" ht="42.75">
      <c r="A39" s="1339">
        <v>320</v>
      </c>
      <c r="B39" s="1335" t="str">
        <f t="shared" si="0"/>
        <v>SoCalGas</v>
      </c>
      <c r="C39" s="1335" t="s">
        <v>1800</v>
      </c>
      <c r="D39" s="1335" t="s">
        <v>1210</v>
      </c>
      <c r="E39" s="1335" t="s">
        <v>1890</v>
      </c>
      <c r="F39" s="1332" t="s">
        <v>2204</v>
      </c>
      <c r="G39" s="1341" t="s">
        <v>1891</v>
      </c>
      <c r="H39" s="893"/>
      <c r="I39" s="893"/>
      <c r="J39" s="893" t="s">
        <v>1966</v>
      </c>
      <c r="K39" s="893" t="s">
        <v>1966</v>
      </c>
      <c r="L39" s="894" t="s">
        <v>1862</v>
      </c>
      <c r="M39" s="894" t="s">
        <v>1862</v>
      </c>
      <c r="N39" s="894" t="s">
        <v>1862</v>
      </c>
      <c r="O39" s="894" t="s">
        <v>1862</v>
      </c>
      <c r="P39" s="1342"/>
      <c r="Q39" s="1342"/>
      <c r="R39" s="1326"/>
      <c r="S39" s="1321"/>
      <c r="T39" s="1345"/>
    </row>
    <row r="40" spans="1:20" s="1018" customFormat="1">
      <c r="A40" s="1339" t="s">
        <v>2205</v>
      </c>
      <c r="B40" s="1335" t="str">
        <f t="shared" si="0"/>
        <v>SoCalGas</v>
      </c>
      <c r="C40" s="1335" t="s">
        <v>23</v>
      </c>
      <c r="D40" s="1335" t="s">
        <v>1210</v>
      </c>
      <c r="E40" s="1340" t="s">
        <v>2206</v>
      </c>
      <c r="F40" s="1341" t="s">
        <v>2207</v>
      </c>
      <c r="G40" s="1341" t="s">
        <v>1716</v>
      </c>
      <c r="H40" s="1344"/>
      <c r="I40" s="1342"/>
      <c r="J40" s="893" t="s">
        <v>1966</v>
      </c>
      <c r="K40" s="893" t="s">
        <v>1966</v>
      </c>
      <c r="L40" s="893" t="s">
        <v>1966</v>
      </c>
      <c r="M40" s="893" t="s">
        <v>1966</v>
      </c>
      <c r="N40" s="893" t="s">
        <v>1966</v>
      </c>
      <c r="O40" s="893" t="s">
        <v>1966</v>
      </c>
      <c r="P40" s="1342"/>
      <c r="Q40" s="1342"/>
      <c r="R40" s="1342"/>
      <c r="S40" s="1346"/>
      <c r="T40" s="1335" t="s">
        <v>2208</v>
      </c>
    </row>
    <row r="41" spans="1:20" s="1018" customFormat="1" ht="42.75">
      <c r="A41" s="1339" t="s">
        <v>2209</v>
      </c>
      <c r="B41" s="1335" t="str">
        <f t="shared" si="0"/>
        <v>SoCalGas</v>
      </c>
      <c r="C41" s="1335" t="s">
        <v>23</v>
      </c>
      <c r="D41" s="1335" t="s">
        <v>1210</v>
      </c>
      <c r="E41" s="1340" t="s">
        <v>2210</v>
      </c>
      <c r="F41" s="1341" t="s">
        <v>2211</v>
      </c>
      <c r="G41" s="1341" t="s">
        <v>1716</v>
      </c>
      <c r="H41" s="1344"/>
      <c r="I41" s="1342"/>
      <c r="J41" s="893" t="s">
        <v>1966</v>
      </c>
      <c r="K41" s="893" t="s">
        <v>1966</v>
      </c>
      <c r="L41" s="893" t="s">
        <v>1966</v>
      </c>
      <c r="M41" s="893" t="s">
        <v>1966</v>
      </c>
      <c r="N41" s="893" t="s">
        <v>1966</v>
      </c>
      <c r="O41" s="893" t="s">
        <v>1966</v>
      </c>
      <c r="P41" s="1342"/>
      <c r="Q41" s="1342"/>
      <c r="R41" s="1342"/>
      <c r="S41" s="1346"/>
      <c r="T41" s="1335" t="s">
        <v>2212</v>
      </c>
    </row>
    <row r="42" spans="1:20" s="1018" customFormat="1" ht="42.75">
      <c r="A42" s="1339" t="s">
        <v>2213</v>
      </c>
      <c r="B42" s="1335" t="str">
        <f t="shared" si="0"/>
        <v>SoCalGas</v>
      </c>
      <c r="C42" s="1335" t="s">
        <v>23</v>
      </c>
      <c r="D42" s="1335" t="s">
        <v>1210</v>
      </c>
      <c r="E42" s="1340" t="s">
        <v>2214</v>
      </c>
      <c r="F42" s="1341" t="s">
        <v>2215</v>
      </c>
      <c r="G42" s="1341" t="s">
        <v>2216</v>
      </c>
      <c r="H42" s="1342"/>
      <c r="I42" s="1342"/>
      <c r="J42" s="893" t="s">
        <v>1966</v>
      </c>
      <c r="K42" s="893" t="s">
        <v>1966</v>
      </c>
      <c r="L42" s="893" t="s">
        <v>1966</v>
      </c>
      <c r="M42" s="893" t="s">
        <v>1966</v>
      </c>
      <c r="N42" s="893" t="s">
        <v>1966</v>
      </c>
      <c r="O42" s="893" t="s">
        <v>1966</v>
      </c>
      <c r="P42" s="1342"/>
      <c r="Q42" s="1342"/>
      <c r="R42" s="1342"/>
      <c r="S42" s="1346"/>
      <c r="T42" s="1335" t="s">
        <v>2212</v>
      </c>
    </row>
    <row r="43" spans="1:20" s="1018" customFormat="1">
      <c r="A43" s="1339" t="s">
        <v>2217</v>
      </c>
      <c r="B43" s="1335" t="str">
        <f t="shared" si="0"/>
        <v>SoCalGas</v>
      </c>
      <c r="C43" s="1335" t="s">
        <v>23</v>
      </c>
      <c r="D43" s="1335" t="s">
        <v>1210</v>
      </c>
      <c r="E43" s="1340" t="s">
        <v>2218</v>
      </c>
      <c r="F43" s="1341" t="s">
        <v>2219</v>
      </c>
      <c r="G43" s="1341" t="s">
        <v>1338</v>
      </c>
      <c r="H43" s="1344"/>
      <c r="I43" s="1342"/>
      <c r="J43" s="893" t="s">
        <v>1966</v>
      </c>
      <c r="K43" s="893" t="s">
        <v>1966</v>
      </c>
      <c r="L43" s="893" t="s">
        <v>1966</v>
      </c>
      <c r="M43" s="893" t="s">
        <v>1966</v>
      </c>
      <c r="N43" s="893" t="s">
        <v>1966</v>
      </c>
      <c r="O43" s="893" t="s">
        <v>1966</v>
      </c>
      <c r="P43" s="1342"/>
      <c r="Q43" s="1342"/>
      <c r="R43" s="1342"/>
      <c r="S43" s="1346"/>
      <c r="T43" s="1335" t="s">
        <v>2212</v>
      </c>
    </row>
    <row r="44" spans="1:20" s="1018" customFormat="1" ht="28.5">
      <c r="A44" s="1339" t="s">
        <v>2220</v>
      </c>
      <c r="B44" s="1335" t="str">
        <f t="shared" si="0"/>
        <v>SoCalGas</v>
      </c>
      <c r="C44" s="1335" t="s">
        <v>23</v>
      </c>
      <c r="D44" s="1335" t="s">
        <v>1210</v>
      </c>
      <c r="E44" s="1340" t="s">
        <v>2221</v>
      </c>
      <c r="F44" s="1341" t="s">
        <v>2222</v>
      </c>
      <c r="G44" s="1341" t="s">
        <v>1338</v>
      </c>
      <c r="H44" s="1344"/>
      <c r="I44" s="1342"/>
      <c r="J44" s="893" t="s">
        <v>1966</v>
      </c>
      <c r="K44" s="893" t="s">
        <v>1966</v>
      </c>
      <c r="L44" s="893" t="s">
        <v>1966</v>
      </c>
      <c r="M44" s="893" t="s">
        <v>1966</v>
      </c>
      <c r="N44" s="893" t="s">
        <v>1966</v>
      </c>
      <c r="O44" s="893" t="s">
        <v>1966</v>
      </c>
      <c r="P44" s="1342"/>
      <c r="Q44" s="1342"/>
      <c r="R44" s="1342"/>
      <c r="S44" s="1346"/>
      <c r="T44" s="1335" t="s">
        <v>2212</v>
      </c>
    </row>
    <row r="45" spans="1:20" s="1018" customFormat="1" ht="28.5">
      <c r="A45" s="1339" t="s">
        <v>2223</v>
      </c>
      <c r="B45" s="1335" t="str">
        <f t="shared" si="0"/>
        <v>SoCalGas</v>
      </c>
      <c r="C45" s="1335" t="s">
        <v>23</v>
      </c>
      <c r="D45" s="1335" t="s">
        <v>1210</v>
      </c>
      <c r="E45" s="1340" t="s">
        <v>2224</v>
      </c>
      <c r="F45" s="1341" t="s">
        <v>2225</v>
      </c>
      <c r="G45" s="1341" t="s">
        <v>1338</v>
      </c>
      <c r="H45" s="1344"/>
      <c r="I45" s="1342"/>
      <c r="J45" s="893" t="s">
        <v>1966</v>
      </c>
      <c r="K45" s="893" t="s">
        <v>1966</v>
      </c>
      <c r="L45" s="893" t="s">
        <v>1966</v>
      </c>
      <c r="M45" s="893" t="s">
        <v>1966</v>
      </c>
      <c r="N45" s="893" t="s">
        <v>1966</v>
      </c>
      <c r="O45" s="893" t="s">
        <v>1966</v>
      </c>
      <c r="P45" s="1342"/>
      <c r="Q45" s="1342"/>
      <c r="R45" s="1342"/>
      <c r="S45" s="1346"/>
      <c r="T45" s="1335" t="s">
        <v>2208</v>
      </c>
    </row>
    <row r="46" spans="1:20" s="1018" customFormat="1">
      <c r="A46" s="1339" t="s">
        <v>2226</v>
      </c>
      <c r="B46" s="1335" t="str">
        <f t="shared" si="0"/>
        <v>SoCalGas</v>
      </c>
      <c r="C46" s="1335" t="s">
        <v>23</v>
      </c>
      <c r="D46" s="1335" t="s">
        <v>1360</v>
      </c>
      <c r="E46" s="1340" t="s">
        <v>2227</v>
      </c>
      <c r="F46" s="1341" t="s">
        <v>2228</v>
      </c>
      <c r="G46" s="1341" t="s">
        <v>1716</v>
      </c>
      <c r="H46" s="1342"/>
      <c r="I46" s="1342"/>
      <c r="J46" s="893" t="s">
        <v>1966</v>
      </c>
      <c r="K46" s="893" t="s">
        <v>1966</v>
      </c>
      <c r="L46" s="893" t="s">
        <v>1966</v>
      </c>
      <c r="M46" s="893" t="s">
        <v>1966</v>
      </c>
      <c r="N46" s="893" t="s">
        <v>1966</v>
      </c>
      <c r="O46" s="893" t="s">
        <v>1966</v>
      </c>
      <c r="P46" s="1342"/>
      <c r="Q46" s="1342"/>
      <c r="R46" s="1342"/>
      <c r="S46" s="1346"/>
      <c r="T46" s="1335" t="s">
        <v>2212</v>
      </c>
    </row>
    <row r="47" spans="1:20" s="1018" customFormat="1" ht="28.5">
      <c r="A47" s="1339" t="s">
        <v>2229</v>
      </c>
      <c r="B47" s="1335" t="str">
        <f t="shared" si="0"/>
        <v>SoCalGas</v>
      </c>
      <c r="C47" s="1335" t="s">
        <v>23</v>
      </c>
      <c r="D47" s="1335" t="s">
        <v>1210</v>
      </c>
      <c r="E47" s="1340" t="s">
        <v>2230</v>
      </c>
      <c r="F47" s="1341" t="s">
        <v>2231</v>
      </c>
      <c r="G47" s="1341" t="s">
        <v>2232</v>
      </c>
      <c r="H47" s="1342"/>
      <c r="I47" s="1342"/>
      <c r="J47" s="893" t="s">
        <v>1966</v>
      </c>
      <c r="K47" s="893" t="s">
        <v>1966</v>
      </c>
      <c r="L47" s="893" t="s">
        <v>1966</v>
      </c>
      <c r="M47" s="893" t="s">
        <v>1966</v>
      </c>
      <c r="N47" s="893" t="s">
        <v>1966</v>
      </c>
      <c r="O47" s="893" t="s">
        <v>1966</v>
      </c>
      <c r="P47" s="1342"/>
      <c r="Q47" s="1342"/>
      <c r="R47" s="1342"/>
      <c r="S47" s="1346"/>
      <c r="T47" s="1335" t="s">
        <v>2233</v>
      </c>
    </row>
    <row r="48" spans="1:20" s="1018" customFormat="1" ht="28.5">
      <c r="A48" s="1339" t="s">
        <v>2234</v>
      </c>
      <c r="B48" s="1335" t="str">
        <f t="shared" si="0"/>
        <v>SoCalGas</v>
      </c>
      <c r="C48" s="1335" t="s">
        <v>23</v>
      </c>
      <c r="D48" s="1335" t="s">
        <v>1210</v>
      </c>
      <c r="E48" s="1340" t="s">
        <v>2235</v>
      </c>
      <c r="F48" s="1341" t="s">
        <v>2236</v>
      </c>
      <c r="G48" s="1341" t="s">
        <v>2232</v>
      </c>
      <c r="H48" s="1342"/>
      <c r="I48" s="1342"/>
      <c r="J48" s="893" t="s">
        <v>1966</v>
      </c>
      <c r="K48" s="893" t="s">
        <v>1966</v>
      </c>
      <c r="L48" s="893" t="s">
        <v>1966</v>
      </c>
      <c r="M48" s="893" t="s">
        <v>1966</v>
      </c>
      <c r="N48" s="893" t="s">
        <v>1966</v>
      </c>
      <c r="O48" s="893" t="s">
        <v>1966</v>
      </c>
      <c r="P48" s="1342"/>
      <c r="Q48" s="1342"/>
      <c r="R48" s="1342"/>
      <c r="S48" s="1346"/>
      <c r="T48" s="1335" t="s">
        <v>2233</v>
      </c>
    </row>
    <row r="49" spans="1:20" s="1018" customFormat="1">
      <c r="A49" s="1339" t="s">
        <v>2237</v>
      </c>
      <c r="B49" s="1335" t="str">
        <f t="shared" si="0"/>
        <v>SoCalGas</v>
      </c>
      <c r="C49" s="1335" t="s">
        <v>23</v>
      </c>
      <c r="D49" s="1335" t="s">
        <v>1210</v>
      </c>
      <c r="E49" s="1340" t="s">
        <v>2238</v>
      </c>
      <c r="F49" s="1341" t="s">
        <v>2239</v>
      </c>
      <c r="G49" s="1341" t="s">
        <v>1716</v>
      </c>
      <c r="H49" s="1342"/>
      <c r="I49" s="1342"/>
      <c r="J49" s="893" t="s">
        <v>1966</v>
      </c>
      <c r="K49" s="893" t="s">
        <v>1966</v>
      </c>
      <c r="L49" s="893" t="s">
        <v>1966</v>
      </c>
      <c r="M49" s="893" t="s">
        <v>1966</v>
      </c>
      <c r="N49" s="893" t="s">
        <v>1966</v>
      </c>
      <c r="O49" s="893" t="s">
        <v>1966</v>
      </c>
      <c r="P49" s="1342"/>
      <c r="Q49" s="1342"/>
      <c r="R49" s="1342"/>
      <c r="S49" s="1346"/>
      <c r="T49" s="1335" t="s">
        <v>2185</v>
      </c>
    </row>
    <row r="50" spans="1:20" s="1018" customFormat="1">
      <c r="A50" s="1339" t="s">
        <v>2240</v>
      </c>
      <c r="B50" s="1335" t="str">
        <f t="shared" si="0"/>
        <v>SoCalGas</v>
      </c>
      <c r="C50" s="1335" t="s">
        <v>23</v>
      </c>
      <c r="D50" s="1335" t="s">
        <v>1210</v>
      </c>
      <c r="E50" s="1340" t="s">
        <v>2241</v>
      </c>
      <c r="F50" s="1341" t="s">
        <v>2242</v>
      </c>
      <c r="G50" s="1341" t="s">
        <v>2243</v>
      </c>
      <c r="H50" s="1344"/>
      <c r="I50" s="1342"/>
      <c r="J50" s="893" t="s">
        <v>1966</v>
      </c>
      <c r="K50" s="893" t="s">
        <v>1966</v>
      </c>
      <c r="L50" s="893" t="s">
        <v>1966</v>
      </c>
      <c r="M50" s="893" t="s">
        <v>1966</v>
      </c>
      <c r="N50" s="893" t="s">
        <v>1966</v>
      </c>
      <c r="O50" s="893" t="s">
        <v>1966</v>
      </c>
      <c r="P50" s="1342"/>
      <c r="Q50" s="1342"/>
      <c r="R50" s="1342"/>
      <c r="S50" s="1346"/>
      <c r="T50" s="1335" t="s">
        <v>2244</v>
      </c>
    </row>
    <row r="51" spans="1:20" s="1018" customFormat="1" ht="28.5">
      <c r="A51" s="1339" t="s">
        <v>2245</v>
      </c>
      <c r="B51" s="1335" t="str">
        <f t="shared" si="0"/>
        <v>SoCalGas</v>
      </c>
      <c r="C51" s="1335" t="s">
        <v>23</v>
      </c>
      <c r="D51" s="1335" t="s">
        <v>1210</v>
      </c>
      <c r="E51" s="1340" t="s">
        <v>2246</v>
      </c>
      <c r="F51" s="1341" t="s">
        <v>2247</v>
      </c>
      <c r="G51" s="1341" t="s">
        <v>2040</v>
      </c>
      <c r="H51" s="1344"/>
      <c r="I51" s="1342"/>
      <c r="J51" s="893" t="s">
        <v>1966</v>
      </c>
      <c r="K51" s="893" t="s">
        <v>1966</v>
      </c>
      <c r="L51" s="893" t="s">
        <v>1966</v>
      </c>
      <c r="M51" s="893" t="s">
        <v>1966</v>
      </c>
      <c r="N51" s="893" t="s">
        <v>1966</v>
      </c>
      <c r="O51" s="893" t="s">
        <v>1966</v>
      </c>
      <c r="P51" s="1342"/>
      <c r="Q51" s="1342"/>
      <c r="R51" s="1342"/>
      <c r="S51" s="1346"/>
      <c r="T51" s="1335" t="s">
        <v>2208</v>
      </c>
    </row>
    <row r="52" spans="1:20" s="1018" customFormat="1" ht="28.5">
      <c r="A52" s="1339" t="s">
        <v>2248</v>
      </c>
      <c r="B52" s="1335" t="str">
        <f t="shared" si="0"/>
        <v>SoCalGas</v>
      </c>
      <c r="C52" s="1335" t="s">
        <v>23</v>
      </c>
      <c r="D52" s="1335" t="s">
        <v>1210</v>
      </c>
      <c r="E52" s="1340" t="s">
        <v>2249</v>
      </c>
      <c r="F52" s="1341" t="s">
        <v>2250</v>
      </c>
      <c r="G52" s="1341" t="s">
        <v>1338</v>
      </c>
      <c r="H52" s="1344"/>
      <c r="I52" s="1342" t="s">
        <v>2251</v>
      </c>
      <c r="J52" s="893" t="s">
        <v>1966</v>
      </c>
      <c r="K52" s="893" t="s">
        <v>1966</v>
      </c>
      <c r="L52" s="893" t="s">
        <v>1966</v>
      </c>
      <c r="M52" s="893" t="s">
        <v>1966</v>
      </c>
      <c r="N52" s="893" t="s">
        <v>1966</v>
      </c>
      <c r="O52" s="1342" t="s">
        <v>2138</v>
      </c>
      <c r="P52" s="1342"/>
      <c r="Q52" s="1342"/>
      <c r="R52" s="1326"/>
      <c r="S52" s="1321"/>
      <c r="T52" s="1335" t="s">
        <v>1229</v>
      </c>
    </row>
    <row r="53" spans="1:20" s="1018" customFormat="1" ht="28.5">
      <c r="A53" s="1339" t="s">
        <v>2252</v>
      </c>
      <c r="B53" s="1335" t="str">
        <f t="shared" si="0"/>
        <v>SoCalGas</v>
      </c>
      <c r="C53" s="1335" t="s">
        <v>23</v>
      </c>
      <c r="D53" s="1335" t="s">
        <v>1210</v>
      </c>
      <c r="E53" s="1340" t="s">
        <v>2253</v>
      </c>
      <c r="F53" s="1341" t="s">
        <v>2254</v>
      </c>
      <c r="G53" s="1341" t="s">
        <v>1338</v>
      </c>
      <c r="H53" s="1344"/>
      <c r="I53" s="1342" t="s">
        <v>2251</v>
      </c>
      <c r="J53" s="893" t="s">
        <v>1966</v>
      </c>
      <c r="K53" s="893" t="s">
        <v>1966</v>
      </c>
      <c r="L53" s="893" t="s">
        <v>1966</v>
      </c>
      <c r="M53" s="893" t="s">
        <v>1966</v>
      </c>
      <c r="N53" s="893" t="s">
        <v>1966</v>
      </c>
      <c r="O53" s="1342" t="s">
        <v>2138</v>
      </c>
      <c r="P53" s="1342"/>
      <c r="Q53" s="1342"/>
      <c r="R53" s="1326"/>
      <c r="S53" s="1321"/>
      <c r="T53" s="1335" t="s">
        <v>1229</v>
      </c>
    </row>
    <row r="54" spans="1:20" s="1018" customFormat="1" ht="28.5">
      <c r="A54" s="1339" t="s">
        <v>2255</v>
      </c>
      <c r="B54" s="1335" t="str">
        <f t="shared" si="0"/>
        <v>SoCalGas</v>
      </c>
      <c r="C54" s="1335" t="s">
        <v>23</v>
      </c>
      <c r="D54" s="1335" t="s">
        <v>1210</v>
      </c>
      <c r="E54" s="1340" t="s">
        <v>2256</v>
      </c>
      <c r="F54" s="1341" t="s">
        <v>2257</v>
      </c>
      <c r="G54" s="1341" t="s">
        <v>1338</v>
      </c>
      <c r="H54" s="1344"/>
      <c r="I54" s="1342" t="s">
        <v>2251</v>
      </c>
      <c r="J54" s="893" t="s">
        <v>1966</v>
      </c>
      <c r="K54" s="893" t="s">
        <v>1966</v>
      </c>
      <c r="L54" s="893" t="s">
        <v>1966</v>
      </c>
      <c r="M54" s="893" t="s">
        <v>1966</v>
      </c>
      <c r="N54" s="893" t="s">
        <v>1966</v>
      </c>
      <c r="O54" s="1342" t="s">
        <v>2138</v>
      </c>
      <c r="P54" s="1342"/>
      <c r="Q54" s="1342"/>
      <c r="R54" s="1326"/>
      <c r="S54" s="1321"/>
      <c r="T54" s="1335" t="s">
        <v>1229</v>
      </c>
    </row>
    <row r="55" spans="1:20" s="1018" customFormat="1" ht="28.5">
      <c r="A55" s="1339" t="s">
        <v>2258</v>
      </c>
      <c r="B55" s="1335" t="str">
        <f t="shared" si="0"/>
        <v>SoCalGas</v>
      </c>
      <c r="C55" s="1335" t="s">
        <v>23</v>
      </c>
      <c r="D55" s="1335" t="s">
        <v>1210</v>
      </c>
      <c r="E55" s="1340" t="s">
        <v>2259</v>
      </c>
      <c r="F55" s="1341" t="s">
        <v>2260</v>
      </c>
      <c r="G55" s="1341" t="s">
        <v>1338</v>
      </c>
      <c r="H55" s="1344"/>
      <c r="I55" s="1342" t="s">
        <v>2251</v>
      </c>
      <c r="J55" s="893" t="s">
        <v>1966</v>
      </c>
      <c r="K55" s="893" t="s">
        <v>1966</v>
      </c>
      <c r="L55" s="893" t="s">
        <v>1966</v>
      </c>
      <c r="M55" s="893" t="s">
        <v>1966</v>
      </c>
      <c r="N55" s="893" t="s">
        <v>1966</v>
      </c>
      <c r="O55" s="1342" t="s">
        <v>2138</v>
      </c>
      <c r="P55" s="1342"/>
      <c r="Q55" s="1342"/>
      <c r="R55" s="1326"/>
      <c r="S55" s="1321"/>
      <c r="T55" s="1335" t="s">
        <v>1229</v>
      </c>
    </row>
    <row r="56" spans="1:20">
      <c r="A56" s="230"/>
      <c r="B56" s="230"/>
      <c r="C56" s="230"/>
      <c r="D56" s="887"/>
      <c r="E56" s="887"/>
      <c r="F56" s="887"/>
      <c r="H56" s="1334"/>
      <c r="I56" s="892"/>
      <c r="J56" s="892"/>
      <c r="K56" s="892"/>
      <c r="L56" s="892"/>
      <c r="M56" s="892"/>
      <c r="N56" s="892"/>
      <c r="O56" s="892"/>
      <c r="P56" s="892"/>
      <c r="Q56" s="892"/>
      <c r="R56" s="892"/>
      <c r="S56" s="892"/>
    </row>
    <row r="57" spans="1:20">
      <c r="A57" s="230"/>
      <c r="B57" s="230"/>
      <c r="C57" s="230"/>
      <c r="D57" s="887"/>
      <c r="E57" s="887"/>
      <c r="F57" s="887"/>
      <c r="H57" s="887"/>
      <c r="I57" s="230"/>
      <c r="J57" s="230"/>
      <c r="K57" s="230"/>
      <c r="L57" s="230"/>
      <c r="M57" s="230"/>
      <c r="N57" s="230"/>
      <c r="O57" s="230"/>
      <c r="P57" s="230"/>
      <c r="Q57" s="230"/>
      <c r="R57" s="230"/>
      <c r="S57" s="230"/>
    </row>
    <row r="58" spans="1:20">
      <c r="A58" s="230"/>
      <c r="B58" s="230"/>
      <c r="C58" s="230"/>
      <c r="D58" s="887"/>
      <c r="E58" s="887"/>
      <c r="F58" s="887"/>
      <c r="H58" s="887"/>
      <c r="I58" s="230"/>
      <c r="J58" s="230"/>
      <c r="K58" s="230"/>
      <c r="L58" s="230"/>
      <c r="M58" s="230"/>
      <c r="N58" s="230"/>
      <c r="O58" s="230"/>
      <c r="P58" s="230"/>
      <c r="Q58" s="230"/>
      <c r="R58" s="230"/>
      <c r="S58" s="230"/>
    </row>
    <row r="59" spans="1:20">
      <c r="A59" s="230"/>
      <c r="B59" s="230"/>
      <c r="C59" s="230"/>
      <c r="D59" s="887"/>
      <c r="E59" s="887"/>
      <c r="F59" s="887"/>
      <c r="H59" s="887"/>
      <c r="I59" s="230"/>
      <c r="J59" s="230"/>
      <c r="K59" s="230"/>
      <c r="L59" s="230"/>
      <c r="M59" s="230"/>
      <c r="N59" s="230"/>
      <c r="O59" s="230"/>
      <c r="P59" s="230"/>
      <c r="Q59" s="230"/>
      <c r="R59" s="230"/>
      <c r="S59" s="230"/>
    </row>
    <row r="60" spans="1:20">
      <c r="A60" s="230"/>
      <c r="B60" s="230"/>
      <c r="C60" s="230"/>
      <c r="D60" s="887"/>
      <c r="E60" s="887"/>
      <c r="F60" s="887"/>
      <c r="H60" s="887"/>
      <c r="I60" s="230"/>
      <c r="J60" s="230"/>
      <c r="K60" s="230"/>
      <c r="L60" s="230"/>
      <c r="M60" s="230"/>
      <c r="N60" s="230"/>
      <c r="O60" s="230"/>
      <c r="P60" s="230"/>
      <c r="Q60" s="230"/>
      <c r="R60" s="230"/>
      <c r="S60" s="230"/>
    </row>
    <row r="61" spans="1:20">
      <c r="A61" s="230"/>
      <c r="B61" s="230"/>
      <c r="C61" s="230"/>
      <c r="D61" s="887"/>
      <c r="E61" s="887"/>
      <c r="F61" s="887"/>
      <c r="H61" s="887"/>
      <c r="I61" s="230"/>
      <c r="J61" s="230"/>
      <c r="K61" s="230"/>
      <c r="L61" s="230"/>
      <c r="M61" s="230"/>
      <c r="N61" s="230"/>
      <c r="O61" s="230"/>
      <c r="P61" s="230"/>
      <c r="Q61" s="230"/>
      <c r="R61" s="230"/>
      <c r="S61" s="230"/>
    </row>
    <row r="62" spans="1:20">
      <c r="A62" s="230"/>
      <c r="B62" s="230"/>
      <c r="C62" s="230"/>
      <c r="D62" s="887"/>
      <c r="E62" s="887"/>
      <c r="F62" s="887"/>
      <c r="H62" s="887"/>
      <c r="I62" s="230"/>
      <c r="J62" s="230"/>
      <c r="K62" s="230"/>
      <c r="L62" s="230"/>
      <c r="M62" s="230"/>
      <c r="N62" s="230"/>
      <c r="O62" s="230"/>
      <c r="P62" s="230"/>
      <c r="Q62" s="230"/>
      <c r="R62" s="230"/>
      <c r="S62" s="230"/>
    </row>
    <row r="63" spans="1:20">
      <c r="A63" s="230"/>
      <c r="B63" s="230"/>
      <c r="C63" s="230"/>
      <c r="D63" s="887"/>
      <c r="E63" s="887"/>
      <c r="F63" s="887"/>
      <c r="H63" s="887"/>
      <c r="I63" s="230"/>
      <c r="J63" s="230"/>
      <c r="K63" s="230"/>
      <c r="L63" s="230"/>
      <c r="M63" s="230"/>
      <c r="N63" s="230"/>
      <c r="O63" s="230"/>
      <c r="P63" s="230"/>
      <c r="Q63" s="230"/>
      <c r="R63" s="230"/>
      <c r="S63" s="230"/>
    </row>
    <row r="64" spans="1:20">
      <c r="A64" s="230"/>
      <c r="B64" s="230"/>
      <c r="C64" s="230"/>
      <c r="D64" s="887"/>
      <c r="E64" s="887"/>
      <c r="F64" s="887"/>
      <c r="H64" s="887"/>
      <c r="I64" s="230"/>
      <c r="J64" s="230"/>
      <c r="K64" s="230"/>
      <c r="L64" s="230"/>
      <c r="M64" s="230"/>
      <c r="N64" s="230"/>
      <c r="O64" s="230"/>
      <c r="P64" s="230"/>
      <c r="Q64" s="230"/>
      <c r="R64" s="230"/>
      <c r="S64" s="230"/>
    </row>
    <row r="65" spans="1:19">
      <c r="A65" s="230"/>
      <c r="B65" s="230"/>
      <c r="C65" s="230"/>
      <c r="D65" s="887"/>
      <c r="E65" s="887"/>
      <c r="F65" s="887"/>
      <c r="H65" s="887"/>
      <c r="I65" s="230"/>
      <c r="J65" s="230"/>
      <c r="K65" s="230"/>
      <c r="L65" s="230"/>
      <c r="M65" s="230"/>
      <c r="N65" s="230"/>
      <c r="O65" s="230"/>
      <c r="P65" s="230"/>
      <c r="Q65" s="230"/>
      <c r="R65" s="230"/>
      <c r="S65" s="230"/>
    </row>
  </sheetData>
  <autoFilter ref="A5:T55" xr:uid="{D5DB85DC-776B-43DF-BC7A-57C34827678C}"/>
  <mergeCells count="1">
    <mergeCell ref="C4:S4"/>
  </mergeCells>
  <phoneticPr fontId="176" type="noConversion"/>
  <pageMargins left="0.7" right="0.7" top="0.75" bottom="0.75" header="0.3" footer="0.3"/>
  <pageSetup paperSize="3" scale="44" orientation="landscape"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3CFCD-8798-4333-A500-47E30EBC35AE}">
  <sheetPr>
    <pageSetUpPr fitToPage="1"/>
  </sheetPr>
  <dimension ref="A1:M28"/>
  <sheetViews>
    <sheetView workbookViewId="0"/>
  </sheetViews>
  <sheetFormatPr defaultColWidth="9" defaultRowHeight="14.25"/>
  <cols>
    <col min="1" max="1" width="26.375" style="886" bestFit="1" customWidth="1"/>
    <col min="2" max="2" width="22.5" style="886" bestFit="1" customWidth="1"/>
    <col min="3" max="16384" width="9" style="886"/>
  </cols>
  <sheetData>
    <row r="1" spans="1:13">
      <c r="A1" s="175" t="s">
        <v>98</v>
      </c>
      <c r="B1" s="176" t="str">
        <f>PA_NAME</f>
        <v>SoCalGas</v>
      </c>
      <c r="D1" s="887"/>
    </row>
    <row r="2" spans="1:13">
      <c r="A2" s="175" t="s">
        <v>99</v>
      </c>
      <c r="B2" s="888" t="s">
        <v>303</v>
      </c>
    </row>
    <row r="3" spans="1:13">
      <c r="A3" s="10" t="s">
        <v>2261</v>
      </c>
      <c r="B3" s="266"/>
    </row>
    <row r="5" spans="1:13" ht="32.450000000000003" customHeight="1">
      <c r="B5" s="1448" t="s">
        <v>2262</v>
      </c>
      <c r="C5" s="1448"/>
      <c r="D5" s="1448"/>
      <c r="E5" s="1448"/>
      <c r="F5" s="1448"/>
      <c r="G5" s="1448"/>
      <c r="H5" s="1448"/>
      <c r="I5" s="1448"/>
      <c r="J5" s="1448"/>
      <c r="K5" s="1448"/>
      <c r="L5" s="1448"/>
      <c r="M5" s="1448"/>
    </row>
    <row r="6" spans="1:13">
      <c r="B6" s="1447"/>
      <c r="C6" s="1447"/>
      <c r="D6" s="1447"/>
      <c r="E6" s="1447"/>
      <c r="F6" s="1447"/>
      <c r="G6" s="1447"/>
      <c r="H6" s="1447"/>
      <c r="I6" s="1447"/>
      <c r="J6" s="1447"/>
      <c r="K6" s="1447"/>
      <c r="L6" s="1447"/>
      <c r="M6" s="1447"/>
    </row>
    <row r="7" spans="1:13">
      <c r="B7" s="1447"/>
      <c r="C7" s="1447"/>
      <c r="D7" s="1447"/>
      <c r="E7" s="1447"/>
      <c r="F7" s="1447"/>
      <c r="G7" s="1447"/>
      <c r="H7" s="1447"/>
      <c r="I7" s="1447"/>
      <c r="J7" s="1447"/>
      <c r="K7" s="1447"/>
      <c r="L7" s="1447"/>
      <c r="M7" s="1447"/>
    </row>
    <row r="8" spans="1:13">
      <c r="B8" s="1447"/>
      <c r="C8" s="1447"/>
      <c r="D8" s="1447"/>
      <c r="E8" s="1447"/>
      <c r="F8" s="1447"/>
      <c r="G8" s="1447"/>
      <c r="H8" s="1447"/>
      <c r="I8" s="1447"/>
      <c r="J8" s="1447"/>
      <c r="K8" s="1447"/>
      <c r="L8" s="1447"/>
      <c r="M8" s="1447"/>
    </row>
    <row r="9" spans="1:13">
      <c r="B9" s="1447"/>
      <c r="C9" s="1447"/>
      <c r="D9" s="1447"/>
      <c r="E9" s="1447"/>
      <c r="F9" s="1447"/>
      <c r="G9" s="1447"/>
      <c r="H9" s="1447"/>
      <c r="I9" s="1447"/>
      <c r="J9" s="1447"/>
      <c r="K9" s="1447"/>
      <c r="L9" s="1447"/>
      <c r="M9" s="1447"/>
    </row>
    <row r="10" spans="1:13">
      <c r="B10" s="1447"/>
      <c r="C10" s="1447"/>
      <c r="D10" s="1447"/>
      <c r="E10" s="1447"/>
      <c r="F10" s="1447"/>
      <c r="G10" s="1447"/>
      <c r="H10" s="1447"/>
      <c r="I10" s="1447"/>
      <c r="J10" s="1447"/>
      <c r="K10" s="1447"/>
      <c r="L10" s="1447"/>
      <c r="M10" s="1447"/>
    </row>
    <row r="11" spans="1:13">
      <c r="B11" s="1447"/>
      <c r="C11" s="1447"/>
      <c r="D11" s="1447"/>
      <c r="E11" s="1447"/>
      <c r="F11" s="1447"/>
      <c r="G11" s="1447"/>
      <c r="H11" s="1447"/>
      <c r="I11" s="1447"/>
      <c r="J11" s="1447"/>
      <c r="K11" s="1447"/>
      <c r="L11" s="1447"/>
      <c r="M11" s="1447"/>
    </row>
    <row r="12" spans="1:13">
      <c r="B12" s="1447"/>
      <c r="C12" s="1447"/>
      <c r="D12" s="1447"/>
      <c r="E12" s="1447"/>
      <c r="F12" s="1447"/>
      <c r="G12" s="1447"/>
      <c r="H12" s="1447"/>
      <c r="I12" s="1447"/>
      <c r="J12" s="1447"/>
      <c r="K12" s="1447"/>
      <c r="L12" s="1447"/>
      <c r="M12" s="1447"/>
    </row>
    <row r="13" spans="1:13">
      <c r="B13" s="1447"/>
      <c r="C13" s="1447"/>
      <c r="D13" s="1447"/>
      <c r="E13" s="1447"/>
      <c r="F13" s="1447"/>
      <c r="G13" s="1447"/>
      <c r="H13" s="1447"/>
      <c r="I13" s="1447"/>
      <c r="J13" s="1447"/>
      <c r="K13" s="1447"/>
      <c r="L13" s="1447"/>
      <c r="M13" s="1447"/>
    </row>
    <row r="14" spans="1:13">
      <c r="B14" s="1447"/>
      <c r="C14" s="1447"/>
      <c r="D14" s="1447"/>
      <c r="E14" s="1447"/>
      <c r="F14" s="1447"/>
      <c r="G14" s="1447"/>
      <c r="H14" s="1447"/>
      <c r="I14" s="1447"/>
      <c r="J14" s="1447"/>
      <c r="K14" s="1447"/>
      <c r="L14" s="1447"/>
      <c r="M14" s="1447"/>
    </row>
    <row r="15" spans="1:13">
      <c r="B15" s="1447"/>
      <c r="C15" s="1447"/>
      <c r="D15" s="1447"/>
      <c r="E15" s="1447"/>
      <c r="F15" s="1447"/>
      <c r="G15" s="1447"/>
      <c r="H15" s="1447"/>
      <c r="I15" s="1447"/>
      <c r="J15" s="1447"/>
      <c r="K15" s="1447"/>
      <c r="L15" s="1447"/>
      <c r="M15" s="1447"/>
    </row>
    <row r="16" spans="1:13">
      <c r="B16" s="1447"/>
      <c r="C16" s="1447"/>
      <c r="D16" s="1447"/>
      <c r="E16" s="1447"/>
      <c r="F16" s="1447"/>
      <c r="G16" s="1447"/>
      <c r="H16" s="1447"/>
      <c r="I16" s="1447"/>
      <c r="J16" s="1447"/>
      <c r="K16" s="1447"/>
      <c r="L16" s="1447"/>
      <c r="M16" s="1447"/>
    </row>
    <row r="17" spans="2:13">
      <c r="B17" s="1447"/>
      <c r="C17" s="1447"/>
      <c r="D17" s="1447"/>
      <c r="E17" s="1447"/>
      <c r="F17" s="1447"/>
      <c r="G17" s="1447"/>
      <c r="H17" s="1447"/>
      <c r="I17" s="1447"/>
      <c r="J17" s="1447"/>
      <c r="K17" s="1447"/>
      <c r="L17" s="1447"/>
      <c r="M17" s="1447"/>
    </row>
    <row r="18" spans="2:13">
      <c r="B18" s="1447"/>
      <c r="C18" s="1447"/>
      <c r="D18" s="1447"/>
      <c r="E18" s="1447"/>
      <c r="F18" s="1447"/>
      <c r="G18" s="1447"/>
      <c r="H18" s="1447"/>
      <c r="I18" s="1447"/>
      <c r="J18" s="1447"/>
      <c r="K18" s="1447"/>
      <c r="L18" s="1447"/>
      <c r="M18" s="1447"/>
    </row>
    <row r="19" spans="2:13">
      <c r="B19" s="1447"/>
      <c r="C19" s="1447"/>
      <c r="D19" s="1447"/>
      <c r="E19" s="1447"/>
      <c r="F19" s="1447"/>
      <c r="G19" s="1447"/>
      <c r="H19" s="1447"/>
      <c r="I19" s="1447"/>
      <c r="J19" s="1447"/>
      <c r="K19" s="1447"/>
      <c r="L19" s="1447"/>
      <c r="M19" s="1447"/>
    </row>
    <row r="20" spans="2:13">
      <c r="B20" s="1447"/>
      <c r="C20" s="1447"/>
      <c r="D20" s="1447"/>
      <c r="E20" s="1447"/>
      <c r="F20" s="1447"/>
      <c r="G20" s="1447"/>
      <c r="H20" s="1447"/>
      <c r="I20" s="1447"/>
      <c r="J20" s="1447"/>
      <c r="K20" s="1447"/>
      <c r="L20" s="1447"/>
      <c r="M20" s="1447"/>
    </row>
    <row r="21" spans="2:13">
      <c r="B21" s="1447"/>
      <c r="C21" s="1447"/>
      <c r="D21" s="1447"/>
      <c r="E21" s="1447"/>
      <c r="F21" s="1447"/>
      <c r="G21" s="1447"/>
      <c r="H21" s="1447"/>
      <c r="I21" s="1447"/>
      <c r="J21" s="1447"/>
      <c r="K21" s="1447"/>
      <c r="L21" s="1447"/>
      <c r="M21" s="1447"/>
    </row>
    <row r="22" spans="2:13">
      <c r="B22" s="1447"/>
      <c r="C22" s="1447"/>
      <c r="D22" s="1447"/>
      <c r="E22" s="1447"/>
      <c r="F22" s="1447"/>
      <c r="G22" s="1447"/>
      <c r="H22" s="1447"/>
      <c r="I22" s="1447"/>
      <c r="J22" s="1447"/>
      <c r="K22" s="1447"/>
      <c r="L22" s="1447"/>
      <c r="M22" s="1447"/>
    </row>
    <row r="23" spans="2:13">
      <c r="B23" s="1447"/>
      <c r="C23" s="1447"/>
      <c r="D23" s="1447"/>
      <c r="E23" s="1447"/>
      <c r="F23" s="1447"/>
      <c r="G23" s="1447"/>
      <c r="H23" s="1447"/>
      <c r="I23" s="1447"/>
      <c r="J23" s="1447"/>
      <c r="K23" s="1447"/>
      <c r="L23" s="1447"/>
      <c r="M23" s="1447"/>
    </row>
    <row r="24" spans="2:13">
      <c r="B24" s="1447"/>
      <c r="C24" s="1447"/>
      <c r="D24" s="1447"/>
      <c r="E24" s="1447"/>
      <c r="F24" s="1447"/>
      <c r="G24" s="1447"/>
      <c r="H24" s="1447"/>
      <c r="I24" s="1447"/>
      <c r="J24" s="1447"/>
      <c r="K24" s="1447"/>
      <c r="L24" s="1447"/>
      <c r="M24" s="1447"/>
    </row>
    <row r="25" spans="2:13">
      <c r="B25" s="1447"/>
      <c r="C25" s="1447"/>
      <c r="D25" s="1447"/>
      <c r="E25" s="1447"/>
      <c r="F25" s="1447"/>
      <c r="G25" s="1447"/>
      <c r="H25" s="1447"/>
      <c r="I25" s="1447"/>
      <c r="J25" s="1447"/>
      <c r="K25" s="1447"/>
      <c r="L25" s="1447"/>
      <c r="M25" s="1447"/>
    </row>
    <row r="26" spans="2:13">
      <c r="B26" s="1447"/>
      <c r="C26" s="1447"/>
      <c r="D26" s="1447"/>
      <c r="E26" s="1447"/>
      <c r="F26" s="1447"/>
      <c r="G26" s="1447"/>
      <c r="H26" s="1447"/>
      <c r="I26" s="1447"/>
      <c r="J26" s="1447"/>
      <c r="K26" s="1447"/>
      <c r="L26" s="1447"/>
      <c r="M26" s="1447"/>
    </row>
    <row r="27" spans="2:13">
      <c r="B27" s="1447"/>
      <c r="C27" s="1447"/>
      <c r="D27" s="1447"/>
      <c r="E27" s="1447"/>
      <c r="F27" s="1447"/>
      <c r="G27" s="1447"/>
      <c r="H27" s="1447"/>
      <c r="I27" s="1447"/>
      <c r="J27" s="1447"/>
      <c r="K27" s="1447"/>
      <c r="L27" s="1447"/>
      <c r="M27" s="1447"/>
    </row>
    <row r="28" spans="2:13">
      <c r="B28" s="1447"/>
      <c r="C28" s="1447"/>
      <c r="D28" s="1447"/>
      <c r="E28" s="1447"/>
      <c r="F28" s="1447"/>
      <c r="G28" s="1447"/>
      <c r="H28" s="1447"/>
      <c r="I28" s="1447"/>
      <c r="J28" s="1447"/>
      <c r="K28" s="1447"/>
      <c r="L28" s="1447"/>
      <c r="M28" s="1447"/>
    </row>
  </sheetData>
  <mergeCells count="2">
    <mergeCell ref="B6:M28"/>
    <mergeCell ref="B5:M5"/>
  </mergeCells>
  <pageMargins left="0.7" right="0.7" top="0.75" bottom="0.75" header="0.3" footer="0.3"/>
  <pageSetup paperSize="3"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90D16-4B9C-42EF-BC9C-8749E7BAB32B}">
  <sheetPr>
    <pageSetUpPr fitToPage="1"/>
  </sheetPr>
  <dimension ref="A1:C205"/>
  <sheetViews>
    <sheetView workbookViewId="0"/>
  </sheetViews>
  <sheetFormatPr defaultColWidth="8.875" defaultRowHeight="14.25"/>
  <cols>
    <col min="1" max="1" width="34.625" style="886" bestFit="1" customWidth="1"/>
    <col min="2" max="2" width="52" style="886" customWidth="1"/>
    <col min="3" max="3" width="13.5" style="886" customWidth="1"/>
    <col min="4" max="16384" width="8.875" style="886"/>
  </cols>
  <sheetData>
    <row r="1" spans="1:3">
      <c r="A1" s="898" t="s">
        <v>929</v>
      </c>
      <c r="B1" s="898" t="s">
        <v>1210</v>
      </c>
      <c r="C1" s="898" t="s">
        <v>1955</v>
      </c>
    </row>
    <row r="2" spans="1:3">
      <c r="A2" s="886" t="s">
        <v>1239</v>
      </c>
      <c r="B2" s="886" t="s">
        <v>2263</v>
      </c>
      <c r="C2" s="886" t="s">
        <v>2190</v>
      </c>
    </row>
    <row r="3" spans="1:3">
      <c r="A3" s="886" t="s">
        <v>1296</v>
      </c>
      <c r="B3" s="886" t="s">
        <v>1243</v>
      </c>
      <c r="C3" s="886" t="s">
        <v>2244</v>
      </c>
    </row>
    <row r="4" spans="1:3">
      <c r="A4" s="886" t="s">
        <v>1371</v>
      </c>
      <c r="B4" s="886" t="s">
        <v>1246</v>
      </c>
      <c r="C4" s="886" t="s">
        <v>2185</v>
      </c>
    </row>
    <row r="5" spans="1:3">
      <c r="A5" s="886" t="s">
        <v>1492</v>
      </c>
      <c r="B5" s="886" t="s">
        <v>1247</v>
      </c>
      <c r="C5" s="886" t="s">
        <v>2264</v>
      </c>
    </row>
    <row r="6" spans="1:3">
      <c r="A6" s="886" t="s">
        <v>1592</v>
      </c>
      <c r="B6" s="886" t="s">
        <v>1248</v>
      </c>
    </row>
    <row r="7" spans="1:3">
      <c r="A7" s="886" t="s">
        <v>1663</v>
      </c>
      <c r="B7" s="886" t="s">
        <v>1249</v>
      </c>
    </row>
    <row r="8" spans="1:3">
      <c r="A8" s="886" t="s">
        <v>1691</v>
      </c>
      <c r="B8" s="886" t="s">
        <v>1250</v>
      </c>
    </row>
    <row r="9" spans="1:3">
      <c r="A9" s="886" t="s">
        <v>1707</v>
      </c>
      <c r="B9" s="886" t="s">
        <v>1251</v>
      </c>
    </row>
    <row r="10" spans="1:3">
      <c r="A10" s="886" t="s">
        <v>1769</v>
      </c>
      <c r="B10" s="886" t="s">
        <v>1252</v>
      </c>
    </row>
    <row r="11" spans="1:3">
      <c r="A11" s="886" t="s">
        <v>1800</v>
      </c>
      <c r="B11" s="886" t="s">
        <v>1253</v>
      </c>
    </row>
    <row r="12" spans="1:3">
      <c r="B12" s="886" t="s">
        <v>1254</v>
      </c>
    </row>
    <row r="13" spans="1:3">
      <c r="B13" s="886" t="s">
        <v>1255</v>
      </c>
    </row>
    <row r="14" spans="1:3">
      <c r="B14" s="886" t="s">
        <v>1256</v>
      </c>
    </row>
    <row r="15" spans="1:3">
      <c r="B15" s="886" t="s">
        <v>1261</v>
      </c>
    </row>
    <row r="16" spans="1:3">
      <c r="B16" s="886" t="s">
        <v>1262</v>
      </c>
    </row>
    <row r="17" spans="2:2">
      <c r="B17" s="886" t="s">
        <v>1263</v>
      </c>
    </row>
    <row r="18" spans="2:2">
      <c r="B18" s="886" t="s">
        <v>1264</v>
      </c>
    </row>
    <row r="19" spans="2:2">
      <c r="B19" s="886" t="s">
        <v>1265</v>
      </c>
    </row>
    <row r="20" spans="2:2">
      <c r="B20" s="886" t="s">
        <v>1267</v>
      </c>
    </row>
    <row r="21" spans="2:2">
      <c r="B21" s="886" t="s">
        <v>1268</v>
      </c>
    </row>
    <row r="22" spans="2:2">
      <c r="B22" s="886" t="s">
        <v>1269</v>
      </c>
    </row>
    <row r="23" spans="2:2">
      <c r="B23" s="886" t="s">
        <v>1270</v>
      </c>
    </row>
    <row r="24" spans="2:2">
      <c r="B24" s="886" t="s">
        <v>1271</v>
      </c>
    </row>
    <row r="25" spans="2:2">
      <c r="B25" s="886" t="s">
        <v>1272</v>
      </c>
    </row>
    <row r="26" spans="2:2">
      <c r="B26" s="886" t="s">
        <v>1273</v>
      </c>
    </row>
    <row r="27" spans="2:2">
      <c r="B27" s="886" t="s">
        <v>1278</v>
      </c>
    </row>
    <row r="28" spans="2:2">
      <c r="B28" s="886" t="s">
        <v>1279</v>
      </c>
    </row>
    <row r="29" spans="2:2">
      <c r="B29" s="886" t="s">
        <v>1280</v>
      </c>
    </row>
    <row r="30" spans="2:2">
      <c r="B30" s="886" t="s">
        <v>2265</v>
      </c>
    </row>
    <row r="31" spans="2:2">
      <c r="B31" s="886" t="s">
        <v>2266</v>
      </c>
    </row>
    <row r="32" spans="2:2">
      <c r="B32" s="886" t="s">
        <v>2267</v>
      </c>
    </row>
    <row r="33" spans="2:2">
      <c r="B33" s="886" t="s">
        <v>2268</v>
      </c>
    </row>
    <row r="34" spans="2:2">
      <c r="B34" s="886" t="s">
        <v>2079</v>
      </c>
    </row>
    <row r="35" spans="2:2">
      <c r="B35" s="886" t="s">
        <v>2269</v>
      </c>
    </row>
    <row r="36" spans="2:2">
      <c r="B36" s="886" t="s">
        <v>2067</v>
      </c>
    </row>
    <row r="37" spans="2:2">
      <c r="B37" s="886" t="s">
        <v>2270</v>
      </c>
    </row>
    <row r="38" spans="2:2">
      <c r="B38" s="886" t="s">
        <v>2092</v>
      </c>
    </row>
    <row r="39" spans="2:2">
      <c r="B39" s="886" t="s">
        <v>1284</v>
      </c>
    </row>
    <row r="40" spans="2:2">
      <c r="B40" s="886" t="s">
        <v>1287</v>
      </c>
    </row>
    <row r="41" spans="2:2">
      <c r="B41" s="886" t="s">
        <v>1288</v>
      </c>
    </row>
    <row r="42" spans="2:2">
      <c r="B42" s="886" t="s">
        <v>1290</v>
      </c>
    </row>
    <row r="43" spans="2:2">
      <c r="B43" s="886" t="s">
        <v>1291</v>
      </c>
    </row>
    <row r="44" spans="2:2">
      <c r="B44" s="886" t="s">
        <v>1292</v>
      </c>
    </row>
    <row r="45" spans="2:2">
      <c r="B45" s="886" t="s">
        <v>1306</v>
      </c>
    </row>
    <row r="46" spans="2:2">
      <c r="B46" s="886" t="s">
        <v>1308</v>
      </c>
    </row>
    <row r="47" spans="2:2">
      <c r="B47" s="886" t="s">
        <v>1310</v>
      </c>
    </row>
    <row r="48" spans="2:2">
      <c r="B48" s="886" t="s">
        <v>1316</v>
      </c>
    </row>
    <row r="49" spans="2:2">
      <c r="B49" s="886" t="s">
        <v>1317</v>
      </c>
    </row>
    <row r="50" spans="2:2">
      <c r="B50" s="886" t="s">
        <v>1318</v>
      </c>
    </row>
    <row r="51" spans="2:2">
      <c r="B51" s="886" t="s">
        <v>1324</v>
      </c>
    </row>
    <row r="52" spans="2:2">
      <c r="B52" s="886" t="s">
        <v>1325</v>
      </c>
    </row>
    <row r="53" spans="2:2">
      <c r="B53" s="886" t="s">
        <v>1326</v>
      </c>
    </row>
    <row r="54" spans="2:2">
      <c r="B54" s="886" t="s">
        <v>1332</v>
      </c>
    </row>
    <row r="55" spans="2:2">
      <c r="B55" s="886" t="s">
        <v>1333</v>
      </c>
    </row>
    <row r="56" spans="2:2">
      <c r="B56" s="886" t="s">
        <v>1334</v>
      </c>
    </row>
    <row r="57" spans="2:2">
      <c r="B57" s="886" t="s">
        <v>1341</v>
      </c>
    </row>
    <row r="58" spans="2:2">
      <c r="B58" s="886" t="s">
        <v>1347</v>
      </c>
    </row>
    <row r="59" spans="2:2">
      <c r="B59" s="886" t="s">
        <v>1352</v>
      </c>
    </row>
    <row r="60" spans="2:2">
      <c r="B60" s="886" t="s">
        <v>2271</v>
      </c>
    </row>
    <row r="61" spans="2:2">
      <c r="B61" s="886" t="s">
        <v>1370</v>
      </c>
    </row>
    <row r="62" spans="2:2">
      <c r="B62" s="886" t="s">
        <v>1372</v>
      </c>
    </row>
    <row r="63" spans="2:2">
      <c r="B63" s="886" t="s">
        <v>1373</v>
      </c>
    </row>
    <row r="64" spans="2:2">
      <c r="B64" s="886" t="s">
        <v>1374</v>
      </c>
    </row>
    <row r="65" spans="2:2">
      <c r="B65" s="886" t="s">
        <v>1375</v>
      </c>
    </row>
    <row r="66" spans="2:2">
      <c r="B66" s="886" t="s">
        <v>1378</v>
      </c>
    </row>
    <row r="67" spans="2:2">
      <c r="B67" s="886" t="s">
        <v>1379</v>
      </c>
    </row>
    <row r="68" spans="2:2">
      <c r="B68" s="886" t="s">
        <v>1380</v>
      </c>
    </row>
    <row r="69" spans="2:2">
      <c r="B69" s="886" t="s">
        <v>1381</v>
      </c>
    </row>
    <row r="70" spans="2:2">
      <c r="B70" s="886" t="s">
        <v>1382</v>
      </c>
    </row>
    <row r="71" spans="2:2">
      <c r="B71" s="886" t="s">
        <v>1383</v>
      </c>
    </row>
    <row r="72" spans="2:2">
      <c r="B72" s="886" t="s">
        <v>1384</v>
      </c>
    </row>
    <row r="73" spans="2:2">
      <c r="B73" s="886" t="s">
        <v>2272</v>
      </c>
    </row>
    <row r="74" spans="2:2">
      <c r="B74" s="886" t="s">
        <v>1387</v>
      </c>
    </row>
    <row r="75" spans="2:2">
      <c r="B75" s="886" t="s">
        <v>1388</v>
      </c>
    </row>
    <row r="76" spans="2:2">
      <c r="B76" s="886" t="s">
        <v>1389</v>
      </c>
    </row>
    <row r="77" spans="2:2">
      <c r="B77" s="886" t="s">
        <v>1390</v>
      </c>
    </row>
    <row r="78" spans="2:2">
      <c r="B78" s="886" t="s">
        <v>1392</v>
      </c>
    </row>
    <row r="79" spans="2:2">
      <c r="B79" s="886" t="s">
        <v>1393</v>
      </c>
    </row>
    <row r="80" spans="2:2">
      <c r="B80" s="886" t="s">
        <v>1394</v>
      </c>
    </row>
    <row r="81" spans="2:2">
      <c r="B81" s="886" t="s">
        <v>1395</v>
      </c>
    </row>
    <row r="82" spans="2:2">
      <c r="B82" s="886" t="s">
        <v>1396</v>
      </c>
    </row>
    <row r="83" spans="2:2">
      <c r="B83" s="886" t="s">
        <v>1397</v>
      </c>
    </row>
    <row r="84" spans="2:2">
      <c r="B84" s="886" t="s">
        <v>1398</v>
      </c>
    </row>
    <row r="85" spans="2:2">
      <c r="B85" s="886" t="s">
        <v>1400</v>
      </c>
    </row>
    <row r="86" spans="2:2">
      <c r="B86" s="886" t="s">
        <v>1401</v>
      </c>
    </row>
    <row r="87" spans="2:2">
      <c r="B87" s="886" t="s">
        <v>1402</v>
      </c>
    </row>
    <row r="88" spans="2:2">
      <c r="B88" s="886" t="s">
        <v>1403</v>
      </c>
    </row>
    <row r="89" spans="2:2">
      <c r="B89" s="886" t="s">
        <v>1404</v>
      </c>
    </row>
    <row r="90" spans="2:2">
      <c r="B90" s="886" t="s">
        <v>1406</v>
      </c>
    </row>
    <row r="91" spans="2:2">
      <c r="B91" s="886" t="s">
        <v>1407</v>
      </c>
    </row>
    <row r="92" spans="2:2">
      <c r="B92" s="886" t="s">
        <v>1408</v>
      </c>
    </row>
    <row r="93" spans="2:2">
      <c r="B93" s="886" t="s">
        <v>1409</v>
      </c>
    </row>
    <row r="94" spans="2:2">
      <c r="B94" s="886" t="s">
        <v>1410</v>
      </c>
    </row>
    <row r="95" spans="2:2">
      <c r="B95" s="886" t="s">
        <v>1411</v>
      </c>
    </row>
    <row r="96" spans="2:2">
      <c r="B96" s="886" t="s">
        <v>1412</v>
      </c>
    </row>
    <row r="97" spans="2:2">
      <c r="B97" s="886" t="s">
        <v>1421</v>
      </c>
    </row>
    <row r="98" spans="2:2">
      <c r="B98" s="886" t="s">
        <v>1422</v>
      </c>
    </row>
    <row r="99" spans="2:2">
      <c r="B99" s="886" t="s">
        <v>1423</v>
      </c>
    </row>
    <row r="100" spans="2:2">
      <c r="B100" s="886" t="s">
        <v>1429</v>
      </c>
    </row>
    <row r="101" spans="2:2">
      <c r="B101" s="886" t="s">
        <v>1430</v>
      </c>
    </row>
    <row r="102" spans="2:2">
      <c r="B102" s="886" t="s">
        <v>1431</v>
      </c>
    </row>
    <row r="103" spans="2:2">
      <c r="B103" s="886" t="s">
        <v>1437</v>
      </c>
    </row>
    <row r="104" spans="2:2">
      <c r="B104" s="886" t="s">
        <v>1438</v>
      </c>
    </row>
    <row r="105" spans="2:2">
      <c r="B105" s="886" t="s">
        <v>1439</v>
      </c>
    </row>
    <row r="106" spans="2:2">
      <c r="B106" s="886" t="s">
        <v>1444</v>
      </c>
    </row>
    <row r="107" spans="2:2">
      <c r="B107" s="886" t="s">
        <v>1449</v>
      </c>
    </row>
    <row r="108" spans="2:2">
      <c r="B108" s="886" t="s">
        <v>1454</v>
      </c>
    </row>
    <row r="109" spans="2:2">
      <c r="B109" s="886" t="s">
        <v>1462</v>
      </c>
    </row>
    <row r="110" spans="2:2">
      <c r="B110" s="886" t="s">
        <v>1467</v>
      </c>
    </row>
    <row r="111" spans="2:2">
      <c r="B111" s="886" t="s">
        <v>1472</v>
      </c>
    </row>
    <row r="112" spans="2:2">
      <c r="B112" s="886" t="s">
        <v>2273</v>
      </c>
    </row>
    <row r="113" spans="2:2">
      <c r="B113" s="886" t="s">
        <v>2274</v>
      </c>
    </row>
    <row r="114" spans="2:2">
      <c r="B114" s="886" t="s">
        <v>1496</v>
      </c>
    </row>
    <row r="115" spans="2:2">
      <c r="B115" s="886" t="s">
        <v>1499</v>
      </c>
    </row>
    <row r="116" spans="2:2">
      <c r="B116" s="886" t="s">
        <v>1500</v>
      </c>
    </row>
    <row r="117" spans="2:2">
      <c r="B117" s="886" t="s">
        <v>1501</v>
      </c>
    </row>
    <row r="118" spans="2:2">
      <c r="B118" s="886" t="s">
        <v>1502</v>
      </c>
    </row>
    <row r="119" spans="2:2">
      <c r="B119" s="886" t="s">
        <v>1504</v>
      </c>
    </row>
    <row r="120" spans="2:2">
      <c r="B120" s="886" t="s">
        <v>1505</v>
      </c>
    </row>
    <row r="121" spans="2:2">
      <c r="B121" s="886" t="s">
        <v>1506</v>
      </c>
    </row>
    <row r="122" spans="2:2">
      <c r="B122" s="886" t="s">
        <v>1507</v>
      </c>
    </row>
    <row r="123" spans="2:2">
      <c r="B123" s="886" t="s">
        <v>1508</v>
      </c>
    </row>
    <row r="124" spans="2:2">
      <c r="B124" s="886" t="s">
        <v>1509</v>
      </c>
    </row>
    <row r="125" spans="2:2">
      <c r="B125" s="886" t="s">
        <v>1510</v>
      </c>
    </row>
    <row r="126" spans="2:2">
      <c r="B126" s="886" t="s">
        <v>1515</v>
      </c>
    </row>
    <row r="127" spans="2:2">
      <c r="B127" s="886" t="s">
        <v>1518</v>
      </c>
    </row>
    <row r="128" spans="2:2">
      <c r="B128" s="886" t="s">
        <v>1519</v>
      </c>
    </row>
    <row r="129" spans="2:2">
      <c r="B129" s="886" t="s">
        <v>1525</v>
      </c>
    </row>
    <row r="130" spans="2:2">
      <c r="B130" s="886" t="s">
        <v>1528</v>
      </c>
    </row>
    <row r="131" spans="2:2">
      <c r="B131" s="886" t="s">
        <v>2275</v>
      </c>
    </row>
    <row r="132" spans="2:2">
      <c r="B132" s="886" t="s">
        <v>1533</v>
      </c>
    </row>
    <row r="133" spans="2:2">
      <c r="B133" s="886" t="s">
        <v>1543</v>
      </c>
    </row>
    <row r="134" spans="2:2">
      <c r="B134" s="886" t="s">
        <v>1547</v>
      </c>
    </row>
    <row r="135" spans="2:2">
      <c r="B135" s="886" t="s">
        <v>1552</v>
      </c>
    </row>
    <row r="136" spans="2:2">
      <c r="B136" s="886" t="s">
        <v>1556</v>
      </c>
    </row>
    <row r="137" spans="2:2">
      <c r="B137" s="886" t="s">
        <v>1559</v>
      </c>
    </row>
    <row r="138" spans="2:2">
      <c r="B138" s="886" t="s">
        <v>1570</v>
      </c>
    </row>
    <row r="139" spans="2:2">
      <c r="B139" s="886" t="s">
        <v>1574</v>
      </c>
    </row>
    <row r="140" spans="2:2">
      <c r="B140" s="886" t="s">
        <v>1580</v>
      </c>
    </row>
    <row r="141" spans="2:2">
      <c r="B141" s="886" t="s">
        <v>1584</v>
      </c>
    </row>
    <row r="142" spans="2:2">
      <c r="B142" s="886" t="s">
        <v>1589</v>
      </c>
    </row>
    <row r="143" spans="2:2">
      <c r="B143" s="886" t="s">
        <v>1599</v>
      </c>
    </row>
    <row r="144" spans="2:2">
      <c r="B144" s="886" t="s">
        <v>1601</v>
      </c>
    </row>
    <row r="145" spans="2:2">
      <c r="B145" s="886" t="s">
        <v>1603</v>
      </c>
    </row>
    <row r="146" spans="2:2">
      <c r="B146" s="886" t="s">
        <v>1608</v>
      </c>
    </row>
    <row r="147" spans="2:2">
      <c r="B147" s="886" t="s">
        <v>1611</v>
      </c>
    </row>
    <row r="148" spans="2:2">
      <c r="B148" s="886" t="s">
        <v>1616</v>
      </c>
    </row>
    <row r="149" spans="2:2">
      <c r="B149" s="886" t="s">
        <v>1617</v>
      </c>
    </row>
    <row r="150" spans="2:2">
      <c r="B150" s="886" t="s">
        <v>1618</v>
      </c>
    </row>
    <row r="151" spans="2:2">
      <c r="B151" s="886" t="s">
        <v>1622</v>
      </c>
    </row>
    <row r="152" spans="2:2">
      <c r="B152" s="886" t="s">
        <v>1626</v>
      </c>
    </row>
    <row r="153" spans="2:2">
      <c r="B153" s="886" t="s">
        <v>1630</v>
      </c>
    </row>
    <row r="154" spans="2:2">
      <c r="B154" s="886" t="s">
        <v>1639</v>
      </c>
    </row>
    <row r="155" spans="2:2">
      <c r="B155" s="886" t="s">
        <v>1646</v>
      </c>
    </row>
    <row r="156" spans="2:2">
      <c r="B156" s="886" t="s">
        <v>2276</v>
      </c>
    </row>
    <row r="157" spans="2:2">
      <c r="B157" s="886" t="s">
        <v>1658</v>
      </c>
    </row>
    <row r="158" spans="2:2">
      <c r="B158" s="886" t="s">
        <v>1531</v>
      </c>
    </row>
    <row r="159" spans="2:2">
      <c r="B159" s="886" t="s">
        <v>1674</v>
      </c>
    </row>
    <row r="160" spans="2:2">
      <c r="B160" s="886" t="s">
        <v>1678</v>
      </c>
    </row>
    <row r="161" spans="2:2">
      <c r="B161" s="886" t="s">
        <v>1681</v>
      </c>
    </row>
    <row r="162" spans="2:2">
      <c r="B162" s="886" t="s">
        <v>1706</v>
      </c>
    </row>
    <row r="163" spans="2:2">
      <c r="B163" s="886" t="s">
        <v>1711</v>
      </c>
    </row>
    <row r="164" spans="2:2">
      <c r="B164" s="886" t="s">
        <v>1714</v>
      </c>
    </row>
    <row r="165" spans="2:2">
      <c r="B165" s="886" t="s">
        <v>1718</v>
      </c>
    </row>
    <row r="166" spans="2:2">
      <c r="B166" s="886" t="s">
        <v>1721</v>
      </c>
    </row>
    <row r="167" spans="2:2">
      <c r="B167" s="886" t="s">
        <v>1725</v>
      </c>
    </row>
    <row r="168" spans="2:2">
      <c r="B168" s="886" t="s">
        <v>1728</v>
      </c>
    </row>
    <row r="169" spans="2:2">
      <c r="B169" s="886" t="s">
        <v>1732</v>
      </c>
    </row>
    <row r="170" spans="2:2">
      <c r="B170" s="886" t="s">
        <v>1735</v>
      </c>
    </row>
    <row r="171" spans="2:2">
      <c r="B171" s="886" t="s">
        <v>1740</v>
      </c>
    </row>
    <row r="172" spans="2:2">
      <c r="B172" s="886" t="s">
        <v>1746</v>
      </c>
    </row>
    <row r="173" spans="2:2">
      <c r="B173" s="886" t="s">
        <v>1749</v>
      </c>
    </row>
    <row r="174" spans="2:2">
      <c r="B174" s="886" t="s">
        <v>1753</v>
      </c>
    </row>
    <row r="175" spans="2:2">
      <c r="B175" s="886" t="s">
        <v>1758</v>
      </c>
    </row>
    <row r="176" spans="2:2">
      <c r="B176" s="886" t="s">
        <v>1761</v>
      </c>
    </row>
    <row r="177" spans="2:2">
      <c r="B177" s="886" t="s">
        <v>1763</v>
      </c>
    </row>
    <row r="178" spans="2:2">
      <c r="B178" s="886" t="s">
        <v>1764</v>
      </c>
    </row>
    <row r="179" spans="2:2">
      <c r="B179" s="886" t="s">
        <v>1768</v>
      </c>
    </row>
    <row r="180" spans="2:2">
      <c r="B180" s="886" t="s">
        <v>1776</v>
      </c>
    </row>
    <row r="181" spans="2:2">
      <c r="B181" s="886" t="s">
        <v>1784</v>
      </c>
    </row>
    <row r="182" spans="2:2">
      <c r="B182" s="886" t="s">
        <v>1788</v>
      </c>
    </row>
    <row r="183" spans="2:2">
      <c r="B183" s="886" t="s">
        <v>1790</v>
      </c>
    </row>
    <row r="184" spans="2:2">
      <c r="B184" s="886" t="s">
        <v>1793</v>
      </c>
    </row>
    <row r="185" spans="2:2">
      <c r="B185" s="886" t="s">
        <v>2277</v>
      </c>
    </row>
    <row r="186" spans="2:2">
      <c r="B186" s="886" t="s">
        <v>2278</v>
      </c>
    </row>
    <row r="187" spans="2:2">
      <c r="B187" s="886" t="s">
        <v>2279</v>
      </c>
    </row>
    <row r="188" spans="2:2">
      <c r="B188" s="886" t="s">
        <v>2280</v>
      </c>
    </row>
    <row r="189" spans="2:2">
      <c r="B189" s="886" t="s">
        <v>2281</v>
      </c>
    </row>
    <row r="190" spans="2:2">
      <c r="B190" s="886" t="s">
        <v>2282</v>
      </c>
    </row>
    <row r="191" spans="2:2">
      <c r="B191" s="886" t="s">
        <v>2283</v>
      </c>
    </row>
    <row r="192" spans="2:2">
      <c r="B192" s="886" t="s">
        <v>2200</v>
      </c>
    </row>
    <row r="193" spans="2:2">
      <c r="B193" s="886" t="s">
        <v>2201</v>
      </c>
    </row>
    <row r="194" spans="2:2">
      <c r="B194" s="886" t="s">
        <v>2202</v>
      </c>
    </row>
    <row r="195" spans="2:2">
      <c r="B195" s="886" t="s">
        <v>2203</v>
      </c>
    </row>
    <row r="196" spans="2:2">
      <c r="B196" s="886" t="s">
        <v>2284</v>
      </c>
    </row>
    <row r="197" spans="2:2">
      <c r="B197" s="886" t="s">
        <v>2285</v>
      </c>
    </row>
    <row r="198" spans="2:2">
      <c r="B198" s="886" t="s">
        <v>2286</v>
      </c>
    </row>
    <row r="199" spans="2:2">
      <c r="B199" s="886" t="s">
        <v>2287</v>
      </c>
    </row>
    <row r="200" spans="2:2">
      <c r="B200" s="886" t="s">
        <v>2288</v>
      </c>
    </row>
    <row r="201" spans="2:2">
      <c r="B201" s="886" t="s">
        <v>1920</v>
      </c>
    </row>
    <row r="202" spans="2:2">
      <c r="B202" s="886" t="s">
        <v>2289</v>
      </c>
    </row>
    <row r="203" spans="2:2">
      <c r="B203" s="886" t="s">
        <v>2290</v>
      </c>
    </row>
    <row r="204" spans="2:2">
      <c r="B204" s="886" t="s">
        <v>2291</v>
      </c>
    </row>
    <row r="205" spans="2:2">
      <c r="B205" s="886" t="s">
        <v>2292</v>
      </c>
    </row>
  </sheetData>
  <pageMargins left="0.7" right="0.7" top="0.75" bottom="0.75" header="0.3" footer="0.3"/>
  <pageSetup paperSize="3" scale="2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38"/>
  <sheetViews>
    <sheetView zoomScaleNormal="100" zoomScaleSheetLayoutView="100" zoomScalePageLayoutView="70" workbookViewId="0"/>
  </sheetViews>
  <sheetFormatPr defaultColWidth="9.625" defaultRowHeight="14.25"/>
  <cols>
    <col min="1" max="1" width="11.375" style="180" customWidth="1"/>
    <col min="2" max="2" width="35.125" style="180" customWidth="1"/>
    <col min="3" max="3" width="23.5" style="177" customWidth="1"/>
    <col min="4" max="4" width="21.625" style="181" customWidth="1"/>
    <col min="5" max="5" width="18.5" style="179" bestFit="1" customWidth="1"/>
    <col min="6" max="6" width="15.625" style="179" bestFit="1" customWidth="1"/>
    <col min="7" max="7" width="31.625" style="180" customWidth="1"/>
    <col min="8" max="8" width="15.5" style="180" customWidth="1"/>
    <col min="9" max="9" width="39.625" style="180" customWidth="1"/>
    <col min="10" max="10" width="9.625" style="180" customWidth="1"/>
    <col min="11" max="11" width="24.125" style="180" customWidth="1"/>
    <col min="12" max="16384" width="9.625" style="180"/>
  </cols>
  <sheetData>
    <row r="1" spans="1:8">
      <c r="A1" s="175" t="s">
        <v>98</v>
      </c>
      <c r="B1" s="176" t="str">
        <f>PA_NAME</f>
        <v>SoCalGas</v>
      </c>
      <c r="D1" s="178"/>
    </row>
    <row r="2" spans="1:8">
      <c r="A2" s="175" t="s">
        <v>99</v>
      </c>
      <c r="B2" s="176" t="str">
        <f>RPT_YEAR</f>
        <v>2024-2031</v>
      </c>
    </row>
    <row r="3" spans="1:8">
      <c r="A3" s="182" t="s">
        <v>118</v>
      </c>
    </row>
    <row r="4" spans="1:8" ht="14.65" thickBot="1">
      <c r="A4" s="183"/>
    </row>
    <row r="5" spans="1:8">
      <c r="B5" s="1351" t="s">
        <v>119</v>
      </c>
      <c r="C5" s="1352"/>
      <c r="D5" s="1352"/>
      <c r="E5" s="1352"/>
      <c r="F5" s="1353"/>
    </row>
    <row r="6" spans="1:8" s="184" customFormat="1" ht="42.75">
      <c r="B6" s="185"/>
      <c r="C6" s="186" t="s">
        <v>120</v>
      </c>
      <c r="D6" s="187" t="s">
        <v>121</v>
      </c>
      <c r="E6" s="188" t="s">
        <v>122</v>
      </c>
      <c r="F6" s="189" t="s">
        <v>123</v>
      </c>
    </row>
    <row r="7" spans="1:8" s="184" customFormat="1">
      <c r="B7" s="185" t="s">
        <v>124</v>
      </c>
      <c r="C7" s="190"/>
      <c r="D7" s="191"/>
      <c r="E7" s="192"/>
      <c r="F7" s="193"/>
    </row>
    <row r="8" spans="1:8">
      <c r="B8" s="194">
        <v>2021</v>
      </c>
      <c r="C8" s="195">
        <v>0</v>
      </c>
      <c r="D8" s="196">
        <v>1.5346</v>
      </c>
      <c r="E8" s="197">
        <v>98871332</v>
      </c>
      <c r="F8" s="198">
        <v>482684291</v>
      </c>
      <c r="G8" s="199"/>
      <c r="H8" s="199"/>
    </row>
    <row r="9" spans="1:8">
      <c r="B9" s="194">
        <v>2022</v>
      </c>
      <c r="C9" s="195">
        <v>0</v>
      </c>
      <c r="D9" s="196">
        <v>1.6771</v>
      </c>
      <c r="E9" s="197">
        <v>73331052</v>
      </c>
      <c r="F9" s="198">
        <v>724856684</v>
      </c>
      <c r="G9" s="199"/>
      <c r="H9" s="199"/>
    </row>
    <row r="10" spans="1:8">
      <c r="B10" s="194">
        <v>2023</v>
      </c>
      <c r="C10" s="195">
        <v>0</v>
      </c>
      <c r="D10" s="196">
        <v>1.6785000000000001</v>
      </c>
      <c r="E10" s="197">
        <v>79814089</v>
      </c>
      <c r="F10" s="198">
        <v>832844838</v>
      </c>
      <c r="G10" s="199"/>
      <c r="H10" s="199"/>
    </row>
    <row r="11" spans="1:8">
      <c r="B11" s="194">
        <v>2024</v>
      </c>
      <c r="C11" s="195">
        <v>0</v>
      </c>
      <c r="D11" s="196">
        <v>1.6821999999999999</v>
      </c>
      <c r="E11" s="197">
        <v>87070581</v>
      </c>
      <c r="F11" s="198">
        <v>872449076</v>
      </c>
      <c r="G11" s="199"/>
      <c r="H11" s="199"/>
    </row>
    <row r="12" spans="1:8">
      <c r="B12" s="194">
        <v>2025</v>
      </c>
      <c r="C12" s="195">
        <v>0</v>
      </c>
      <c r="D12" s="196">
        <v>1.6826000000000001</v>
      </c>
      <c r="E12" s="197">
        <v>86235359</v>
      </c>
      <c r="F12" s="198">
        <v>858126165</v>
      </c>
      <c r="G12" s="199"/>
      <c r="H12" s="199"/>
    </row>
    <row r="13" spans="1:8">
      <c r="B13" s="194">
        <v>2026</v>
      </c>
      <c r="C13" s="195">
        <v>0</v>
      </c>
      <c r="D13" s="196">
        <v>1.6829000000000001</v>
      </c>
      <c r="E13" s="197">
        <v>80804760</v>
      </c>
      <c r="F13" s="198">
        <v>793061280</v>
      </c>
      <c r="G13" s="199"/>
      <c r="H13" s="199"/>
    </row>
    <row r="14" spans="1:8">
      <c r="B14" s="194">
        <v>2027</v>
      </c>
      <c r="C14" s="195">
        <v>0</v>
      </c>
      <c r="D14" s="196">
        <v>1.6833</v>
      </c>
      <c r="E14" s="197">
        <v>76611592</v>
      </c>
      <c r="F14" s="198">
        <v>742926005</v>
      </c>
      <c r="G14" s="199"/>
      <c r="H14" s="199"/>
    </row>
    <row r="15" spans="1:8">
      <c r="B15" s="194">
        <v>2028</v>
      </c>
      <c r="C15" s="195">
        <v>0</v>
      </c>
      <c r="D15" s="196">
        <v>1.6839</v>
      </c>
      <c r="E15" s="197">
        <v>46988636</v>
      </c>
      <c r="F15" s="198">
        <v>257129349</v>
      </c>
      <c r="G15" s="199"/>
      <c r="H15" s="199"/>
    </row>
    <row r="16" spans="1:8">
      <c r="B16" s="194">
        <v>2029</v>
      </c>
      <c r="C16" s="195">
        <v>0</v>
      </c>
      <c r="D16" s="196">
        <v>1.6850000000000001</v>
      </c>
      <c r="E16" s="197">
        <v>48464891</v>
      </c>
      <c r="F16" s="198">
        <v>264676931</v>
      </c>
      <c r="G16" s="199"/>
      <c r="H16" s="199"/>
    </row>
    <row r="17" spans="2:8">
      <c r="B17" s="194">
        <v>2030</v>
      </c>
      <c r="C17" s="195">
        <v>0</v>
      </c>
      <c r="D17" s="196">
        <v>1.6860999999999999</v>
      </c>
      <c r="E17" s="197">
        <v>49990666</v>
      </c>
      <c r="F17" s="198">
        <v>272477803</v>
      </c>
      <c r="G17" s="199"/>
      <c r="H17" s="199"/>
    </row>
    <row r="18" spans="2:8">
      <c r="B18" s="200">
        <v>2031</v>
      </c>
      <c r="C18" s="201">
        <v>0</v>
      </c>
      <c r="D18" s="202">
        <v>1.6873</v>
      </c>
      <c r="E18" s="203">
        <v>51567743</v>
      </c>
      <c r="F18" s="204">
        <v>280541083</v>
      </c>
      <c r="G18" s="199"/>
      <c r="H18" s="199"/>
    </row>
    <row r="19" spans="2:8">
      <c r="C19" s="199"/>
      <c r="D19" s="199"/>
      <c r="E19" s="205"/>
      <c r="F19" s="199"/>
      <c r="G19" s="199"/>
      <c r="H19" s="199"/>
    </row>
    <row r="20" spans="2:8">
      <c r="B20" s="206" t="s">
        <v>125</v>
      </c>
      <c r="C20" s="199"/>
      <c r="D20" s="199"/>
      <c r="E20" s="199"/>
      <c r="F20" s="199"/>
      <c r="G20" s="199"/>
      <c r="H20" s="199"/>
    </row>
    <row r="21" spans="2:8" s="199" customFormat="1" ht="32.450000000000003" customHeight="1">
      <c r="B21" s="1224" t="s">
        <v>122</v>
      </c>
      <c r="C21" s="1354" t="s">
        <v>2294</v>
      </c>
      <c r="D21" s="1354"/>
      <c r="E21" s="1354"/>
      <c r="F21" s="1354"/>
    </row>
    <row r="22" spans="2:8" s="199" customFormat="1" ht="32.450000000000003" customHeight="1">
      <c r="B22" s="1224" t="s">
        <v>123</v>
      </c>
      <c r="C22" s="1354" t="s">
        <v>2293</v>
      </c>
      <c r="D22" s="1354"/>
      <c r="E22" s="1354"/>
      <c r="F22" s="1354"/>
    </row>
    <row r="23" spans="2:8">
      <c r="B23" s="199"/>
      <c r="C23" s="199"/>
      <c r="D23" s="199"/>
      <c r="E23" s="199"/>
      <c r="F23" s="207"/>
    </row>
    <row r="24" spans="2:8">
      <c r="B24" s="199"/>
      <c r="C24" s="199"/>
      <c r="D24" s="199"/>
      <c r="E24" s="199"/>
      <c r="F24" s="207"/>
    </row>
    <row r="25" spans="2:8">
      <c r="B25" s="208"/>
      <c r="C25" s="209"/>
      <c r="D25" s="210"/>
      <c r="E25" s="211"/>
      <c r="F25" s="212"/>
    </row>
    <row r="29" spans="2:8">
      <c r="D29" s="180"/>
    </row>
    <row r="30" spans="2:8">
      <c r="B30" s="168"/>
      <c r="C30" s="169"/>
      <c r="D30" s="170"/>
      <c r="E30" s="169"/>
    </row>
    <row r="31" spans="2:8">
      <c r="B31" s="168"/>
      <c r="C31" s="169"/>
      <c r="D31" s="171"/>
      <c r="E31" s="169"/>
    </row>
    <row r="32" spans="2:8">
      <c r="C32" s="213"/>
      <c r="D32" s="214"/>
      <c r="E32" s="212"/>
    </row>
    <row r="33" spans="2:5">
      <c r="B33" s="168"/>
      <c r="C33" s="169"/>
      <c r="D33" s="172"/>
      <c r="E33" s="169"/>
    </row>
    <row r="34" spans="2:5">
      <c r="B34" s="173"/>
      <c r="C34" s="169"/>
      <c r="D34" s="174"/>
      <c r="E34" s="212"/>
    </row>
    <row r="35" spans="2:5">
      <c r="C35" s="213"/>
      <c r="D35" s="214"/>
      <c r="E35" s="212"/>
    </row>
    <row r="36" spans="2:5">
      <c r="C36" s="213"/>
      <c r="D36" s="214"/>
      <c r="E36" s="212"/>
    </row>
    <row r="37" spans="2:5">
      <c r="C37" s="213"/>
      <c r="D37" s="214"/>
      <c r="E37" s="212"/>
    </row>
    <row r="38" spans="2:5">
      <c r="C38" s="213"/>
      <c r="D38" s="214"/>
      <c r="E38" s="212"/>
    </row>
  </sheetData>
  <mergeCells count="3">
    <mergeCell ref="B5:F5"/>
    <mergeCell ref="C22:F22"/>
    <mergeCell ref="C21:F21"/>
  </mergeCells>
  <pageMargins left="0.7" right="0.7" top="0.75" bottom="0.75" header="0.3" footer="0.3"/>
  <pageSetup paperSize="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3899B-2ACF-4457-A504-AC069972A11E}">
  <sheetPr codeName="Sheet4">
    <pageSetUpPr fitToPage="1"/>
  </sheetPr>
  <dimension ref="A1:AP43"/>
  <sheetViews>
    <sheetView zoomScaleNormal="100" zoomScaleSheetLayoutView="70" workbookViewId="0">
      <pane xSplit="2" ySplit="5" topLeftCell="C6" activePane="bottomRight" state="frozen"/>
      <selection activeCell="A26" sqref="A26"/>
      <selection pane="topRight" activeCell="A26" sqref="A26"/>
      <selection pane="bottomLeft" activeCell="A26" sqref="A26"/>
      <selection pane="bottomRight"/>
    </sheetView>
  </sheetViews>
  <sheetFormatPr defaultColWidth="9.625" defaultRowHeight="14.25"/>
  <cols>
    <col min="1" max="1" width="11.375" style="220" customWidth="1"/>
    <col min="2" max="2" width="28.25" style="220" customWidth="1"/>
    <col min="3" max="4" width="18.75" style="215" customWidth="1"/>
    <col min="5" max="6" width="18.75" style="217" customWidth="1"/>
    <col min="7" max="8" width="18.75" style="215" customWidth="1"/>
    <col min="9" max="10" width="18.75" style="217" customWidth="1"/>
    <col min="11" max="12" width="18.75" style="218" customWidth="1"/>
    <col min="13" max="14" width="18.75" style="219" customWidth="1"/>
    <col min="15" max="16" width="18.75" style="218" customWidth="1"/>
    <col min="17" max="18" width="18.75" style="219" customWidth="1"/>
    <col min="19" max="20" width="18.75" style="218" customWidth="1"/>
    <col min="21" max="22" width="18.75" style="219" customWidth="1"/>
    <col min="23" max="24" width="18.75" style="218" customWidth="1"/>
    <col min="25" max="26" width="18.75" style="219" customWidth="1"/>
    <col min="27" max="28" width="18.75" style="218" customWidth="1"/>
    <col min="29" max="30" width="18.75" style="219" customWidth="1"/>
    <col min="31" max="32" width="18.75" style="218" customWidth="1"/>
    <col min="33" max="34" width="18.75" style="219" customWidth="1"/>
    <col min="35" max="36" width="18.75" style="218" customWidth="1"/>
    <col min="37" max="38" width="18.75" style="219" customWidth="1"/>
    <col min="39" max="40" width="18.75" style="218" customWidth="1"/>
    <col min="41" max="42" width="18.75" style="219" customWidth="1"/>
    <col min="43" max="16384" width="9.625" style="220"/>
  </cols>
  <sheetData>
    <row r="1" spans="1:42">
      <c r="A1" s="175" t="s">
        <v>98</v>
      </c>
      <c r="B1" s="176" t="str">
        <f>PA_NAME</f>
        <v>SoCalGas</v>
      </c>
      <c r="D1" s="216"/>
    </row>
    <row r="2" spans="1:42">
      <c r="A2" s="175" t="s">
        <v>99</v>
      </c>
      <c r="B2" s="176" t="str">
        <f>RPT_YEAR</f>
        <v>2024-2031</v>
      </c>
    </row>
    <row r="3" spans="1:42">
      <c r="A3" s="182" t="s">
        <v>118</v>
      </c>
    </row>
    <row r="4" spans="1:42">
      <c r="A4" s="183"/>
      <c r="B4" s="182" t="s">
        <v>126</v>
      </c>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c r="AP4" s="182"/>
    </row>
    <row r="5" spans="1:42" ht="71.25">
      <c r="B5" s="221" t="s">
        <v>127</v>
      </c>
      <c r="C5" s="221" t="s">
        <v>128</v>
      </c>
      <c r="D5" s="221" t="s">
        <v>129</v>
      </c>
      <c r="E5" s="221" t="s">
        <v>130</v>
      </c>
      <c r="F5" s="221" t="s">
        <v>131</v>
      </c>
      <c r="G5" s="221" t="s">
        <v>132</v>
      </c>
      <c r="H5" s="221" t="s">
        <v>133</v>
      </c>
      <c r="I5" s="221" t="s">
        <v>134</v>
      </c>
      <c r="J5" s="221" t="s">
        <v>135</v>
      </c>
      <c r="K5" s="221" t="s">
        <v>136</v>
      </c>
      <c r="L5" s="221" t="s">
        <v>137</v>
      </c>
      <c r="M5" s="221" t="s">
        <v>138</v>
      </c>
      <c r="N5" s="221" t="s">
        <v>139</v>
      </c>
      <c r="O5" s="221" t="s">
        <v>140</v>
      </c>
      <c r="P5" s="221" t="s">
        <v>141</v>
      </c>
      <c r="Q5" s="221" t="s">
        <v>142</v>
      </c>
      <c r="R5" s="221" t="s">
        <v>143</v>
      </c>
      <c r="S5" s="221" t="s">
        <v>144</v>
      </c>
      <c r="T5" s="221" t="s">
        <v>145</v>
      </c>
      <c r="U5" s="221" t="s">
        <v>146</v>
      </c>
      <c r="V5" s="221" t="s">
        <v>147</v>
      </c>
      <c r="W5" s="221" t="s">
        <v>148</v>
      </c>
      <c r="X5" s="221" t="s">
        <v>149</v>
      </c>
      <c r="Y5" s="221" t="s">
        <v>150</v>
      </c>
      <c r="Z5" s="221" t="s">
        <v>151</v>
      </c>
      <c r="AA5" s="221" t="s">
        <v>152</v>
      </c>
      <c r="AB5" s="221" t="s">
        <v>153</v>
      </c>
      <c r="AC5" s="221" t="s">
        <v>154</v>
      </c>
      <c r="AD5" s="221" t="s">
        <v>155</v>
      </c>
      <c r="AE5" s="221" t="s">
        <v>156</v>
      </c>
      <c r="AF5" s="221" t="s">
        <v>157</v>
      </c>
      <c r="AG5" s="221" t="s">
        <v>158</v>
      </c>
      <c r="AH5" s="221" t="s">
        <v>159</v>
      </c>
      <c r="AI5" s="221" t="s">
        <v>160</v>
      </c>
      <c r="AJ5" s="221" t="s">
        <v>161</v>
      </c>
      <c r="AK5" s="221" t="s">
        <v>162</v>
      </c>
      <c r="AL5" s="221" t="s">
        <v>163</v>
      </c>
      <c r="AM5" s="221" t="s">
        <v>164</v>
      </c>
      <c r="AN5" s="221" t="s">
        <v>165</v>
      </c>
      <c r="AO5" s="221" t="s">
        <v>166</v>
      </c>
      <c r="AP5" s="221" t="s">
        <v>167</v>
      </c>
    </row>
    <row r="6" spans="1:42">
      <c r="B6" s="222" t="s">
        <v>168</v>
      </c>
      <c r="C6" s="223">
        <v>0</v>
      </c>
      <c r="D6" s="224">
        <v>0</v>
      </c>
      <c r="E6" s="224">
        <v>0</v>
      </c>
      <c r="F6" s="224">
        <v>0</v>
      </c>
      <c r="G6" s="223">
        <v>0</v>
      </c>
      <c r="H6" s="224">
        <v>0</v>
      </c>
      <c r="I6" s="224">
        <v>0</v>
      </c>
      <c r="J6" s="224">
        <v>0</v>
      </c>
      <c r="K6" s="223">
        <v>0</v>
      </c>
      <c r="L6" s="224">
        <v>0</v>
      </c>
      <c r="M6" s="224">
        <v>0</v>
      </c>
      <c r="N6" s="224">
        <v>0</v>
      </c>
      <c r="O6" s="223">
        <v>0</v>
      </c>
      <c r="P6" s="224">
        <v>0</v>
      </c>
      <c r="Q6" s="224">
        <v>0</v>
      </c>
      <c r="R6" s="224">
        <v>0</v>
      </c>
      <c r="S6" s="223">
        <v>0</v>
      </c>
      <c r="T6" s="224">
        <v>0</v>
      </c>
      <c r="U6" s="224">
        <v>0</v>
      </c>
      <c r="V6" s="224">
        <v>0</v>
      </c>
      <c r="W6" s="223">
        <v>0</v>
      </c>
      <c r="X6" s="224">
        <v>0</v>
      </c>
      <c r="Y6" s="224">
        <v>0</v>
      </c>
      <c r="Z6" s="224">
        <v>0</v>
      </c>
      <c r="AA6" s="223">
        <v>0</v>
      </c>
      <c r="AB6" s="224">
        <v>0</v>
      </c>
      <c r="AC6" s="224">
        <v>0</v>
      </c>
      <c r="AD6" s="224">
        <v>0</v>
      </c>
      <c r="AE6" s="223">
        <v>0</v>
      </c>
      <c r="AF6" s="224">
        <v>0</v>
      </c>
      <c r="AG6" s="224">
        <v>0</v>
      </c>
      <c r="AH6" s="224">
        <v>0</v>
      </c>
      <c r="AI6" s="223">
        <v>0</v>
      </c>
      <c r="AJ6" s="224">
        <v>0</v>
      </c>
      <c r="AK6" s="224">
        <v>0</v>
      </c>
      <c r="AL6" s="224">
        <v>0</v>
      </c>
      <c r="AM6" s="223">
        <v>0</v>
      </c>
      <c r="AN6" s="224">
        <v>0</v>
      </c>
      <c r="AO6" s="224">
        <v>0</v>
      </c>
      <c r="AP6" s="224">
        <v>0</v>
      </c>
    </row>
    <row r="7" spans="1:42">
      <c r="B7" s="225"/>
      <c r="C7" s="223"/>
      <c r="D7" s="223"/>
      <c r="E7" s="226"/>
      <c r="F7" s="226"/>
      <c r="G7" s="223"/>
      <c r="H7" s="223"/>
      <c r="I7" s="226"/>
      <c r="J7" s="226"/>
      <c r="K7" s="223"/>
      <c r="L7" s="223"/>
      <c r="M7" s="226"/>
      <c r="N7" s="226"/>
      <c r="O7" s="223"/>
      <c r="P7" s="223"/>
      <c r="Q7" s="226"/>
      <c r="R7" s="226"/>
      <c r="S7" s="223"/>
      <c r="T7" s="223"/>
      <c r="U7" s="226"/>
      <c r="V7" s="226"/>
      <c r="W7" s="223"/>
      <c r="X7" s="223"/>
      <c r="Y7" s="226"/>
      <c r="Z7" s="226"/>
      <c r="AA7" s="223"/>
      <c r="AB7" s="223"/>
      <c r="AC7" s="226"/>
      <c r="AD7" s="226"/>
      <c r="AE7" s="223"/>
      <c r="AF7" s="223"/>
      <c r="AG7" s="226"/>
      <c r="AH7" s="226"/>
      <c r="AI7" s="223"/>
      <c r="AJ7" s="223"/>
      <c r="AK7" s="226"/>
      <c r="AL7" s="226"/>
      <c r="AM7" s="223"/>
      <c r="AN7" s="223"/>
      <c r="AO7" s="226"/>
      <c r="AP7" s="226"/>
    </row>
    <row r="8" spans="1:42">
      <c r="B8" s="225"/>
      <c r="C8" s="223"/>
      <c r="D8" s="223"/>
      <c r="E8" s="226"/>
      <c r="F8" s="226"/>
      <c r="G8" s="223"/>
      <c r="H8" s="223"/>
      <c r="I8" s="226"/>
      <c r="J8" s="226"/>
      <c r="K8" s="223"/>
      <c r="L8" s="223"/>
      <c r="M8" s="226"/>
      <c r="N8" s="226"/>
      <c r="O8" s="223"/>
      <c r="P8" s="223"/>
      <c r="Q8" s="226"/>
      <c r="R8" s="226"/>
      <c r="S8" s="223"/>
      <c r="T8" s="223"/>
      <c r="U8" s="226"/>
      <c r="V8" s="226"/>
      <c r="W8" s="223"/>
      <c r="X8" s="223"/>
      <c r="Y8" s="226"/>
      <c r="Z8" s="226"/>
      <c r="AA8" s="223"/>
      <c r="AB8" s="223"/>
      <c r="AC8" s="226"/>
      <c r="AD8" s="226"/>
      <c r="AE8" s="223"/>
      <c r="AF8" s="223"/>
      <c r="AG8" s="226"/>
      <c r="AH8" s="226"/>
      <c r="AI8" s="223"/>
      <c r="AJ8" s="223"/>
      <c r="AK8" s="226"/>
      <c r="AL8" s="226"/>
      <c r="AM8" s="223"/>
      <c r="AN8" s="223"/>
      <c r="AO8" s="226"/>
      <c r="AP8" s="226"/>
    </row>
    <row r="9" spans="1:42" ht="17.100000000000001" customHeight="1">
      <c r="B9" s="225"/>
      <c r="C9" s="223"/>
      <c r="D9" s="223"/>
      <c r="E9" s="226"/>
      <c r="F9" s="226"/>
      <c r="G9" s="223"/>
      <c r="H9" s="223"/>
      <c r="I9" s="226"/>
      <c r="J9" s="226"/>
      <c r="K9" s="223"/>
      <c r="L9" s="223"/>
      <c r="M9" s="226"/>
      <c r="N9" s="226"/>
      <c r="O9" s="223"/>
      <c r="P9" s="223"/>
      <c r="Q9" s="226"/>
      <c r="R9" s="226"/>
      <c r="S9" s="223"/>
      <c r="T9" s="223"/>
      <c r="U9" s="226"/>
      <c r="V9" s="226"/>
      <c r="W9" s="223"/>
      <c r="X9" s="223"/>
      <c r="Y9" s="226"/>
      <c r="Z9" s="226"/>
      <c r="AA9" s="223"/>
      <c r="AB9" s="223"/>
      <c r="AC9" s="226"/>
      <c r="AD9" s="226"/>
      <c r="AE9" s="223"/>
      <c r="AF9" s="223"/>
      <c r="AG9" s="226"/>
      <c r="AH9" s="226"/>
      <c r="AI9" s="223"/>
      <c r="AJ9" s="223"/>
      <c r="AK9" s="226"/>
      <c r="AL9" s="226"/>
      <c r="AM9" s="223"/>
      <c r="AN9" s="223"/>
      <c r="AO9" s="226"/>
      <c r="AP9" s="226"/>
    </row>
    <row r="10" spans="1:42">
      <c r="B10" s="225"/>
      <c r="C10" s="223"/>
      <c r="D10" s="223"/>
      <c r="E10" s="226"/>
      <c r="F10" s="226"/>
      <c r="G10" s="223"/>
      <c r="H10" s="223"/>
      <c r="I10" s="226"/>
      <c r="J10" s="226"/>
      <c r="K10" s="223"/>
      <c r="L10" s="223"/>
      <c r="M10" s="226"/>
      <c r="N10" s="226"/>
      <c r="O10" s="223"/>
      <c r="P10" s="223"/>
      <c r="Q10" s="226"/>
      <c r="R10" s="226"/>
      <c r="S10" s="223"/>
      <c r="T10" s="223"/>
      <c r="U10" s="226"/>
      <c r="V10" s="226"/>
      <c r="W10" s="223"/>
      <c r="X10" s="223"/>
      <c r="Y10" s="226"/>
      <c r="Z10" s="226"/>
      <c r="AA10" s="223"/>
      <c r="AB10" s="223"/>
      <c r="AC10" s="226"/>
      <c r="AD10" s="226"/>
      <c r="AE10" s="223"/>
      <c r="AF10" s="223"/>
      <c r="AG10" s="226"/>
      <c r="AH10" s="226"/>
      <c r="AI10" s="223"/>
      <c r="AJ10" s="223"/>
      <c r="AK10" s="226"/>
      <c r="AL10" s="226"/>
      <c r="AM10" s="223"/>
      <c r="AN10" s="223"/>
      <c r="AO10" s="226"/>
      <c r="AP10" s="226"/>
    </row>
    <row r="11" spans="1:42" hidden="1">
      <c r="B11" s="225"/>
      <c r="C11" s="224"/>
      <c r="D11" s="223"/>
      <c r="E11" s="226"/>
      <c r="F11" s="227"/>
      <c r="G11" s="224"/>
      <c r="H11" s="223"/>
      <c r="I11" s="226"/>
      <c r="J11" s="227"/>
      <c r="K11" s="224"/>
      <c r="L11" s="223"/>
      <c r="M11" s="226"/>
      <c r="N11" s="227"/>
      <c r="O11" s="224"/>
      <c r="P11" s="223"/>
      <c r="Q11" s="226"/>
      <c r="R11" s="227"/>
      <c r="S11" s="224"/>
      <c r="T11" s="223"/>
      <c r="U11" s="226"/>
      <c r="V11" s="227"/>
      <c r="W11" s="224"/>
      <c r="X11" s="223"/>
      <c r="Y11" s="226"/>
      <c r="Z11" s="227"/>
      <c r="AA11" s="224"/>
      <c r="AB11" s="223"/>
      <c r="AC11" s="226"/>
      <c r="AD11" s="227"/>
      <c r="AE11" s="224"/>
      <c r="AF11" s="223"/>
      <c r="AG11" s="226"/>
      <c r="AH11" s="227"/>
      <c r="AI11" s="224"/>
      <c r="AJ11" s="223"/>
      <c r="AK11" s="226"/>
      <c r="AL11" s="227"/>
      <c r="AM11" s="224"/>
      <c r="AN11" s="223"/>
      <c r="AO11" s="226"/>
      <c r="AP11" s="227"/>
    </row>
    <row r="12" spans="1:42">
      <c r="B12" s="225"/>
      <c r="C12" s="223"/>
      <c r="D12" s="223"/>
      <c r="E12" s="226"/>
      <c r="F12" s="226"/>
      <c r="G12" s="223"/>
      <c r="H12" s="223"/>
      <c r="I12" s="226"/>
      <c r="J12" s="226"/>
      <c r="K12" s="223"/>
      <c r="L12" s="223"/>
      <c r="M12" s="226"/>
      <c r="N12" s="226"/>
      <c r="O12" s="223"/>
      <c r="P12" s="223"/>
      <c r="Q12" s="226"/>
      <c r="R12" s="226"/>
      <c r="S12" s="223"/>
      <c r="T12" s="223"/>
      <c r="U12" s="226"/>
      <c r="V12" s="226"/>
      <c r="W12" s="223"/>
      <c r="X12" s="223"/>
      <c r="Y12" s="226"/>
      <c r="Z12" s="226"/>
      <c r="AA12" s="223"/>
      <c r="AB12" s="223"/>
      <c r="AC12" s="226"/>
      <c r="AD12" s="226"/>
      <c r="AE12" s="223"/>
      <c r="AF12" s="223"/>
      <c r="AG12" s="226"/>
      <c r="AH12" s="226"/>
      <c r="AI12" s="223"/>
      <c r="AJ12" s="223"/>
      <c r="AK12" s="226"/>
      <c r="AL12" s="226"/>
      <c r="AM12" s="223"/>
      <c r="AN12" s="223"/>
      <c r="AO12" s="226"/>
      <c r="AP12" s="226"/>
    </row>
    <row r="13" spans="1:42">
      <c r="B13" s="228"/>
      <c r="C13" s="224"/>
      <c r="D13" s="224"/>
      <c r="E13" s="224"/>
      <c r="F13" s="224"/>
      <c r="G13" s="224"/>
      <c r="H13" s="224"/>
      <c r="I13" s="224"/>
      <c r="J13" s="224"/>
      <c r="K13" s="224"/>
      <c r="L13" s="224"/>
      <c r="M13" s="224"/>
      <c r="N13" s="224"/>
      <c r="O13" s="224"/>
      <c r="P13" s="224"/>
      <c r="Q13" s="224"/>
      <c r="R13" s="224"/>
      <c r="S13" s="224"/>
      <c r="T13" s="224"/>
      <c r="U13" s="224"/>
      <c r="V13" s="224"/>
      <c r="W13" s="224"/>
      <c r="X13" s="224"/>
      <c r="Y13" s="224"/>
      <c r="Z13" s="224"/>
      <c r="AA13" s="224"/>
      <c r="AB13" s="224"/>
      <c r="AC13" s="224"/>
      <c r="AD13" s="224"/>
      <c r="AE13" s="224"/>
      <c r="AF13" s="224"/>
      <c r="AG13" s="224"/>
      <c r="AH13" s="224"/>
      <c r="AI13" s="224"/>
      <c r="AJ13" s="224"/>
      <c r="AK13" s="224"/>
      <c r="AL13" s="224"/>
      <c r="AM13" s="224"/>
      <c r="AN13" s="224"/>
      <c r="AO13" s="224"/>
      <c r="AP13" s="224"/>
    </row>
    <row r="14" spans="1:42">
      <c r="B14" s="222"/>
      <c r="C14" s="224"/>
      <c r="D14" s="224"/>
      <c r="E14" s="224"/>
      <c r="F14" s="224"/>
      <c r="G14" s="224"/>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row>
    <row r="15" spans="1:42">
      <c r="B15" s="225"/>
      <c r="C15" s="224"/>
      <c r="D15" s="224"/>
      <c r="E15" s="224"/>
      <c r="F15" s="224"/>
      <c r="G15" s="224"/>
      <c r="H15" s="224"/>
      <c r="I15" s="224"/>
      <c r="J15" s="224"/>
      <c r="K15" s="224"/>
      <c r="L15" s="224"/>
      <c r="M15" s="224"/>
      <c r="N15" s="224"/>
      <c r="O15" s="224"/>
      <c r="P15" s="224"/>
      <c r="Q15" s="224"/>
      <c r="R15" s="224"/>
      <c r="S15" s="224"/>
      <c r="T15" s="224"/>
      <c r="U15" s="224"/>
      <c r="V15" s="224"/>
      <c r="W15" s="224"/>
      <c r="X15" s="224"/>
      <c r="Y15" s="224"/>
      <c r="Z15" s="224"/>
      <c r="AA15" s="224"/>
      <c r="AB15" s="224"/>
      <c r="AC15" s="224"/>
      <c r="AD15" s="224"/>
      <c r="AE15" s="224"/>
      <c r="AF15" s="224"/>
      <c r="AG15" s="224"/>
      <c r="AH15" s="224"/>
      <c r="AI15" s="224"/>
      <c r="AJ15" s="224"/>
      <c r="AK15" s="224"/>
      <c r="AL15" s="224"/>
      <c r="AM15" s="224"/>
      <c r="AN15" s="224"/>
      <c r="AO15" s="224"/>
      <c r="AP15" s="224"/>
    </row>
    <row r="16" spans="1:42">
      <c r="B16" s="225"/>
      <c r="C16" s="224"/>
      <c r="D16" s="224"/>
      <c r="E16" s="224"/>
      <c r="F16" s="224"/>
      <c r="G16" s="224"/>
      <c r="H16" s="224"/>
      <c r="I16" s="224"/>
      <c r="J16" s="224"/>
      <c r="K16" s="224"/>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4"/>
      <c r="AL16" s="224"/>
      <c r="AM16" s="224"/>
      <c r="AN16" s="224"/>
      <c r="AO16" s="224"/>
      <c r="AP16" s="224"/>
    </row>
    <row r="17" spans="1:42">
      <c r="B17" s="225"/>
      <c r="C17" s="224"/>
      <c r="D17" s="224"/>
      <c r="E17" s="224"/>
      <c r="F17" s="224"/>
      <c r="G17" s="224"/>
      <c r="H17" s="224"/>
      <c r="I17" s="224"/>
      <c r="J17" s="224"/>
      <c r="K17" s="224"/>
      <c r="L17" s="224"/>
      <c r="M17" s="224"/>
      <c r="N17" s="224"/>
      <c r="O17" s="224"/>
      <c r="P17" s="224"/>
      <c r="Q17" s="224"/>
      <c r="R17" s="224"/>
      <c r="S17" s="224"/>
      <c r="T17" s="224"/>
      <c r="U17" s="224"/>
      <c r="V17" s="224"/>
      <c r="W17" s="224"/>
      <c r="X17" s="224"/>
      <c r="Y17" s="224"/>
      <c r="Z17" s="224"/>
      <c r="AA17" s="224"/>
      <c r="AB17" s="224"/>
      <c r="AC17" s="224"/>
      <c r="AD17" s="224"/>
      <c r="AE17" s="224"/>
      <c r="AF17" s="224"/>
      <c r="AG17" s="224"/>
      <c r="AH17" s="224"/>
      <c r="AI17" s="224"/>
      <c r="AJ17" s="224"/>
      <c r="AK17" s="224"/>
      <c r="AL17" s="224"/>
      <c r="AM17" s="224"/>
      <c r="AN17" s="224"/>
      <c r="AO17" s="224"/>
      <c r="AP17" s="224"/>
    </row>
    <row r="18" spans="1:42">
      <c r="B18" s="222"/>
      <c r="C18" s="224"/>
      <c r="D18" s="224"/>
      <c r="E18" s="224"/>
      <c r="F18" s="224"/>
      <c r="G18" s="224"/>
      <c r="H18" s="224"/>
      <c r="I18" s="224"/>
      <c r="J18" s="224"/>
      <c r="K18" s="224"/>
      <c r="L18" s="224"/>
      <c r="M18" s="224"/>
      <c r="N18" s="224"/>
      <c r="O18" s="224"/>
      <c r="P18" s="224"/>
      <c r="Q18" s="224"/>
      <c r="R18" s="224"/>
      <c r="S18" s="224"/>
      <c r="T18" s="224"/>
      <c r="U18" s="224"/>
      <c r="V18" s="224"/>
      <c r="W18" s="224"/>
      <c r="X18" s="224"/>
      <c r="Y18" s="224"/>
      <c r="Z18" s="224"/>
      <c r="AA18" s="224"/>
      <c r="AB18" s="224"/>
      <c r="AC18" s="224"/>
      <c r="AD18" s="224"/>
      <c r="AE18" s="224"/>
      <c r="AF18" s="224"/>
      <c r="AG18" s="224"/>
      <c r="AH18" s="224"/>
      <c r="AI18" s="224"/>
      <c r="AJ18" s="224"/>
      <c r="AK18" s="224"/>
      <c r="AL18" s="224"/>
      <c r="AM18" s="224"/>
      <c r="AN18" s="224"/>
      <c r="AO18" s="224"/>
      <c r="AP18" s="224"/>
    </row>
    <row r="19" spans="1:42">
      <c r="B19" s="225"/>
      <c r="C19" s="224"/>
      <c r="D19" s="224"/>
      <c r="E19" s="224"/>
      <c r="F19" s="224"/>
      <c r="G19" s="224"/>
      <c r="H19" s="224"/>
      <c r="I19" s="224"/>
      <c r="J19" s="224"/>
      <c r="K19" s="224"/>
      <c r="L19" s="224"/>
      <c r="M19" s="224"/>
      <c r="N19" s="224"/>
      <c r="O19" s="224"/>
      <c r="P19" s="224"/>
      <c r="Q19" s="224"/>
      <c r="R19" s="224"/>
      <c r="S19" s="224"/>
      <c r="T19" s="224"/>
      <c r="U19" s="224"/>
      <c r="V19" s="224"/>
      <c r="W19" s="224"/>
      <c r="X19" s="224"/>
      <c r="Y19" s="224"/>
      <c r="Z19" s="224"/>
      <c r="AA19" s="224"/>
      <c r="AB19" s="224"/>
      <c r="AC19" s="224"/>
      <c r="AD19" s="224"/>
      <c r="AE19" s="224"/>
      <c r="AF19" s="224"/>
      <c r="AG19" s="224"/>
      <c r="AH19" s="224"/>
      <c r="AI19" s="224"/>
      <c r="AJ19" s="224"/>
      <c r="AK19" s="224"/>
      <c r="AL19" s="224"/>
      <c r="AM19" s="224"/>
      <c r="AN19" s="224"/>
      <c r="AO19" s="224"/>
      <c r="AP19" s="224"/>
    </row>
    <row r="20" spans="1:42">
      <c r="B20" s="228"/>
      <c r="C20" s="224"/>
      <c r="D20" s="224"/>
      <c r="E20" s="224"/>
      <c r="F20" s="224"/>
      <c r="G20" s="224"/>
      <c r="H20" s="224"/>
      <c r="I20" s="224"/>
      <c r="J20" s="224"/>
      <c r="K20" s="224"/>
      <c r="L20" s="224"/>
      <c r="M20" s="224"/>
      <c r="N20" s="224"/>
      <c r="O20" s="224"/>
      <c r="P20" s="224"/>
      <c r="Q20" s="224"/>
      <c r="R20" s="224"/>
      <c r="S20" s="224"/>
      <c r="T20" s="224"/>
      <c r="U20" s="224"/>
      <c r="V20" s="224"/>
      <c r="W20" s="224"/>
      <c r="X20" s="224"/>
      <c r="Y20" s="224"/>
      <c r="Z20" s="224"/>
      <c r="AA20" s="224"/>
      <c r="AB20" s="224"/>
      <c r="AC20" s="224"/>
      <c r="AD20" s="224"/>
      <c r="AE20" s="224"/>
      <c r="AF20" s="224"/>
      <c r="AG20" s="224"/>
      <c r="AH20" s="224"/>
      <c r="AI20" s="224"/>
      <c r="AJ20" s="224"/>
      <c r="AK20" s="224"/>
      <c r="AL20" s="224"/>
      <c r="AM20" s="224"/>
      <c r="AN20" s="224"/>
      <c r="AO20" s="224"/>
      <c r="AP20" s="224"/>
    </row>
    <row r="21" spans="1:42">
      <c r="B21" s="229"/>
      <c r="C21" s="224"/>
      <c r="D21" s="224"/>
      <c r="E21" s="224"/>
      <c r="F21" s="224"/>
      <c r="G21" s="224"/>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4"/>
      <c r="AL21" s="224"/>
      <c r="AM21" s="224"/>
      <c r="AN21" s="224"/>
      <c r="AO21" s="224"/>
      <c r="AP21" s="224"/>
    </row>
    <row r="22" spans="1:42">
      <c r="A22" s="183"/>
      <c r="B22" s="230" t="s">
        <v>125</v>
      </c>
      <c r="C22" s="231"/>
      <c r="D22" s="231"/>
      <c r="E22" s="232"/>
      <c r="F22" s="231"/>
      <c r="G22" s="231"/>
      <c r="H22" s="231"/>
      <c r="I22" s="232"/>
      <c r="J22" s="231"/>
      <c r="K22" s="231"/>
      <c r="L22" s="231"/>
      <c r="M22" s="232"/>
      <c r="N22" s="231"/>
      <c r="O22" s="231"/>
      <c r="P22" s="231"/>
      <c r="Q22" s="232"/>
      <c r="R22" s="231"/>
      <c r="S22" s="231"/>
      <c r="T22" s="231"/>
      <c r="U22" s="232"/>
      <c r="V22" s="231"/>
      <c r="W22" s="231"/>
      <c r="X22" s="231"/>
      <c r="Y22" s="232"/>
      <c r="Z22" s="231"/>
      <c r="AA22" s="231"/>
      <c r="AB22" s="231"/>
      <c r="AC22" s="232"/>
      <c r="AD22" s="231"/>
      <c r="AE22" s="231"/>
      <c r="AF22" s="231"/>
      <c r="AG22" s="232"/>
      <c r="AH22" s="231"/>
      <c r="AI22" s="231"/>
      <c r="AJ22" s="231"/>
      <c r="AK22" s="232"/>
      <c r="AL22" s="231"/>
      <c r="AM22" s="231"/>
      <c r="AN22" s="231"/>
      <c r="AO22" s="232"/>
      <c r="AP22" s="231"/>
    </row>
    <row r="23" spans="1:42">
      <c r="B23" s="233"/>
      <c r="C23" s="233"/>
      <c r="D23" s="233"/>
      <c r="E23" s="233"/>
      <c r="F23" s="233"/>
      <c r="G23" s="233"/>
      <c r="H23" s="233"/>
      <c r="I23" s="233"/>
      <c r="J23" s="233"/>
      <c r="K23" s="233"/>
      <c r="L23" s="233"/>
      <c r="M23" s="233"/>
      <c r="N23" s="233"/>
      <c r="O23" s="233"/>
      <c r="P23" s="233"/>
      <c r="Q23" s="233"/>
      <c r="R23" s="233"/>
      <c r="S23" s="233"/>
      <c r="T23" s="233"/>
      <c r="U23" s="233"/>
      <c r="V23" s="233"/>
      <c r="W23" s="233"/>
      <c r="X23" s="233"/>
      <c r="Y23" s="233"/>
      <c r="Z23" s="233"/>
      <c r="AA23" s="233"/>
      <c r="AB23" s="233"/>
      <c r="AC23" s="233"/>
      <c r="AD23" s="233"/>
      <c r="AE23" s="233"/>
      <c r="AF23" s="233"/>
      <c r="AG23" s="233"/>
      <c r="AH23" s="233"/>
      <c r="AI23" s="233"/>
      <c r="AJ23" s="233"/>
      <c r="AK23" s="233"/>
      <c r="AL23" s="233"/>
      <c r="AM23" s="233"/>
      <c r="AN23" s="233"/>
      <c r="AO23" s="233"/>
      <c r="AP23" s="233"/>
    </row>
    <row r="24" spans="1:42">
      <c r="B24" s="182" t="s">
        <v>169</v>
      </c>
    </row>
    <row r="25" spans="1:42" ht="57">
      <c r="B25" s="221" t="s">
        <v>127</v>
      </c>
      <c r="C25" s="221" t="s">
        <v>170</v>
      </c>
      <c r="D25" s="221" t="s">
        <v>171</v>
      </c>
      <c r="E25" s="221" t="s">
        <v>172</v>
      </c>
      <c r="F25" s="221" t="s">
        <v>173</v>
      </c>
      <c r="G25" s="221" t="s">
        <v>174</v>
      </c>
      <c r="H25" s="221" t="s">
        <v>175</v>
      </c>
      <c r="I25" s="221" t="s">
        <v>176</v>
      </c>
      <c r="J25" s="221" t="s">
        <v>177</v>
      </c>
      <c r="K25" s="221" t="s">
        <v>178</v>
      </c>
      <c r="L25" s="221" t="s">
        <v>179</v>
      </c>
      <c r="M25" s="221" t="s">
        <v>180</v>
      </c>
      <c r="N25" s="221" t="s">
        <v>181</v>
      </c>
      <c r="O25" s="221" t="s">
        <v>182</v>
      </c>
      <c r="P25" s="221" t="s">
        <v>183</v>
      </c>
      <c r="Q25" s="221" t="s">
        <v>184</v>
      </c>
      <c r="R25" s="221" t="s">
        <v>185</v>
      </c>
      <c r="S25" s="221" t="s">
        <v>186</v>
      </c>
      <c r="T25" s="221" t="s">
        <v>187</v>
      </c>
      <c r="U25" s="221" t="s">
        <v>188</v>
      </c>
      <c r="V25" s="221" t="s">
        <v>189</v>
      </c>
      <c r="W25" s="221" t="s">
        <v>190</v>
      </c>
      <c r="X25" s="221" t="s">
        <v>191</v>
      </c>
      <c r="Y25" s="221" t="s">
        <v>192</v>
      </c>
      <c r="Z25" s="221" t="s">
        <v>193</v>
      </c>
      <c r="AA25" s="221" t="s">
        <v>194</v>
      </c>
      <c r="AB25" s="221" t="s">
        <v>195</v>
      </c>
      <c r="AC25" s="221" t="s">
        <v>196</v>
      </c>
      <c r="AD25" s="221" t="s">
        <v>197</v>
      </c>
      <c r="AE25" s="221" t="s">
        <v>198</v>
      </c>
      <c r="AF25" s="221" t="s">
        <v>199</v>
      </c>
      <c r="AG25" s="221" t="s">
        <v>200</v>
      </c>
      <c r="AH25" s="221" t="s">
        <v>201</v>
      </c>
      <c r="AI25" s="221" t="s">
        <v>202</v>
      </c>
      <c r="AJ25" s="221" t="s">
        <v>203</v>
      </c>
      <c r="AK25" s="221" t="s">
        <v>204</v>
      </c>
      <c r="AL25" s="221" t="s">
        <v>205</v>
      </c>
      <c r="AM25" s="221" t="s">
        <v>206</v>
      </c>
      <c r="AN25" s="221" t="s">
        <v>207</v>
      </c>
      <c r="AO25" s="221" t="s">
        <v>208</v>
      </c>
      <c r="AP25" s="221" t="s">
        <v>209</v>
      </c>
    </row>
    <row r="26" spans="1:42">
      <c r="B26" s="222" t="s">
        <v>17</v>
      </c>
      <c r="C26" s="234">
        <v>9447</v>
      </c>
      <c r="D26" s="235">
        <v>2.3999999999999998E-3</v>
      </c>
      <c r="E26" s="236">
        <v>1.6771</v>
      </c>
      <c r="F26" s="237">
        <v>2.2540000000000001E-2</v>
      </c>
      <c r="G26" s="234">
        <v>3222</v>
      </c>
      <c r="H26" s="235">
        <v>8.0000000000000004E-4</v>
      </c>
      <c r="I26" s="236">
        <v>1.6784699999999999</v>
      </c>
      <c r="J26" s="238">
        <v>2.392E-2</v>
      </c>
      <c r="K26" s="234">
        <v>8846</v>
      </c>
      <c r="L26" s="238">
        <v>2.2000000000000001E-3</v>
      </c>
      <c r="M26" s="236">
        <v>1.68225</v>
      </c>
      <c r="N26" s="237">
        <v>2.7689999999999999E-2</v>
      </c>
      <c r="O26" s="234">
        <v>845</v>
      </c>
      <c r="P26" s="238">
        <v>2.0000000000000001E-4</v>
      </c>
      <c r="Q26" s="236">
        <v>1.6826099999999999</v>
      </c>
      <c r="R26" s="237">
        <v>2.8049999999999999E-2</v>
      </c>
      <c r="S26" s="234">
        <v>691</v>
      </c>
      <c r="T26" s="238">
        <v>2.0000000000000001E-4</v>
      </c>
      <c r="U26" s="236">
        <v>1.6829000000000001</v>
      </c>
      <c r="V26" s="239">
        <v>2.8340000000000001E-2</v>
      </c>
      <c r="W26" s="234">
        <v>1028</v>
      </c>
      <c r="X26" s="238">
        <v>2.9999999999999997E-4</v>
      </c>
      <c r="Y26" s="236">
        <v>1.6833400000000001</v>
      </c>
      <c r="Z26" s="239">
        <v>2.878E-2</v>
      </c>
      <c r="AA26" s="234">
        <v>1414</v>
      </c>
      <c r="AB26" s="238">
        <v>4.0000000000000002E-4</v>
      </c>
      <c r="AC26" s="236">
        <v>1.6839500000000001</v>
      </c>
      <c r="AD26" s="239">
        <v>2.9399999999999999E-2</v>
      </c>
      <c r="AE26" s="234">
        <v>2495</v>
      </c>
      <c r="AF26" s="238">
        <v>5.9999999999999995E-4</v>
      </c>
      <c r="AG26" s="236">
        <v>1.6850099999999999</v>
      </c>
      <c r="AH26" s="239">
        <v>3.0450000000000001E-2</v>
      </c>
      <c r="AI26" s="234">
        <v>2604</v>
      </c>
      <c r="AJ26" s="238">
        <v>6.9999999999999999E-4</v>
      </c>
      <c r="AK26" s="236">
        <v>1.6861200000000001</v>
      </c>
      <c r="AL26" s="239">
        <v>3.1559999999999998E-2</v>
      </c>
      <c r="AM26" s="234">
        <v>2719</v>
      </c>
      <c r="AN26" s="238">
        <v>6.9999999999999999E-4</v>
      </c>
      <c r="AO26" s="236">
        <v>1.6872799999999999</v>
      </c>
      <c r="AP26" s="239">
        <v>3.27E-2</v>
      </c>
    </row>
    <row r="27" spans="1:42">
      <c r="B27" s="222" t="s">
        <v>210</v>
      </c>
      <c r="C27" s="234">
        <v>12362</v>
      </c>
      <c r="D27" s="235">
        <v>1.01E-2</v>
      </c>
      <c r="E27" s="236">
        <v>1.2467699999999999</v>
      </c>
      <c r="F27" s="237">
        <v>6.9959999999999994E-2</v>
      </c>
      <c r="G27" s="234">
        <v>4215</v>
      </c>
      <c r="H27" s="235">
        <v>3.3999999999999998E-3</v>
      </c>
      <c r="I27" s="236">
        <v>1.2510300000000001</v>
      </c>
      <c r="J27" s="238">
        <v>7.4219999999999994E-2</v>
      </c>
      <c r="K27" s="234">
        <v>11575</v>
      </c>
      <c r="L27" s="238">
        <v>9.4000000000000004E-3</v>
      </c>
      <c r="M27" s="236">
        <v>1.26274</v>
      </c>
      <c r="N27" s="237">
        <v>8.5940000000000003E-2</v>
      </c>
      <c r="O27" s="234">
        <v>1106</v>
      </c>
      <c r="P27" s="238">
        <v>8.9999999999999998E-4</v>
      </c>
      <c r="Q27" s="236">
        <v>1.26386</v>
      </c>
      <c r="R27" s="237">
        <v>8.7050000000000002E-2</v>
      </c>
      <c r="S27" s="234">
        <v>904</v>
      </c>
      <c r="T27" s="238">
        <v>6.9999999999999999E-4</v>
      </c>
      <c r="U27" s="236">
        <v>1.26478</v>
      </c>
      <c r="V27" s="239">
        <v>8.7970000000000007E-2</v>
      </c>
      <c r="W27" s="234">
        <v>1345</v>
      </c>
      <c r="X27" s="238">
        <v>1.1000000000000001E-3</v>
      </c>
      <c r="Y27" s="236">
        <v>1.26614</v>
      </c>
      <c r="Z27" s="239">
        <v>8.9330000000000007E-2</v>
      </c>
      <c r="AA27" s="234">
        <v>1851</v>
      </c>
      <c r="AB27" s="238">
        <v>1.5E-3</v>
      </c>
      <c r="AC27" s="236">
        <v>1.2680100000000001</v>
      </c>
      <c r="AD27" s="239">
        <v>9.1200000000000003E-2</v>
      </c>
      <c r="AE27" s="234">
        <v>3265</v>
      </c>
      <c r="AF27" s="238">
        <v>2.5999999999999999E-3</v>
      </c>
      <c r="AG27" s="236">
        <v>1.2713099999999999</v>
      </c>
      <c r="AH27" s="239">
        <v>9.4509999999999997E-2</v>
      </c>
      <c r="AI27" s="234">
        <v>3407</v>
      </c>
      <c r="AJ27" s="238">
        <v>2.7000000000000001E-3</v>
      </c>
      <c r="AK27" s="236">
        <v>1.2747599999999999</v>
      </c>
      <c r="AL27" s="239">
        <v>9.7949999999999995E-2</v>
      </c>
      <c r="AM27" s="234">
        <v>3558</v>
      </c>
      <c r="AN27" s="238">
        <v>2.8E-3</v>
      </c>
      <c r="AO27" s="236">
        <v>1.2783599999999999</v>
      </c>
      <c r="AP27" s="239">
        <v>0.1016</v>
      </c>
    </row>
    <row r="28" spans="1:42">
      <c r="B28" s="222" t="s">
        <v>211</v>
      </c>
      <c r="C28" s="234">
        <v>18</v>
      </c>
      <c r="D28" s="235">
        <v>4.1500000000000002E-2</v>
      </c>
      <c r="E28" s="236">
        <v>1.0709299999999999</v>
      </c>
      <c r="F28" s="237">
        <v>0.23879</v>
      </c>
      <c r="G28" s="234">
        <v>6</v>
      </c>
      <c r="H28" s="235">
        <v>1.3599999999999999E-2</v>
      </c>
      <c r="I28" s="236">
        <v>1.0854900000000001</v>
      </c>
      <c r="J28" s="238">
        <v>0.25335000000000002</v>
      </c>
      <c r="K28" s="234">
        <v>17</v>
      </c>
      <c r="L28" s="238">
        <v>3.6799999999999999E-2</v>
      </c>
      <c r="M28" s="236">
        <v>1.1254599999999999</v>
      </c>
      <c r="N28" s="237">
        <v>0.29332999999999998</v>
      </c>
      <c r="O28" s="234">
        <v>2</v>
      </c>
      <c r="P28" s="238">
        <v>3.3999999999999998E-3</v>
      </c>
      <c r="Q28" s="236">
        <v>1.1292800000000001</v>
      </c>
      <c r="R28" s="237">
        <v>0.29715000000000003</v>
      </c>
      <c r="S28" s="234">
        <v>1</v>
      </c>
      <c r="T28" s="238">
        <v>2.8E-3</v>
      </c>
      <c r="U28" s="236">
        <v>1.1324000000000001</v>
      </c>
      <c r="V28" s="239">
        <v>0.30026999999999998</v>
      </c>
      <c r="W28" s="234">
        <v>2</v>
      </c>
      <c r="X28" s="238">
        <v>4.1000000000000003E-3</v>
      </c>
      <c r="Y28" s="236">
        <v>1.1370499999999999</v>
      </c>
      <c r="Z28" s="239">
        <v>0.30491000000000001</v>
      </c>
      <c r="AA28" s="234">
        <v>3</v>
      </c>
      <c r="AB28" s="238">
        <v>5.5999999999999999E-3</v>
      </c>
      <c r="AC28" s="236">
        <v>1.14344</v>
      </c>
      <c r="AD28" s="239">
        <v>0.31130000000000002</v>
      </c>
      <c r="AE28" s="234">
        <v>5</v>
      </c>
      <c r="AF28" s="238">
        <v>9.9000000000000008E-3</v>
      </c>
      <c r="AG28" s="236">
        <v>1.15472</v>
      </c>
      <c r="AH28" s="239">
        <v>0.32257999999999998</v>
      </c>
      <c r="AI28" s="234">
        <v>5</v>
      </c>
      <c r="AJ28" s="238">
        <v>1.0200000000000001E-2</v>
      </c>
      <c r="AK28" s="236">
        <v>1.16648</v>
      </c>
      <c r="AL28" s="239">
        <v>0.33434999999999998</v>
      </c>
      <c r="AM28" s="234">
        <v>5</v>
      </c>
      <c r="AN28" s="238">
        <v>1.0500000000000001E-2</v>
      </c>
      <c r="AO28" s="236">
        <v>1.1787700000000001</v>
      </c>
      <c r="AP28" s="239">
        <v>0.34660000000000002</v>
      </c>
    </row>
    <row r="29" spans="1:42">
      <c r="B29" s="222" t="s">
        <v>212</v>
      </c>
      <c r="C29" s="234">
        <v>238</v>
      </c>
      <c r="D29" s="235">
        <v>1.2200000000000001E-2</v>
      </c>
      <c r="E29" s="238">
        <v>0.88346000000000002</v>
      </c>
      <c r="F29" s="240">
        <v>5.9580000000000001E-2</v>
      </c>
      <c r="G29" s="234">
        <v>81</v>
      </c>
      <c r="H29" s="235">
        <v>4.1000000000000003E-3</v>
      </c>
      <c r="I29" s="236">
        <v>0.88709000000000005</v>
      </c>
      <c r="J29" s="238">
        <v>6.3210000000000002E-2</v>
      </c>
      <c r="K29" s="234">
        <v>222</v>
      </c>
      <c r="L29" s="238">
        <v>1.12E-2</v>
      </c>
      <c r="M29" s="236">
        <v>0.89707000000000003</v>
      </c>
      <c r="N29" s="240">
        <v>7.3190000000000005E-2</v>
      </c>
      <c r="O29" s="234">
        <v>21</v>
      </c>
      <c r="P29" s="238">
        <v>1.1000000000000001E-3</v>
      </c>
      <c r="Q29" s="236">
        <v>0.89802000000000004</v>
      </c>
      <c r="R29" s="240">
        <v>7.4139999999999998E-2</v>
      </c>
      <c r="S29" s="234">
        <v>17</v>
      </c>
      <c r="T29" s="238">
        <v>8.9999999999999998E-4</v>
      </c>
      <c r="U29" s="236">
        <v>0.89880000000000004</v>
      </c>
      <c r="V29" s="239">
        <v>7.492E-2</v>
      </c>
      <c r="W29" s="234">
        <v>26</v>
      </c>
      <c r="X29" s="238">
        <v>1.2999999999999999E-3</v>
      </c>
      <c r="Y29" s="236">
        <v>0.89995999999999998</v>
      </c>
      <c r="Z29" s="239">
        <v>7.6079999999999995E-2</v>
      </c>
      <c r="AA29" s="234">
        <v>36</v>
      </c>
      <c r="AB29" s="238">
        <v>1.8E-3</v>
      </c>
      <c r="AC29" s="236">
        <v>0.90154999999999996</v>
      </c>
      <c r="AD29" s="239">
        <v>7.7700000000000005E-2</v>
      </c>
      <c r="AE29" s="234">
        <v>63</v>
      </c>
      <c r="AF29" s="238">
        <v>3.0999999999999999E-3</v>
      </c>
      <c r="AG29" s="236">
        <v>0.90436000000000005</v>
      </c>
      <c r="AH29" s="239">
        <v>8.0490000000000006E-2</v>
      </c>
      <c r="AI29" s="234">
        <v>65</v>
      </c>
      <c r="AJ29" s="238">
        <v>3.2000000000000002E-3</v>
      </c>
      <c r="AK29" s="236">
        <v>0.9073</v>
      </c>
      <c r="AL29" s="239">
        <v>8.3419999999999994E-2</v>
      </c>
      <c r="AM29" s="234">
        <v>68</v>
      </c>
      <c r="AN29" s="238">
        <v>3.3999999999999998E-3</v>
      </c>
      <c r="AO29" s="236">
        <v>0.91037000000000001</v>
      </c>
      <c r="AP29" s="239">
        <v>8.6499999999999994E-2</v>
      </c>
    </row>
    <row r="30" spans="1:42">
      <c r="B30" s="222" t="s">
        <v>213</v>
      </c>
      <c r="C30" s="234">
        <v>1827</v>
      </c>
      <c r="D30" s="235">
        <v>7.6E-3</v>
      </c>
      <c r="E30" s="238">
        <v>0.15767999999999999</v>
      </c>
      <c r="F30" s="240">
        <v>6.6299999999999996E-3</v>
      </c>
      <c r="G30" s="234">
        <v>623</v>
      </c>
      <c r="H30" s="235">
        <v>2.5999999999999999E-3</v>
      </c>
      <c r="I30" s="236">
        <v>0.15808</v>
      </c>
      <c r="J30" s="238">
        <v>7.0299999999999998E-3</v>
      </c>
      <c r="K30" s="234">
        <v>1711</v>
      </c>
      <c r="L30" s="238">
        <v>7.0000000000000001E-3</v>
      </c>
      <c r="M30" s="236">
        <v>0.15919</v>
      </c>
      <c r="N30" s="240">
        <v>8.1399999999999997E-3</v>
      </c>
      <c r="O30" s="234">
        <v>163</v>
      </c>
      <c r="P30" s="238">
        <v>6.9999999999999999E-4</v>
      </c>
      <c r="Q30" s="236">
        <v>0.1593</v>
      </c>
      <c r="R30" s="240">
        <v>8.2500000000000004E-3</v>
      </c>
      <c r="S30" s="234">
        <v>134</v>
      </c>
      <c r="T30" s="238">
        <v>5.0000000000000001E-4</v>
      </c>
      <c r="U30" s="236">
        <v>0.15937999999999999</v>
      </c>
      <c r="V30" s="239">
        <v>8.3400000000000002E-3</v>
      </c>
      <c r="W30" s="234">
        <v>199</v>
      </c>
      <c r="X30" s="238">
        <v>8.0000000000000004E-4</v>
      </c>
      <c r="Y30" s="236">
        <v>0.15951000000000001</v>
      </c>
      <c r="Z30" s="239">
        <v>8.4700000000000001E-3</v>
      </c>
      <c r="AA30" s="234">
        <v>274</v>
      </c>
      <c r="AB30" s="238">
        <v>1.1000000000000001E-3</v>
      </c>
      <c r="AC30" s="236">
        <v>0.15969</v>
      </c>
      <c r="AD30" s="239">
        <v>8.6E-3</v>
      </c>
      <c r="AE30" s="234">
        <v>483</v>
      </c>
      <c r="AF30" s="238">
        <v>2E-3</v>
      </c>
      <c r="AG30" s="236">
        <v>0.16</v>
      </c>
      <c r="AH30" s="239">
        <v>8.9599999999999992E-3</v>
      </c>
      <c r="AI30" s="234">
        <v>504</v>
      </c>
      <c r="AJ30" s="238">
        <v>2E-3</v>
      </c>
      <c r="AK30" s="236">
        <v>0.16033</v>
      </c>
      <c r="AL30" s="239">
        <v>9.2800000000000001E-3</v>
      </c>
      <c r="AM30" s="234">
        <v>526</v>
      </c>
      <c r="AN30" s="238">
        <v>2.0999999999999999E-3</v>
      </c>
      <c r="AO30" s="236">
        <v>0.16067000000000001</v>
      </c>
      <c r="AP30" s="239">
        <v>9.5999999999999992E-3</v>
      </c>
    </row>
    <row r="31" spans="1:42">
      <c r="B31" s="225"/>
      <c r="C31" s="234"/>
      <c r="D31" s="241"/>
      <c r="E31" s="234"/>
      <c r="F31" s="234"/>
      <c r="G31" s="234"/>
      <c r="H31" s="241"/>
      <c r="I31" s="234"/>
      <c r="J31" s="234"/>
      <c r="K31" s="234"/>
      <c r="L31" s="241"/>
      <c r="M31" s="234"/>
      <c r="N31" s="234"/>
      <c r="O31" s="234"/>
      <c r="P31" s="241"/>
      <c r="Q31" s="234"/>
      <c r="R31" s="234"/>
      <c r="S31" s="234"/>
      <c r="T31" s="241"/>
      <c r="U31" s="234"/>
      <c r="V31" s="234"/>
      <c r="W31" s="234"/>
      <c r="X31" s="241"/>
      <c r="Y31" s="234"/>
      <c r="Z31" s="234"/>
      <c r="AA31" s="234"/>
      <c r="AB31" s="241"/>
      <c r="AC31" s="234"/>
      <c r="AD31" s="234"/>
      <c r="AE31" s="234"/>
      <c r="AF31" s="241"/>
      <c r="AG31" s="234"/>
      <c r="AH31" s="234"/>
      <c r="AI31" s="234"/>
      <c r="AJ31" s="241"/>
      <c r="AK31" s="234"/>
      <c r="AL31" s="234"/>
      <c r="AM31" s="234"/>
      <c r="AN31" s="241"/>
      <c r="AO31" s="234"/>
      <c r="AP31" s="234"/>
    </row>
    <row r="32" spans="1:42">
      <c r="B32" s="225"/>
      <c r="C32" s="234"/>
      <c r="D32" s="234"/>
      <c r="E32" s="234"/>
      <c r="F32" s="234"/>
      <c r="G32" s="234"/>
      <c r="H32" s="234"/>
      <c r="I32" s="234"/>
      <c r="J32" s="234"/>
      <c r="K32" s="234"/>
      <c r="L32" s="234"/>
      <c r="M32" s="234"/>
      <c r="N32" s="234"/>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234"/>
      <c r="AL32" s="234"/>
      <c r="AM32" s="234"/>
      <c r="AN32" s="234"/>
      <c r="AO32" s="234"/>
      <c r="AP32" s="234"/>
    </row>
    <row r="33" spans="2:42">
      <c r="B33" s="225"/>
      <c r="C33" s="234"/>
      <c r="D33" s="234"/>
      <c r="E33" s="234"/>
      <c r="F33" s="234"/>
      <c r="G33" s="234"/>
      <c r="H33" s="234"/>
      <c r="I33" s="234"/>
      <c r="J33" s="234"/>
      <c r="K33" s="234"/>
      <c r="L33" s="234"/>
      <c r="M33" s="234"/>
      <c r="N33" s="234"/>
      <c r="O33" s="234"/>
      <c r="P33" s="234"/>
      <c r="Q33" s="234"/>
      <c r="R33" s="234"/>
      <c r="S33" s="234"/>
      <c r="T33" s="234"/>
      <c r="U33" s="234"/>
      <c r="V33" s="234"/>
      <c r="W33" s="234"/>
      <c r="X33" s="234"/>
      <c r="Y33" s="234"/>
      <c r="Z33" s="234"/>
      <c r="AA33" s="234"/>
      <c r="AB33" s="234"/>
      <c r="AC33" s="234"/>
      <c r="AD33" s="234"/>
      <c r="AE33" s="234"/>
      <c r="AF33" s="234"/>
      <c r="AG33" s="234"/>
      <c r="AH33" s="234"/>
      <c r="AI33" s="234"/>
      <c r="AJ33" s="234"/>
      <c r="AK33" s="234"/>
      <c r="AL33" s="234"/>
      <c r="AM33" s="234"/>
      <c r="AN33" s="234"/>
      <c r="AO33" s="234"/>
      <c r="AP33" s="234"/>
    </row>
    <row r="34" spans="2:42">
      <c r="B34" s="225"/>
      <c r="C34" s="234"/>
      <c r="D34" s="241"/>
      <c r="E34" s="234"/>
      <c r="F34" s="234"/>
      <c r="G34" s="234"/>
      <c r="H34" s="241"/>
      <c r="I34" s="234"/>
      <c r="J34" s="234"/>
      <c r="K34" s="234"/>
      <c r="L34" s="241"/>
      <c r="M34" s="234"/>
      <c r="N34" s="234"/>
      <c r="O34" s="234"/>
      <c r="P34" s="241"/>
      <c r="Q34" s="234"/>
      <c r="R34" s="234"/>
      <c r="S34" s="234"/>
      <c r="T34" s="241"/>
      <c r="U34" s="234"/>
      <c r="V34" s="234"/>
      <c r="W34" s="234"/>
      <c r="X34" s="241"/>
      <c r="Y34" s="234"/>
      <c r="Z34" s="234"/>
      <c r="AA34" s="234"/>
      <c r="AB34" s="241"/>
      <c r="AC34" s="234"/>
      <c r="AD34" s="234"/>
      <c r="AE34" s="234"/>
      <c r="AF34" s="241"/>
      <c r="AG34" s="234"/>
      <c r="AH34" s="234"/>
      <c r="AI34" s="234"/>
      <c r="AJ34" s="241"/>
      <c r="AK34" s="234"/>
      <c r="AL34" s="234"/>
      <c r="AM34" s="234"/>
      <c r="AN34" s="241"/>
      <c r="AO34" s="234"/>
      <c r="AP34" s="234"/>
    </row>
    <row r="35" spans="2:42">
      <c r="B35" s="229"/>
      <c r="C35" s="234"/>
      <c r="D35" s="234"/>
      <c r="E35" s="234"/>
      <c r="F35" s="234"/>
      <c r="G35" s="234"/>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row>
    <row r="36" spans="2:42">
      <c r="B36" s="225"/>
      <c r="C36" s="234"/>
      <c r="D36" s="234"/>
      <c r="E36" s="234"/>
      <c r="F36" s="234"/>
      <c r="G36" s="234"/>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row>
    <row r="37" spans="2:42">
      <c r="B37" s="225"/>
      <c r="C37" s="234"/>
      <c r="D37" s="234"/>
      <c r="E37" s="234"/>
      <c r="F37" s="234"/>
      <c r="G37" s="234"/>
      <c r="H37" s="234"/>
      <c r="I37" s="234"/>
      <c r="J37" s="234"/>
      <c r="K37" s="234"/>
      <c r="L37" s="234"/>
      <c r="M37" s="234"/>
      <c r="N37" s="234"/>
      <c r="O37" s="234"/>
      <c r="P37" s="234"/>
      <c r="Q37" s="234"/>
      <c r="R37" s="234"/>
      <c r="S37" s="234"/>
      <c r="T37" s="234"/>
      <c r="U37" s="234"/>
      <c r="V37" s="234"/>
      <c r="W37" s="234"/>
      <c r="X37" s="234"/>
      <c r="Y37" s="234"/>
      <c r="Z37" s="234"/>
      <c r="AA37" s="234"/>
      <c r="AB37" s="234"/>
      <c r="AC37" s="234"/>
      <c r="AD37" s="234"/>
      <c r="AE37" s="234"/>
      <c r="AF37" s="234"/>
      <c r="AG37" s="234"/>
      <c r="AH37" s="234"/>
      <c r="AI37" s="234"/>
      <c r="AJ37" s="234"/>
      <c r="AK37" s="234"/>
      <c r="AL37" s="234"/>
      <c r="AM37" s="234"/>
      <c r="AN37" s="234"/>
      <c r="AO37" s="234"/>
      <c r="AP37" s="234"/>
    </row>
    <row r="38" spans="2:42">
      <c r="B38" s="225"/>
      <c r="C38" s="234"/>
      <c r="D38" s="234"/>
      <c r="E38" s="234"/>
      <c r="F38" s="234"/>
      <c r="G38" s="234"/>
      <c r="H38" s="234"/>
      <c r="I38" s="234"/>
      <c r="J38" s="234"/>
      <c r="K38" s="234"/>
      <c r="L38" s="234"/>
      <c r="M38" s="234"/>
      <c r="N38" s="234"/>
      <c r="O38" s="234"/>
      <c r="P38" s="234"/>
      <c r="Q38" s="234"/>
      <c r="R38" s="234"/>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row>
    <row r="39" spans="2:42">
      <c r="B39" s="225"/>
      <c r="C39" s="234"/>
      <c r="D39" s="234"/>
      <c r="E39" s="234"/>
      <c r="F39" s="234"/>
      <c r="G39" s="234"/>
      <c r="H39" s="234"/>
      <c r="I39" s="234"/>
      <c r="J39" s="234"/>
      <c r="K39" s="234"/>
      <c r="L39" s="234"/>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row>
    <row r="40" spans="2:42">
      <c r="B40" s="229"/>
      <c r="C40" s="234"/>
      <c r="D40" s="234"/>
      <c r="E40" s="234"/>
      <c r="F40" s="234"/>
      <c r="G40" s="234"/>
      <c r="H40" s="234"/>
      <c r="I40" s="234"/>
      <c r="J40" s="234"/>
      <c r="K40" s="234"/>
      <c r="L40" s="234"/>
      <c r="M40" s="234"/>
      <c r="N40" s="234"/>
      <c r="O40" s="234"/>
      <c r="P40" s="234"/>
      <c r="Q40" s="234"/>
      <c r="R40" s="234"/>
      <c r="S40" s="234"/>
      <c r="T40" s="234"/>
      <c r="U40" s="234"/>
      <c r="V40" s="234"/>
      <c r="W40" s="234"/>
      <c r="X40" s="234"/>
      <c r="Y40" s="234"/>
      <c r="Z40" s="234"/>
      <c r="AA40" s="234"/>
      <c r="AB40" s="234"/>
      <c r="AC40" s="234"/>
      <c r="AD40" s="234"/>
      <c r="AE40" s="234"/>
      <c r="AF40" s="234"/>
      <c r="AG40" s="234"/>
      <c r="AH40" s="234"/>
      <c r="AI40" s="234"/>
      <c r="AJ40" s="234"/>
      <c r="AK40" s="234"/>
      <c r="AL40" s="234"/>
      <c r="AM40" s="234"/>
      <c r="AN40" s="234"/>
      <c r="AO40" s="234"/>
      <c r="AP40" s="234"/>
    </row>
    <row r="41" spans="2:42">
      <c r="B41" s="225"/>
      <c r="C41" s="234"/>
      <c r="D41" s="234"/>
      <c r="E41" s="234"/>
      <c r="F41" s="234"/>
      <c r="G41" s="234"/>
      <c r="H41" s="234"/>
      <c r="I41" s="234"/>
      <c r="J41" s="234"/>
      <c r="K41" s="234"/>
      <c r="L41" s="234"/>
      <c r="M41" s="234"/>
      <c r="N41" s="234"/>
      <c r="O41" s="234"/>
      <c r="P41" s="234"/>
      <c r="Q41" s="234"/>
      <c r="R41" s="234"/>
      <c r="S41" s="234"/>
      <c r="T41" s="234"/>
      <c r="U41" s="234"/>
      <c r="V41" s="234"/>
      <c r="W41" s="234"/>
      <c r="X41" s="234"/>
      <c r="Y41" s="234"/>
      <c r="Z41" s="234"/>
      <c r="AA41" s="234"/>
      <c r="AB41" s="234"/>
      <c r="AC41" s="234"/>
      <c r="AD41" s="234"/>
      <c r="AE41" s="234"/>
      <c r="AF41" s="234"/>
      <c r="AG41" s="234"/>
      <c r="AH41" s="234"/>
      <c r="AI41" s="234"/>
      <c r="AJ41" s="234"/>
      <c r="AK41" s="234"/>
      <c r="AL41" s="234"/>
      <c r="AM41" s="234"/>
      <c r="AN41" s="234"/>
      <c r="AO41" s="234"/>
      <c r="AP41" s="234"/>
    </row>
    <row r="42" spans="2:42">
      <c r="B42" s="225"/>
      <c r="C42" s="234"/>
      <c r="D42" s="241"/>
      <c r="E42" s="234"/>
      <c r="F42" s="234"/>
      <c r="G42" s="234"/>
      <c r="H42" s="241"/>
      <c r="I42" s="234"/>
      <c r="J42" s="234"/>
      <c r="K42" s="234"/>
      <c r="L42" s="241"/>
      <c r="M42" s="234"/>
      <c r="N42" s="234"/>
      <c r="O42" s="234"/>
      <c r="P42" s="241"/>
      <c r="Q42" s="234"/>
      <c r="R42" s="234"/>
      <c r="S42" s="234"/>
      <c r="T42" s="241"/>
      <c r="U42" s="234"/>
      <c r="V42" s="234"/>
      <c r="W42" s="234"/>
      <c r="X42" s="241"/>
      <c r="Y42" s="234"/>
      <c r="Z42" s="234"/>
      <c r="AA42" s="234"/>
      <c r="AB42" s="241"/>
      <c r="AC42" s="234"/>
      <c r="AD42" s="234"/>
      <c r="AE42" s="234"/>
      <c r="AF42" s="241"/>
      <c r="AG42" s="234"/>
      <c r="AH42" s="234"/>
      <c r="AI42" s="234"/>
      <c r="AJ42" s="241"/>
      <c r="AK42" s="234"/>
      <c r="AL42" s="234"/>
      <c r="AM42" s="234"/>
      <c r="AN42" s="241"/>
      <c r="AO42" s="234"/>
      <c r="AP42" s="234"/>
    </row>
    <row r="43" spans="2:42">
      <c r="C43" s="242"/>
      <c r="D43" s="242"/>
      <c r="E43" s="243"/>
      <c r="F43" s="243"/>
      <c r="G43" s="242"/>
      <c r="H43" s="242"/>
      <c r="I43" s="243"/>
      <c r="J43" s="243"/>
      <c r="K43" s="242"/>
      <c r="L43" s="242"/>
      <c r="M43" s="243"/>
      <c r="N43" s="243"/>
      <c r="O43" s="242"/>
      <c r="P43" s="242"/>
      <c r="Q43" s="243"/>
      <c r="R43" s="243"/>
      <c r="S43" s="242"/>
      <c r="T43" s="242"/>
      <c r="U43" s="243"/>
      <c r="V43" s="243"/>
      <c r="W43" s="242"/>
      <c r="X43" s="242"/>
      <c r="Y43" s="243"/>
      <c r="Z43" s="243"/>
      <c r="AA43" s="242"/>
      <c r="AB43" s="242"/>
      <c r="AC43" s="243"/>
      <c r="AD43" s="243"/>
      <c r="AE43" s="242"/>
      <c r="AF43" s="242"/>
      <c r="AG43" s="243"/>
      <c r="AH43" s="243"/>
      <c r="AI43" s="242"/>
      <c r="AJ43" s="242"/>
      <c r="AK43" s="243"/>
      <c r="AL43" s="243"/>
      <c r="AM43" s="242"/>
      <c r="AN43" s="242"/>
      <c r="AO43" s="243"/>
      <c r="AP43" s="243"/>
    </row>
  </sheetData>
  <pageMargins left="0.7" right="0.7" top="0.75" bottom="0.75" header="0.3" footer="0.3"/>
  <pageSetup paperSize="3" scale="78" fitToWidth="4" orientation="landscape" r:id="rId1"/>
  <colBreaks count="1" manualBreakCount="1">
    <brk id="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7F204-98F4-472E-93C5-F8D05C509A74}">
  <sheetPr codeName="Sheet5">
    <pageSetUpPr fitToPage="1"/>
  </sheetPr>
  <dimension ref="A1:AL33"/>
  <sheetViews>
    <sheetView showGridLines="0" tabSelected="1" workbookViewId="0">
      <selection activeCell="L31" sqref="L31"/>
    </sheetView>
  </sheetViews>
  <sheetFormatPr defaultColWidth="8.625" defaultRowHeight="14.25"/>
  <cols>
    <col min="1" max="1" width="11.375" style="248" customWidth="1"/>
    <col min="2" max="2" width="8.625" style="248"/>
    <col min="3" max="3" width="13.75" style="248" customWidth="1"/>
    <col min="4" max="5" width="8.75" style="248" customWidth="1"/>
    <col min="6" max="6" width="13.5" style="248" customWidth="1"/>
    <col min="7" max="7" width="8.75" style="248" customWidth="1"/>
    <col min="8" max="8" width="12.75" style="248" customWidth="1"/>
    <col min="9" max="9" width="8.75" style="248" customWidth="1"/>
    <col min="10" max="10" width="13.875" style="248" customWidth="1"/>
    <col min="11" max="12" width="8.75" style="248" customWidth="1"/>
    <col min="13" max="13" width="13.75" style="248" customWidth="1"/>
    <col min="14" max="16" width="8.75" style="248" customWidth="1"/>
    <col min="17" max="17" width="13.875" style="248" customWidth="1"/>
    <col min="18" max="19" width="8.75" style="248" customWidth="1"/>
    <col min="20" max="20" width="13.75" style="248" customWidth="1"/>
    <col min="21" max="21" width="8.75" style="248" customWidth="1"/>
    <col min="22" max="16384" width="8.625" style="248"/>
  </cols>
  <sheetData>
    <row r="1" spans="1:38" s="245" customFormat="1">
      <c r="A1" s="175" t="s">
        <v>98</v>
      </c>
      <c r="B1" s="176" t="str">
        <f>PA_NAME</f>
        <v>SoCalGas</v>
      </c>
      <c r="D1" s="106"/>
      <c r="H1" s="246"/>
      <c r="L1" s="246"/>
      <c r="P1" s="246"/>
      <c r="T1" s="246"/>
      <c r="X1" s="246"/>
      <c r="AB1" s="246"/>
      <c r="AF1" s="246"/>
      <c r="AJ1" s="247"/>
      <c r="AL1" s="253"/>
    </row>
    <row r="2" spans="1:38" s="245" customFormat="1">
      <c r="A2" s="175" t="s">
        <v>99</v>
      </c>
      <c r="B2" s="176" t="str">
        <f>RPT_YEAR</f>
        <v>2024-2031</v>
      </c>
      <c r="D2" s="246"/>
      <c r="H2" s="246"/>
      <c r="L2" s="246"/>
      <c r="P2" s="246"/>
      <c r="T2" s="246"/>
      <c r="X2" s="246"/>
      <c r="AB2" s="246"/>
      <c r="AF2" s="246"/>
      <c r="AJ2" s="247"/>
      <c r="AL2" s="253"/>
    </row>
    <row r="3" spans="1:38" s="245" customFormat="1">
      <c r="A3" s="254" t="s">
        <v>214</v>
      </c>
      <c r="B3" s="254"/>
      <c r="C3" s="254"/>
      <c r="D3" s="254"/>
      <c r="H3" s="246"/>
      <c r="L3" s="246"/>
      <c r="P3" s="246"/>
      <c r="T3" s="246"/>
      <c r="X3" s="246"/>
      <c r="AB3" s="246"/>
      <c r="AF3" s="246"/>
      <c r="AJ3" s="247"/>
      <c r="AL3" s="253"/>
    </row>
    <row r="5" spans="1:38">
      <c r="B5" s="1355"/>
      <c r="C5" s="1355"/>
      <c r="D5" s="1355"/>
      <c r="E5" s="1355"/>
      <c r="F5" s="1355"/>
      <c r="G5" s="1355"/>
    </row>
    <row r="6" spans="1:38">
      <c r="B6" s="1356"/>
      <c r="C6" s="1356"/>
      <c r="D6" s="1356"/>
      <c r="E6" s="1356"/>
      <c r="F6" s="1356"/>
      <c r="G6" s="1356"/>
    </row>
    <row r="7" spans="1:38" ht="14.65" thickBot="1">
      <c r="B7" s="91"/>
      <c r="C7" s="91"/>
      <c r="D7" s="91"/>
      <c r="E7" s="91"/>
      <c r="F7" s="91"/>
      <c r="G7" s="91"/>
      <c r="I7" s="91"/>
      <c r="J7" s="91"/>
      <c r="K7" s="91"/>
      <c r="L7" s="91"/>
      <c r="M7" s="91"/>
      <c r="N7" s="91"/>
      <c r="P7" s="91"/>
      <c r="Q7" s="91"/>
      <c r="R7" s="91"/>
      <c r="S7" s="91"/>
      <c r="T7" s="91"/>
      <c r="U7" s="91"/>
    </row>
    <row r="8" spans="1:38" ht="57">
      <c r="B8" s="71"/>
      <c r="C8" s="75" t="s">
        <v>215</v>
      </c>
      <c r="D8" s="68" t="s">
        <v>216</v>
      </c>
      <c r="E8" s="68" t="s">
        <v>217</v>
      </c>
      <c r="F8" s="68" t="s">
        <v>218</v>
      </c>
      <c r="G8" s="69" t="s">
        <v>219</v>
      </c>
      <c r="I8" s="71"/>
      <c r="J8" s="72" t="s">
        <v>220</v>
      </c>
      <c r="K8" s="68" t="s">
        <v>216</v>
      </c>
      <c r="L8" s="68" t="s">
        <v>217</v>
      </c>
      <c r="M8" s="68" t="s">
        <v>218</v>
      </c>
      <c r="N8" s="69" t="s">
        <v>219</v>
      </c>
      <c r="P8" s="71"/>
      <c r="Q8" s="76" t="s">
        <v>221</v>
      </c>
      <c r="R8" s="68" t="s">
        <v>216</v>
      </c>
      <c r="S8" s="68" t="s">
        <v>217</v>
      </c>
      <c r="T8" s="68" t="s">
        <v>218</v>
      </c>
      <c r="U8" s="69" t="s">
        <v>219</v>
      </c>
    </row>
    <row r="9" spans="1:38">
      <c r="B9" s="249">
        <v>2024</v>
      </c>
      <c r="C9" s="255">
        <f>+'7.3 PA PY budget_savings'!C69</f>
        <v>151687539.46587145</v>
      </c>
      <c r="D9" s="255">
        <f>$C9*E9</f>
        <v>0</v>
      </c>
      <c r="E9" s="256">
        <v>0</v>
      </c>
      <c r="F9" s="255">
        <f t="shared" ref="F9:F16" si="0">$C9*G9</f>
        <v>151687539.46587145</v>
      </c>
      <c r="G9" s="257">
        <v>1</v>
      </c>
      <c r="I9" s="249">
        <v>2024</v>
      </c>
      <c r="J9" s="255">
        <f>+'7.3 PA PY budget_savings'!C71</f>
        <v>151687539.46587145</v>
      </c>
      <c r="K9" s="255">
        <f>$C9*L9</f>
        <v>0</v>
      </c>
      <c r="L9" s="256">
        <v>0</v>
      </c>
      <c r="M9" s="255">
        <f>$J9*N9</f>
        <v>151687539.46587145</v>
      </c>
      <c r="N9" s="257">
        <v>1</v>
      </c>
      <c r="P9" s="249">
        <v>2024</v>
      </c>
      <c r="Q9" s="255">
        <f>+'7.3 PA PY budget_savings'!C88</f>
        <v>164144896.37587145</v>
      </c>
      <c r="R9" s="255">
        <f>$C9*S9</f>
        <v>0</v>
      </c>
      <c r="S9" s="256">
        <v>0</v>
      </c>
      <c r="T9" s="255">
        <f>$Q9*U9</f>
        <v>164144896.37587145</v>
      </c>
      <c r="U9" s="257">
        <v>1</v>
      </c>
    </row>
    <row r="10" spans="1:38">
      <c r="B10" s="250">
        <v>2025</v>
      </c>
      <c r="C10" s="258">
        <f>+'7.3 PA PY budget_savings'!I69</f>
        <v>152297750.69833142</v>
      </c>
      <c r="D10" s="255">
        <f t="shared" ref="D10:D16" si="1">$C10*E10</f>
        <v>0</v>
      </c>
      <c r="E10" s="256">
        <v>0</v>
      </c>
      <c r="F10" s="255">
        <f t="shared" si="0"/>
        <v>152297750.69833142</v>
      </c>
      <c r="G10" s="257">
        <v>1</v>
      </c>
      <c r="I10" s="250">
        <v>2025</v>
      </c>
      <c r="J10" s="258">
        <f>+'7.3 PA PY budget_savings'!I71</f>
        <v>152297750.69833142</v>
      </c>
      <c r="K10" s="255">
        <f t="shared" ref="K10:K16" si="2">$C10*L10</f>
        <v>0</v>
      </c>
      <c r="L10" s="256">
        <v>0</v>
      </c>
      <c r="M10" s="255">
        <f t="shared" ref="M10:M16" si="3">$J10*N10</f>
        <v>152297750.69833142</v>
      </c>
      <c r="N10" s="257">
        <v>1</v>
      </c>
      <c r="P10" s="250">
        <v>2025</v>
      </c>
      <c r="Q10" s="258">
        <f>+'7.3 PA PY budget_savings'!I88</f>
        <v>166282123.80833143</v>
      </c>
      <c r="R10" s="255">
        <f t="shared" ref="R10:R16" si="4">$C10*S10</f>
        <v>0</v>
      </c>
      <c r="S10" s="256">
        <v>0</v>
      </c>
      <c r="T10" s="255">
        <f t="shared" ref="T10:T16" si="5">$Q10*U10</f>
        <v>166282123.80833143</v>
      </c>
      <c r="U10" s="257">
        <v>1</v>
      </c>
    </row>
    <row r="11" spans="1:38">
      <c r="B11" s="250">
        <v>2026</v>
      </c>
      <c r="C11" s="258">
        <f>+'7.3 PA PY budget_savings'!O69</f>
        <v>153091119.86851111</v>
      </c>
      <c r="D11" s="255">
        <f t="shared" si="1"/>
        <v>0</v>
      </c>
      <c r="E11" s="256">
        <v>0</v>
      </c>
      <c r="F11" s="255">
        <f t="shared" si="0"/>
        <v>153091119.86851111</v>
      </c>
      <c r="G11" s="257">
        <v>1</v>
      </c>
      <c r="I11" s="250">
        <v>2026</v>
      </c>
      <c r="J11" s="258">
        <f>+'7.3 PA PY budget_savings'!O71</f>
        <v>153091119.86851111</v>
      </c>
      <c r="K11" s="255">
        <f t="shared" si="2"/>
        <v>0</v>
      </c>
      <c r="L11" s="256">
        <v>0</v>
      </c>
      <c r="M11" s="255">
        <f t="shared" si="3"/>
        <v>153091119.86851111</v>
      </c>
      <c r="N11" s="257">
        <v>1</v>
      </c>
      <c r="P11" s="250">
        <v>2026</v>
      </c>
      <c r="Q11" s="258">
        <f>+'7.3 PA PY budget_savings'!O88</f>
        <v>168028589.89851111</v>
      </c>
      <c r="R11" s="255">
        <f t="shared" si="4"/>
        <v>0</v>
      </c>
      <c r="S11" s="256">
        <v>0</v>
      </c>
      <c r="T11" s="255">
        <f t="shared" si="5"/>
        <v>168028589.89851111</v>
      </c>
      <c r="U11" s="257">
        <v>1</v>
      </c>
    </row>
    <row r="12" spans="1:38">
      <c r="B12" s="250">
        <v>2027</v>
      </c>
      <c r="C12" s="258">
        <f>+'7.3 PA PY budget_savings'!U69</f>
        <v>154627592.80744171</v>
      </c>
      <c r="D12" s="255">
        <f t="shared" si="1"/>
        <v>0</v>
      </c>
      <c r="E12" s="256">
        <v>0</v>
      </c>
      <c r="F12" s="255">
        <f t="shared" si="0"/>
        <v>154627592.80744171</v>
      </c>
      <c r="G12" s="257">
        <v>1</v>
      </c>
      <c r="I12" s="250">
        <v>2027</v>
      </c>
      <c r="J12" s="258">
        <f>+'7.3 PA PY budget_savings'!U71</f>
        <v>154627592.80744171</v>
      </c>
      <c r="K12" s="255">
        <f t="shared" si="2"/>
        <v>0</v>
      </c>
      <c r="L12" s="256">
        <v>0</v>
      </c>
      <c r="M12" s="255">
        <f t="shared" si="3"/>
        <v>154627592.80744171</v>
      </c>
      <c r="N12" s="257">
        <v>1</v>
      </c>
      <c r="P12" s="250">
        <v>2027</v>
      </c>
      <c r="Q12" s="258">
        <f>+'7.3 PA PY budget_savings'!U88</f>
        <v>170627495.92744172</v>
      </c>
      <c r="R12" s="255">
        <f t="shared" si="4"/>
        <v>0</v>
      </c>
      <c r="S12" s="256">
        <v>0</v>
      </c>
      <c r="T12" s="255">
        <f t="shared" si="5"/>
        <v>170627495.92744172</v>
      </c>
      <c r="U12" s="257">
        <v>1</v>
      </c>
    </row>
    <row r="13" spans="1:38">
      <c r="B13" s="250">
        <v>2028</v>
      </c>
      <c r="C13" s="258">
        <f>+'7.3 PA PY budget_savings'!AA69</f>
        <v>159575675.77727985</v>
      </c>
      <c r="D13" s="255">
        <f t="shared" si="1"/>
        <v>0</v>
      </c>
      <c r="E13" s="256">
        <v>0</v>
      </c>
      <c r="F13" s="255">
        <f t="shared" si="0"/>
        <v>159575675.77727985</v>
      </c>
      <c r="G13" s="257">
        <v>1</v>
      </c>
      <c r="I13" s="250">
        <v>2028</v>
      </c>
      <c r="J13" s="258">
        <f>+'7.3 PA PY budget_savings'!AA71</f>
        <v>159575675.77727985</v>
      </c>
      <c r="K13" s="255">
        <f t="shared" si="2"/>
        <v>0</v>
      </c>
      <c r="L13" s="256">
        <v>0</v>
      </c>
      <c r="M13" s="255">
        <f t="shared" si="3"/>
        <v>159575675.77727985</v>
      </c>
      <c r="N13" s="257">
        <v>1</v>
      </c>
      <c r="P13" s="250">
        <v>2028</v>
      </c>
      <c r="Q13" s="258">
        <f>+'7.3 PA PY budget_savings'!AA88</f>
        <v>174204475.75727984</v>
      </c>
      <c r="R13" s="255">
        <f t="shared" si="4"/>
        <v>0</v>
      </c>
      <c r="S13" s="256">
        <v>0</v>
      </c>
      <c r="T13" s="255">
        <f t="shared" si="5"/>
        <v>174204475.75727984</v>
      </c>
      <c r="U13" s="257">
        <v>1</v>
      </c>
    </row>
    <row r="14" spans="1:38">
      <c r="B14" s="250">
        <v>2029</v>
      </c>
      <c r="C14" s="258">
        <f>+'7.3 PA PY budget_savings'!AG69</f>
        <v>164682097.40215284</v>
      </c>
      <c r="D14" s="255">
        <f t="shared" si="1"/>
        <v>0</v>
      </c>
      <c r="E14" s="256">
        <v>0</v>
      </c>
      <c r="F14" s="255">
        <f t="shared" si="0"/>
        <v>164682097.40215284</v>
      </c>
      <c r="G14" s="257">
        <v>1</v>
      </c>
      <c r="I14" s="250">
        <v>2029</v>
      </c>
      <c r="J14" s="258">
        <f>+'7.3 PA PY budget_savings'!AG71</f>
        <v>164682097.40215284</v>
      </c>
      <c r="K14" s="255">
        <f t="shared" si="2"/>
        <v>0</v>
      </c>
      <c r="L14" s="256">
        <v>0</v>
      </c>
      <c r="M14" s="255">
        <f t="shared" si="3"/>
        <v>164682097.40215284</v>
      </c>
      <c r="N14" s="257">
        <v>1</v>
      </c>
      <c r="P14" s="250">
        <v>2029</v>
      </c>
      <c r="Q14" s="258">
        <f>+'7.3 PA PY budget_savings'!AG88</f>
        <v>180514699.33215284</v>
      </c>
      <c r="R14" s="255">
        <f t="shared" si="4"/>
        <v>0</v>
      </c>
      <c r="S14" s="256">
        <v>0</v>
      </c>
      <c r="T14" s="255">
        <f t="shared" si="5"/>
        <v>180514699.33215284</v>
      </c>
      <c r="U14" s="257">
        <v>1</v>
      </c>
    </row>
    <row r="15" spans="1:38">
      <c r="B15" s="250">
        <v>2030</v>
      </c>
      <c r="C15" s="258">
        <f>+'7.3 PA PY budget_savings'!AM69</f>
        <v>169951924.51902169</v>
      </c>
      <c r="D15" s="255">
        <f t="shared" si="1"/>
        <v>0</v>
      </c>
      <c r="E15" s="256">
        <v>0</v>
      </c>
      <c r="F15" s="255">
        <f t="shared" si="0"/>
        <v>169951924.51902169</v>
      </c>
      <c r="G15" s="257">
        <v>1</v>
      </c>
      <c r="I15" s="250">
        <v>2030</v>
      </c>
      <c r="J15" s="258">
        <f>+'7.3 PA PY budget_savings'!AM71</f>
        <v>169951924.51902169</v>
      </c>
      <c r="K15" s="255">
        <f t="shared" si="2"/>
        <v>0</v>
      </c>
      <c r="L15" s="256">
        <v>0</v>
      </c>
      <c r="M15" s="255">
        <f t="shared" si="3"/>
        <v>169951924.51902169</v>
      </c>
      <c r="N15" s="257">
        <v>1</v>
      </c>
      <c r="P15" s="250">
        <v>2030</v>
      </c>
      <c r="Q15" s="258">
        <f>+'7.3 PA PY budget_savings'!AM88</f>
        <v>187099640.3190217</v>
      </c>
      <c r="R15" s="255">
        <f t="shared" si="4"/>
        <v>0</v>
      </c>
      <c r="S15" s="256">
        <v>0</v>
      </c>
      <c r="T15" s="255">
        <f t="shared" si="5"/>
        <v>187099640.3190217</v>
      </c>
      <c r="U15" s="257">
        <v>1</v>
      </c>
    </row>
    <row r="16" spans="1:38">
      <c r="B16" s="250">
        <v>2031</v>
      </c>
      <c r="C16" s="259">
        <f>+'7.3 PA PY budget_savings'!AS69</f>
        <v>175390386.10363042</v>
      </c>
      <c r="D16" s="255">
        <f t="shared" si="1"/>
        <v>0</v>
      </c>
      <c r="E16" s="256">
        <v>0</v>
      </c>
      <c r="F16" s="255">
        <f t="shared" si="0"/>
        <v>175390386.10363042</v>
      </c>
      <c r="G16" s="257">
        <v>1</v>
      </c>
      <c r="I16" s="250">
        <v>2031</v>
      </c>
      <c r="J16" s="259">
        <f>+'7.3 PA PY budget_savings'!AS71</f>
        <v>175390386.10363042</v>
      </c>
      <c r="K16" s="255">
        <f t="shared" si="2"/>
        <v>0</v>
      </c>
      <c r="L16" s="256">
        <v>0</v>
      </c>
      <c r="M16" s="255">
        <f t="shared" si="3"/>
        <v>175390386.10363042</v>
      </c>
      <c r="N16" s="257">
        <v>1</v>
      </c>
      <c r="P16" s="250">
        <v>2031</v>
      </c>
      <c r="Q16" s="259">
        <f>+'7.3 PA PY budget_savings'!AS88</f>
        <v>193975341.07363042</v>
      </c>
      <c r="R16" s="255">
        <f t="shared" si="4"/>
        <v>0</v>
      </c>
      <c r="S16" s="256">
        <v>0</v>
      </c>
      <c r="T16" s="255">
        <f t="shared" si="5"/>
        <v>193975341.07363042</v>
      </c>
      <c r="U16" s="257">
        <v>1</v>
      </c>
    </row>
    <row r="17" spans="2:21" ht="14.65" thickBot="1">
      <c r="B17" s="71" t="s">
        <v>222</v>
      </c>
      <c r="C17" s="77">
        <f>SUM(C9:C16)</f>
        <v>1281304086.6422405</v>
      </c>
      <c r="D17" s="77">
        <f t="shared" ref="D17:F17" si="6">SUM(D9:D16)</f>
        <v>0</v>
      </c>
      <c r="E17" s="73"/>
      <c r="F17" s="77">
        <f t="shared" si="6"/>
        <v>1281304086.6422405</v>
      </c>
      <c r="G17" s="74"/>
      <c r="I17" s="71" t="s">
        <v>222</v>
      </c>
      <c r="J17" s="77">
        <f>SUM(J9:J16)</f>
        <v>1281304086.6422405</v>
      </c>
      <c r="K17" s="77">
        <f t="shared" ref="K17" si="7">SUM(K9:K16)</f>
        <v>0</v>
      </c>
      <c r="L17" s="73"/>
      <c r="M17" s="77">
        <f>SUM(M9:M16)</f>
        <v>1281304086.6422405</v>
      </c>
      <c r="N17" s="74"/>
      <c r="P17" s="71" t="s">
        <v>222</v>
      </c>
      <c r="Q17" s="77">
        <f>SUM(Q9:Q16)</f>
        <v>1404877262.4922404</v>
      </c>
      <c r="R17" s="77">
        <f t="shared" ref="R17" si="8">SUM(R9:R16)</f>
        <v>0</v>
      </c>
      <c r="S17" s="73"/>
      <c r="T17" s="77">
        <f t="shared" ref="T17" si="9">SUM(T9:T16)</f>
        <v>1404877262.4922404</v>
      </c>
      <c r="U17" s="74"/>
    </row>
    <row r="20" spans="2:21">
      <c r="B20" s="1356" t="s">
        <v>223</v>
      </c>
      <c r="C20" s="1356"/>
      <c r="D20" s="1356"/>
      <c r="E20" s="1356"/>
      <c r="F20" s="1356"/>
      <c r="G20" s="1356"/>
    </row>
    <row r="21" spans="2:21" ht="14.65" thickBot="1">
      <c r="B21" s="91"/>
      <c r="C21" s="91"/>
      <c r="D21" s="91"/>
      <c r="E21" s="91"/>
      <c r="F21" s="91"/>
      <c r="G21" s="91"/>
    </row>
    <row r="22" spans="2:21" ht="14.65" thickBot="1">
      <c r="B22" s="1357" t="s">
        <v>224</v>
      </c>
      <c r="C22" s="1359" t="s">
        <v>225</v>
      </c>
      <c r="D22" s="1360"/>
      <c r="E22" s="1361" t="s">
        <v>226</v>
      </c>
      <c r="F22" s="1360"/>
      <c r="G22" s="68" t="s">
        <v>227</v>
      </c>
      <c r="H22" s="69" t="s">
        <v>228</v>
      </c>
    </row>
    <row r="23" spans="2:21" ht="14.65" thickBot="1">
      <c r="B23" s="1358"/>
      <c r="C23" s="70" t="s">
        <v>229</v>
      </c>
      <c r="D23" s="68" t="s">
        <v>230</v>
      </c>
      <c r="E23" s="68" t="s">
        <v>229</v>
      </c>
      <c r="F23" s="68" t="s">
        <v>230</v>
      </c>
      <c r="G23" s="68" t="s">
        <v>229</v>
      </c>
      <c r="H23" s="69" t="s">
        <v>230</v>
      </c>
      <c r="Q23" s="251"/>
    </row>
    <row r="24" spans="2:21">
      <c r="B24" s="249">
        <v>2024</v>
      </c>
      <c r="C24" s="260"/>
      <c r="D24" s="260"/>
      <c r="E24" s="260"/>
      <c r="F24" s="260"/>
      <c r="G24" s="260"/>
      <c r="H24" s="261">
        <f>'7.3 PA PY budget_savings'!C76</f>
        <v>12457356.91</v>
      </c>
    </row>
    <row r="25" spans="2:21">
      <c r="B25" s="250">
        <v>2025</v>
      </c>
      <c r="C25" s="262"/>
      <c r="D25" s="262"/>
      <c r="E25" s="262"/>
      <c r="F25" s="262"/>
      <c r="G25" s="262"/>
      <c r="H25" s="263">
        <f>'7.3 PA PY budget_savings'!I76</f>
        <v>13984373.109999999</v>
      </c>
    </row>
    <row r="26" spans="2:21">
      <c r="B26" s="250">
        <v>2026</v>
      </c>
      <c r="C26" s="262"/>
      <c r="D26" s="262"/>
      <c r="E26" s="262"/>
      <c r="F26" s="262"/>
      <c r="G26" s="262"/>
      <c r="H26" s="263">
        <f>'7.3 PA PY budget_savings'!O76</f>
        <v>14937470.030000001</v>
      </c>
    </row>
    <row r="27" spans="2:21">
      <c r="B27" s="250">
        <v>2027</v>
      </c>
      <c r="C27" s="262"/>
      <c r="D27" s="262"/>
      <c r="E27" s="262"/>
      <c r="F27" s="262"/>
      <c r="G27" s="262"/>
      <c r="H27" s="263">
        <f>'7.3 PA PY budget_savings'!U76</f>
        <v>15999903.120000001</v>
      </c>
    </row>
    <row r="28" spans="2:21">
      <c r="B28" s="250">
        <v>2028</v>
      </c>
      <c r="C28" s="262"/>
      <c r="D28" s="262"/>
      <c r="E28" s="262"/>
      <c r="F28" s="262"/>
      <c r="G28" s="262"/>
      <c r="H28" s="263">
        <f>'7.3 PA PY budget_savings'!AA76</f>
        <v>14628799.98</v>
      </c>
    </row>
    <row r="29" spans="2:21">
      <c r="B29" s="250">
        <v>2029</v>
      </c>
      <c r="C29" s="262"/>
      <c r="D29" s="262"/>
      <c r="E29" s="262"/>
      <c r="F29" s="262"/>
      <c r="G29" s="262"/>
      <c r="H29" s="263">
        <f>'7.3 PA PY budget_savings'!AG76</f>
        <v>15832601.93</v>
      </c>
    </row>
    <row r="30" spans="2:21">
      <c r="B30" s="250">
        <v>2030</v>
      </c>
      <c r="C30" s="262"/>
      <c r="D30" s="262"/>
      <c r="E30" s="262"/>
      <c r="F30" s="262"/>
      <c r="G30" s="262"/>
      <c r="H30" s="263">
        <f>'7.3 PA PY budget_savings'!AM76</f>
        <v>17147715.799999997</v>
      </c>
    </row>
    <row r="31" spans="2:21">
      <c r="B31" s="250">
        <v>2031</v>
      </c>
      <c r="C31" s="264"/>
      <c r="D31" s="264"/>
      <c r="E31" s="262"/>
      <c r="F31" s="262"/>
      <c r="G31" s="262"/>
      <c r="H31" s="263">
        <f>'7.3 PA PY budget_savings'!AS76</f>
        <v>18584954.969999999</v>
      </c>
    </row>
    <row r="32" spans="2:21" ht="14.65" thickBot="1">
      <c r="B32" s="71" t="s">
        <v>222</v>
      </c>
      <c r="C32" s="94">
        <f>SUM(C24:C31)</f>
        <v>0</v>
      </c>
      <c r="D32" s="94"/>
      <c r="E32" s="94">
        <f t="shared" ref="E32" si="10">SUM(E24:E31)</f>
        <v>0</v>
      </c>
      <c r="F32" s="94"/>
      <c r="G32" s="94"/>
      <c r="H32" s="104">
        <f t="shared" ref="H32" si="11">SUM(H24:H31)</f>
        <v>123573175.85000001</v>
      </c>
    </row>
    <row r="33" spans="2:2">
      <c r="B33" s="252" t="s">
        <v>231</v>
      </c>
    </row>
  </sheetData>
  <mergeCells count="6">
    <mergeCell ref="B5:G5"/>
    <mergeCell ref="B6:G6"/>
    <mergeCell ref="B20:G20"/>
    <mergeCell ref="B22:B23"/>
    <mergeCell ref="C22:D22"/>
    <mergeCell ref="E22:F22"/>
  </mergeCells>
  <pageMargins left="0.7" right="0.7" top="0.75" bottom="0.75" header="0.3" footer="0.3"/>
  <pageSetup paperSize="3" scale="8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7FE2A-47DB-44A8-B89D-3BFBA4D6FD7A}">
  <sheetPr codeName="Sheet6"/>
  <dimension ref="A1:AI74"/>
  <sheetViews>
    <sheetView view="pageBreakPreview" zoomScaleNormal="40" zoomScaleSheetLayoutView="100" workbookViewId="0"/>
  </sheetViews>
  <sheetFormatPr defaultColWidth="11.125" defaultRowHeight="14.25"/>
  <cols>
    <col min="1" max="1" width="11.375" style="268" customWidth="1"/>
    <col min="2" max="2" width="12.125" style="268" customWidth="1"/>
    <col min="3" max="3" width="24.5" style="268" customWidth="1"/>
    <col min="4" max="15" width="14.875" style="268" customWidth="1"/>
    <col min="16" max="16" width="13.625" style="268" customWidth="1"/>
    <col min="17" max="17" width="16.125" style="268" customWidth="1"/>
    <col min="18" max="18" width="13.625" style="268" customWidth="1"/>
    <col min="19" max="19" width="16.125" style="268" customWidth="1"/>
    <col min="20" max="20" width="13.625" style="268" customWidth="1"/>
    <col min="21" max="21" width="16.125" style="268" customWidth="1"/>
    <col min="22" max="22" width="13.625" style="268" customWidth="1"/>
    <col min="23" max="23" width="16.125" style="268" customWidth="1"/>
    <col min="24" max="25" width="11.125" style="268"/>
    <col min="26" max="27" width="13.25" style="268" bestFit="1" customWidth="1"/>
    <col min="28" max="29" width="11.125" style="268"/>
    <col min="30" max="31" width="13.25" style="268" bestFit="1" customWidth="1"/>
    <col min="32" max="33" width="11.125" style="268"/>
    <col min="34" max="35" width="13.25" style="268" bestFit="1" customWidth="1"/>
    <col min="36" max="16384" width="11.125" style="268"/>
  </cols>
  <sheetData>
    <row r="1" spans="1:19">
      <c r="A1" s="175" t="s">
        <v>98</v>
      </c>
      <c r="B1" s="176" t="str">
        <f>PA_NAME</f>
        <v>SoCalGas</v>
      </c>
      <c r="C1" s="9"/>
      <c r="D1" s="9"/>
      <c r="E1" s="9"/>
    </row>
    <row r="2" spans="1:19">
      <c r="A2" s="175" t="s">
        <v>99</v>
      </c>
      <c r="B2" s="176" t="str">
        <f>RPT_YEAR</f>
        <v>2024-2031</v>
      </c>
      <c r="C2" s="9"/>
      <c r="D2" s="9"/>
      <c r="E2" s="9"/>
    </row>
    <row r="3" spans="1:19">
      <c r="A3" s="269"/>
      <c r="B3" s="9"/>
      <c r="C3" s="9"/>
      <c r="D3" s="9"/>
      <c r="E3" s="9"/>
    </row>
    <row r="4" spans="1:19">
      <c r="A4" s="270" t="s">
        <v>232</v>
      </c>
      <c r="B4" s="9"/>
      <c r="D4" s="9"/>
      <c r="E4" s="9"/>
    </row>
    <row r="5" spans="1:19">
      <c r="A5" s="269"/>
      <c r="B5" s="9"/>
      <c r="C5" s="9"/>
      <c r="D5" s="9"/>
      <c r="E5" s="9"/>
    </row>
    <row r="6" spans="1:19">
      <c r="A6" s="9"/>
      <c r="B6" s="9"/>
      <c r="C6" s="270" t="s">
        <v>233</v>
      </c>
      <c r="D6" s="1362" t="s">
        <v>234</v>
      </c>
      <c r="E6" s="1363"/>
      <c r="F6" s="1363"/>
      <c r="G6" s="1364"/>
      <c r="H6" s="1362" t="s">
        <v>235</v>
      </c>
      <c r="I6" s="1363"/>
      <c r="J6" s="1363"/>
      <c r="K6" s="1364"/>
    </row>
    <row r="7" spans="1:19">
      <c r="A7" s="9"/>
      <c r="B7" s="9"/>
      <c r="C7" s="271" t="s">
        <v>236</v>
      </c>
      <c r="D7" s="272">
        <v>2024</v>
      </c>
      <c r="E7" s="272">
        <v>2025</v>
      </c>
      <c r="F7" s="272">
        <v>2026</v>
      </c>
      <c r="G7" s="272">
        <v>2027</v>
      </c>
      <c r="H7" s="272">
        <v>2028</v>
      </c>
      <c r="I7" s="272">
        <v>2029</v>
      </c>
      <c r="J7" s="272">
        <v>2030</v>
      </c>
      <c r="K7" s="272">
        <v>2031</v>
      </c>
    </row>
    <row r="8" spans="1:19">
      <c r="A8" s="9"/>
      <c r="B8" s="9"/>
      <c r="C8" s="273" t="s">
        <v>237</v>
      </c>
      <c r="D8" s="274">
        <f>'4.1 Program Budget - 2024-2027'!S182+'4.1 Program Budget - 2024-2027'!S187</f>
        <v>151687539.46587145</v>
      </c>
      <c r="E8" s="274">
        <f>'4.1 Program Budget - 2024-2027'!AK182+'4.1 Program Budget - 2024-2027'!AK187</f>
        <v>152297750.69833151</v>
      </c>
      <c r="F8" s="274">
        <f>'4.1 Program Budget - 2024-2027'!BC182+'4.1 Program Budget - 2024-2027'!BC187</f>
        <v>153091119.86851117</v>
      </c>
      <c r="G8" s="274">
        <f>'4.1 Program Budget - 2024-2027'!BU182+'4.1 Program Budget - 2024-2027'!BU187</f>
        <v>154627592.80744177</v>
      </c>
      <c r="H8" s="274">
        <f>'4.2 Program Budget 2028-2031'!I38+'4.2 Program Budget 2028-2031'!I43</f>
        <v>159575675.77727985</v>
      </c>
      <c r="I8" s="274">
        <f>'4.2 Program Budget 2028-2031'!T38+'4.2 Program Budget 2028-2031'!T43</f>
        <v>164682097.40215287</v>
      </c>
      <c r="J8" s="274">
        <f>'4.2 Program Budget 2028-2031'!AE38+'4.2 Program Budget 2028-2031'!AE43</f>
        <v>169951924.51902169</v>
      </c>
      <c r="K8" s="274">
        <f>'4.2 Program Budget 2028-2031'!AP38+'4.2 Program Budget 2028-2031'!AP43</f>
        <v>175390386.10363042</v>
      </c>
    </row>
    <row r="9" spans="1:19">
      <c r="A9" s="9"/>
      <c r="B9" s="9"/>
      <c r="C9" s="275" t="s">
        <v>238</v>
      </c>
      <c r="D9" s="276">
        <f t="shared" ref="D9:K9" si="0">+D8</f>
        <v>151687539.46587145</v>
      </c>
      <c r="E9" s="276">
        <f t="shared" si="0"/>
        <v>152297750.69833151</v>
      </c>
      <c r="F9" s="276">
        <f t="shared" si="0"/>
        <v>153091119.86851117</v>
      </c>
      <c r="G9" s="276">
        <f t="shared" si="0"/>
        <v>154627592.80744177</v>
      </c>
      <c r="H9" s="276">
        <f t="shared" si="0"/>
        <v>159575675.77727985</v>
      </c>
      <c r="I9" s="276">
        <f t="shared" si="0"/>
        <v>164682097.40215287</v>
      </c>
      <c r="J9" s="276">
        <f t="shared" si="0"/>
        <v>169951924.51902169</v>
      </c>
      <c r="K9" s="276">
        <f t="shared" si="0"/>
        <v>175390386.10363042</v>
      </c>
    </row>
    <row r="10" spans="1:19">
      <c r="A10" s="9"/>
      <c r="B10" s="9"/>
      <c r="C10" s="277"/>
      <c r="D10" s="278"/>
    </row>
    <row r="11" spans="1:19">
      <c r="A11" s="9"/>
      <c r="B11" s="9"/>
      <c r="C11" s="9"/>
      <c r="D11" s="9"/>
      <c r="E11" s="9"/>
    </row>
    <row r="12" spans="1:19">
      <c r="A12" s="9"/>
      <c r="B12" s="9"/>
      <c r="C12" s="270" t="s">
        <v>239</v>
      </c>
      <c r="D12" s="9"/>
      <c r="E12" s="9"/>
    </row>
    <row r="13" spans="1:19">
      <c r="A13" s="9"/>
      <c r="B13" s="9"/>
      <c r="C13" s="9"/>
      <c r="D13" s="9"/>
      <c r="E13" s="9"/>
    </row>
    <row r="14" spans="1:19">
      <c r="A14" s="9"/>
      <c r="B14" s="9"/>
      <c r="C14" s="271" t="s">
        <v>240</v>
      </c>
      <c r="D14" s="279" t="s">
        <v>241</v>
      </c>
      <c r="E14" s="280" t="s">
        <v>242</v>
      </c>
      <c r="F14" s="279" t="s">
        <v>243</v>
      </c>
      <c r="G14" s="280" t="s">
        <v>244</v>
      </c>
      <c r="H14" s="279" t="s">
        <v>245</v>
      </c>
      <c r="I14" s="280" t="s">
        <v>246</v>
      </c>
      <c r="J14" s="279" t="s">
        <v>247</v>
      </c>
      <c r="K14" s="280" t="s">
        <v>248</v>
      </c>
      <c r="L14" s="279" t="s">
        <v>249</v>
      </c>
      <c r="M14" s="280" t="s">
        <v>250</v>
      </c>
      <c r="N14" s="279" t="s">
        <v>251</v>
      </c>
      <c r="O14" s="280" t="s">
        <v>252</v>
      </c>
      <c r="P14" s="279" t="s">
        <v>253</v>
      </c>
      <c r="Q14" s="280" t="s">
        <v>254</v>
      </c>
      <c r="R14" s="279" t="s">
        <v>255</v>
      </c>
      <c r="S14" s="280" t="s">
        <v>256</v>
      </c>
    </row>
    <row r="15" spans="1:19">
      <c r="A15" s="9"/>
      <c r="B15" s="9"/>
      <c r="C15" s="281" t="s">
        <v>257</v>
      </c>
      <c r="D15" s="282">
        <f>D$9*E15</f>
        <v>0</v>
      </c>
      <c r="E15" s="283">
        <v>0</v>
      </c>
      <c r="F15" s="282">
        <f>E$9*G15</f>
        <v>0</v>
      </c>
      <c r="G15" s="283">
        <v>0</v>
      </c>
      <c r="H15" s="282">
        <f>F$9*I15</f>
        <v>0</v>
      </c>
      <c r="I15" s="283">
        <v>0</v>
      </c>
      <c r="J15" s="282">
        <f>G$9*K15</f>
        <v>0</v>
      </c>
      <c r="K15" s="283">
        <v>0</v>
      </c>
      <c r="L15" s="282">
        <f>H$9*M15</f>
        <v>0</v>
      </c>
      <c r="M15" s="283">
        <v>0</v>
      </c>
      <c r="N15" s="282">
        <f>I$9*O15</f>
        <v>0</v>
      </c>
      <c r="O15" s="283">
        <v>0</v>
      </c>
      <c r="P15" s="282">
        <f>J$9*Q15</f>
        <v>0</v>
      </c>
      <c r="Q15" s="283">
        <v>0</v>
      </c>
      <c r="R15" s="282">
        <f>K$9*S15</f>
        <v>0</v>
      </c>
      <c r="S15" s="283">
        <v>0</v>
      </c>
    </row>
    <row r="16" spans="1:19">
      <c r="A16" s="9"/>
      <c r="B16" s="9"/>
      <c r="C16" s="281" t="s">
        <v>258</v>
      </c>
      <c r="D16" s="282">
        <f>D$9*E16</f>
        <v>151687539.46587145</v>
      </c>
      <c r="E16" s="283">
        <v>1</v>
      </c>
      <c r="F16" s="282">
        <f>E$9*G16</f>
        <v>152297750.69833151</v>
      </c>
      <c r="G16" s="283">
        <v>1</v>
      </c>
      <c r="H16" s="282">
        <f>F$9*I16</f>
        <v>153091119.86851117</v>
      </c>
      <c r="I16" s="283">
        <v>1</v>
      </c>
      <c r="J16" s="282">
        <f>G$9*K16</f>
        <v>154627592.80744177</v>
      </c>
      <c r="K16" s="283">
        <v>1</v>
      </c>
      <c r="L16" s="282">
        <f>H$9*M16</f>
        <v>159575675.77727985</v>
      </c>
      <c r="M16" s="283">
        <v>1</v>
      </c>
      <c r="N16" s="282">
        <f>I$9*O16</f>
        <v>164682097.40215287</v>
      </c>
      <c r="O16" s="283">
        <v>1</v>
      </c>
      <c r="P16" s="282">
        <f>J$9*Q16</f>
        <v>169951924.51902169</v>
      </c>
      <c r="Q16" s="283">
        <v>1</v>
      </c>
      <c r="R16" s="282">
        <f>K$9*S16</f>
        <v>175390386.10363042</v>
      </c>
      <c r="S16" s="283">
        <v>1</v>
      </c>
    </row>
    <row r="17" spans="1:27">
      <c r="A17" s="9"/>
      <c r="B17" s="9"/>
      <c r="C17" s="284" t="s">
        <v>259</v>
      </c>
      <c r="D17" s="285">
        <f>SUM(D15:D16)</f>
        <v>151687539.46587145</v>
      </c>
      <c r="E17" s="286"/>
      <c r="F17" s="285">
        <f>SUM(F15:F16)</f>
        <v>152297750.69833151</v>
      </c>
      <c r="G17" s="286"/>
      <c r="H17" s="285">
        <f t="shared" ref="H17" si="1">SUM(H15:H16)</f>
        <v>153091119.86851117</v>
      </c>
      <c r="I17" s="286"/>
      <c r="J17" s="285">
        <f t="shared" ref="J17" si="2">SUM(J15:J16)</f>
        <v>154627592.80744177</v>
      </c>
      <c r="K17" s="286"/>
      <c r="L17" s="285">
        <f>SUM(L15:L16)</f>
        <v>159575675.77727985</v>
      </c>
      <c r="M17" s="286"/>
      <c r="N17" s="285">
        <f>SUM(N15:N16)</f>
        <v>164682097.40215287</v>
      </c>
      <c r="O17" s="286"/>
      <c r="P17" s="285">
        <f t="shared" ref="P17" si="3">SUM(P15:P16)</f>
        <v>169951924.51902169</v>
      </c>
      <c r="Q17" s="286"/>
      <c r="R17" s="285">
        <f t="shared" ref="R17" si="4">SUM(R15:R16)</f>
        <v>175390386.10363042</v>
      </c>
      <c r="S17" s="286"/>
    </row>
    <row r="18" spans="1:27">
      <c r="A18" s="9"/>
      <c r="B18" s="9"/>
      <c r="C18" s="9"/>
      <c r="D18" s="9"/>
      <c r="E18" s="9"/>
    </row>
    <row r="19" spans="1:27">
      <c r="A19" s="9"/>
      <c r="B19" s="9"/>
      <c r="C19" s="9"/>
      <c r="D19" s="9"/>
      <c r="E19" s="9"/>
    </row>
    <row r="20" spans="1:27">
      <c r="A20" s="9"/>
      <c r="B20" s="9"/>
      <c r="C20" s="270" t="s">
        <v>260</v>
      </c>
      <c r="D20" s="9"/>
      <c r="E20" s="9"/>
    </row>
    <row r="21" spans="1:27">
      <c r="A21" s="9"/>
      <c r="B21" s="9"/>
      <c r="C21" s="9"/>
      <c r="D21" s="9"/>
      <c r="E21" s="9"/>
    </row>
    <row r="22" spans="1:27" ht="42.75">
      <c r="A22" s="9"/>
      <c r="B22" s="9"/>
      <c r="C22" s="1226" t="s">
        <v>2295</v>
      </c>
      <c r="D22" s="287" t="s">
        <v>261</v>
      </c>
      <c r="E22" s="288" t="s">
        <v>262</v>
      </c>
      <c r="F22" s="287" t="s">
        <v>263</v>
      </c>
      <c r="G22" s="288" t="s">
        <v>264</v>
      </c>
      <c r="H22" s="287" t="s">
        <v>265</v>
      </c>
      <c r="I22" s="288" t="s">
        <v>266</v>
      </c>
      <c r="J22" s="287" t="s">
        <v>267</v>
      </c>
      <c r="K22" s="288" t="s">
        <v>268</v>
      </c>
      <c r="L22" s="287" t="s">
        <v>269</v>
      </c>
      <c r="M22" s="288" t="s">
        <v>270</v>
      </c>
      <c r="N22" s="287" t="s">
        <v>271</v>
      </c>
      <c r="O22" s="288" t="s">
        <v>272</v>
      </c>
      <c r="P22" s="287" t="s">
        <v>273</v>
      </c>
      <c r="Q22" s="288" t="s">
        <v>274</v>
      </c>
      <c r="R22" s="287" t="s">
        <v>275</v>
      </c>
      <c r="S22" s="288" t="s">
        <v>276</v>
      </c>
    </row>
    <row r="23" spans="1:27">
      <c r="A23" s="9"/>
      <c r="B23" s="9"/>
      <c r="C23" s="281" t="s">
        <v>257</v>
      </c>
      <c r="D23" s="282">
        <f>D15-D51</f>
        <v>0</v>
      </c>
      <c r="E23" s="289">
        <f>D23/D25</f>
        <v>0</v>
      </c>
      <c r="F23" s="282">
        <f>+F15-G51</f>
        <v>0</v>
      </c>
      <c r="G23" s="289">
        <f>F23/F25</f>
        <v>0</v>
      </c>
      <c r="H23" s="282">
        <f>H15-J$51</f>
        <v>0</v>
      </c>
      <c r="I23" s="289">
        <f>H23/H25</f>
        <v>0</v>
      </c>
      <c r="J23" s="282">
        <f>+J15-M51</f>
        <v>0</v>
      </c>
      <c r="K23" s="289">
        <f>J23/J25</f>
        <v>0</v>
      </c>
      <c r="L23" s="282">
        <f>L15-P51</f>
        <v>0</v>
      </c>
      <c r="M23" s="289">
        <f>L23/L25</f>
        <v>0</v>
      </c>
      <c r="N23" s="282">
        <f>+N15-S51</f>
        <v>0</v>
      </c>
      <c r="O23" s="289">
        <f>N23/N25</f>
        <v>0</v>
      </c>
      <c r="P23" s="282">
        <f>P15-V51</f>
        <v>0</v>
      </c>
      <c r="Q23" s="289">
        <f>P23/P25</f>
        <v>0</v>
      </c>
      <c r="R23" s="282">
        <f>+R15-Y51</f>
        <v>0</v>
      </c>
      <c r="S23" s="289">
        <f>R23/R25</f>
        <v>0</v>
      </c>
    </row>
    <row r="24" spans="1:27">
      <c r="A24" s="9"/>
      <c r="B24" s="9"/>
      <c r="C24" s="290" t="s">
        <v>258</v>
      </c>
      <c r="D24" s="282">
        <f>D16-E51</f>
        <v>151687539.46587145</v>
      </c>
      <c r="E24" s="289">
        <f>D24/D25</f>
        <v>1</v>
      </c>
      <c r="F24" s="282">
        <f>+F16-H51</f>
        <v>152297750.69833151</v>
      </c>
      <c r="G24" s="289">
        <f>F24/F25</f>
        <v>1</v>
      </c>
      <c r="H24" s="282">
        <f>H16-K$51</f>
        <v>153091119.86851117</v>
      </c>
      <c r="I24" s="289">
        <f>H24/H25</f>
        <v>1</v>
      </c>
      <c r="J24" s="282">
        <f>+J16-N51</f>
        <v>154627592.80744177</v>
      </c>
      <c r="K24" s="289">
        <f>J24/J25</f>
        <v>1</v>
      </c>
      <c r="L24" s="282">
        <f>L16-Q51</f>
        <v>159575675.77727985</v>
      </c>
      <c r="M24" s="289">
        <f>L24/L25</f>
        <v>1</v>
      </c>
      <c r="N24" s="282">
        <f>+N16-T51</f>
        <v>164682097.40215287</v>
      </c>
      <c r="O24" s="289">
        <f>N24/N25</f>
        <v>1</v>
      </c>
      <c r="P24" s="282">
        <f>P16-W51</f>
        <v>169951924.51902169</v>
      </c>
      <c r="Q24" s="289">
        <f>P24/P25</f>
        <v>1</v>
      </c>
      <c r="R24" s="282">
        <f>+R16-Z51</f>
        <v>175390386.10363042</v>
      </c>
      <c r="S24" s="289">
        <f>R24/R25</f>
        <v>1</v>
      </c>
    </row>
    <row r="25" spans="1:27">
      <c r="C25" s="284" t="s">
        <v>259</v>
      </c>
      <c r="D25" s="291">
        <f>D17-F51</f>
        <v>151687539.46587145</v>
      </c>
      <c r="E25" s="286"/>
      <c r="F25" s="291">
        <f>F17-I51</f>
        <v>152297750.69833151</v>
      </c>
      <c r="G25" s="286"/>
      <c r="H25" s="291">
        <f>H17-L51</f>
        <v>153091119.86851117</v>
      </c>
      <c r="I25" s="286"/>
      <c r="J25" s="291">
        <f>J17-O51</f>
        <v>154627592.80744177</v>
      </c>
      <c r="K25" s="286"/>
      <c r="L25" s="291">
        <f>L17-R51</f>
        <v>159575675.77727985</v>
      </c>
      <c r="M25" s="286"/>
      <c r="N25" s="291">
        <f>N17-U51</f>
        <v>164682097.40215287</v>
      </c>
      <c r="O25" s="286"/>
      <c r="P25" s="291">
        <f>P17-X51</f>
        <v>169951924.51902169</v>
      </c>
      <c r="Q25" s="286"/>
      <c r="R25" s="291">
        <f>R17-AA51</f>
        <v>175390386.10363042</v>
      </c>
      <c r="S25" s="286"/>
    </row>
    <row r="27" spans="1:27">
      <c r="C27" s="292" t="s">
        <v>277</v>
      </c>
    </row>
    <row r="28" spans="1:27">
      <c r="C28" s="292"/>
    </row>
    <row r="29" spans="1:27">
      <c r="D29" s="1367">
        <v>2024</v>
      </c>
      <c r="E29" s="1365"/>
      <c r="F29" s="1368"/>
      <c r="G29" s="1365">
        <v>2025</v>
      </c>
      <c r="H29" s="1365"/>
      <c r="I29" s="1366"/>
      <c r="J29" s="1365">
        <v>2026</v>
      </c>
      <c r="K29" s="1365"/>
      <c r="L29" s="1366"/>
      <c r="M29" s="1365">
        <v>2027</v>
      </c>
      <c r="N29" s="1365"/>
      <c r="O29" s="1366"/>
      <c r="P29" s="1365">
        <v>2028</v>
      </c>
      <c r="Q29" s="1365"/>
      <c r="R29" s="1366"/>
      <c r="S29" s="1365">
        <v>2029</v>
      </c>
      <c r="T29" s="1365"/>
      <c r="U29" s="1366"/>
      <c r="V29" s="1365">
        <v>2030</v>
      </c>
      <c r="W29" s="1365"/>
      <c r="X29" s="1366"/>
      <c r="Y29" s="1365">
        <v>2031</v>
      </c>
      <c r="Z29" s="1365"/>
      <c r="AA29" s="1366"/>
    </row>
    <row r="30" spans="1:27" ht="28.5">
      <c r="A30" s="9"/>
      <c r="B30" s="9"/>
      <c r="C30" s="1225" t="s">
        <v>2296</v>
      </c>
      <c r="D30" s="271" t="s">
        <v>278</v>
      </c>
      <c r="E30" s="287" t="s">
        <v>218</v>
      </c>
      <c r="F30" s="288" t="s">
        <v>279</v>
      </c>
      <c r="G30" s="293" t="s">
        <v>278</v>
      </c>
      <c r="H30" s="287" t="s">
        <v>218</v>
      </c>
      <c r="I30" s="288" t="s">
        <v>279</v>
      </c>
      <c r="J30" s="293" t="s">
        <v>278</v>
      </c>
      <c r="K30" s="287" t="s">
        <v>218</v>
      </c>
      <c r="L30" s="288" t="s">
        <v>279</v>
      </c>
      <c r="M30" s="293" t="s">
        <v>278</v>
      </c>
      <c r="N30" s="287" t="s">
        <v>218</v>
      </c>
      <c r="O30" s="288" t="s">
        <v>279</v>
      </c>
      <c r="P30" s="293" t="s">
        <v>278</v>
      </c>
      <c r="Q30" s="287" t="s">
        <v>218</v>
      </c>
      <c r="R30" s="288" t="s">
        <v>279</v>
      </c>
      <c r="S30" s="293" t="s">
        <v>278</v>
      </c>
      <c r="T30" s="287" t="s">
        <v>218</v>
      </c>
      <c r="U30" s="288" t="s">
        <v>279</v>
      </c>
      <c r="V30" s="293" t="s">
        <v>278</v>
      </c>
      <c r="W30" s="287" t="s">
        <v>218</v>
      </c>
      <c r="X30" s="288" t="s">
        <v>279</v>
      </c>
      <c r="Y30" s="293" t="s">
        <v>278</v>
      </c>
      <c r="Z30" s="287" t="s">
        <v>218</v>
      </c>
      <c r="AA30" s="288" t="s">
        <v>279</v>
      </c>
    </row>
    <row r="31" spans="1:27">
      <c r="A31" s="9"/>
      <c r="B31" s="9"/>
      <c r="C31" s="294" t="s">
        <v>280</v>
      </c>
      <c r="D31" s="295">
        <f>+F31*E15</f>
        <v>0</v>
      </c>
      <c r="E31" s="282">
        <f>+F31*E16</f>
        <v>0</v>
      </c>
      <c r="F31" s="296">
        <f>+'4.1 Program Budget - 2024-2027'!I189</f>
        <v>0</v>
      </c>
      <c r="G31" s="297">
        <f>+I31*$G$15</f>
        <v>0</v>
      </c>
      <c r="H31" s="298">
        <f>I31*$G$16</f>
        <v>0</v>
      </c>
      <c r="I31" s="299">
        <v>0</v>
      </c>
      <c r="J31" s="297">
        <f>+L31*I$15</f>
        <v>0</v>
      </c>
      <c r="K31" s="298">
        <f>L31*I$16</f>
        <v>0</v>
      </c>
      <c r="L31" s="299">
        <v>0</v>
      </c>
      <c r="M31" s="297">
        <f>+O31*K$15</f>
        <v>0</v>
      </c>
      <c r="N31" s="298">
        <f>O31*K$16</f>
        <v>0</v>
      </c>
      <c r="O31" s="299">
        <v>0</v>
      </c>
      <c r="P31" s="297">
        <f>+R31*M$15</f>
        <v>0</v>
      </c>
      <c r="Q31" s="298">
        <f>R31*M$16</f>
        <v>0</v>
      </c>
      <c r="R31" s="299">
        <v>0</v>
      </c>
      <c r="S31" s="297">
        <f>+U31*O$15</f>
        <v>0</v>
      </c>
      <c r="T31" s="298">
        <f>U31*O$16</f>
        <v>0</v>
      </c>
      <c r="U31" s="299">
        <v>0</v>
      </c>
      <c r="V31" s="297">
        <f>+X31*Q$15</f>
        <v>0</v>
      </c>
      <c r="W31" s="298">
        <f>X31*Q$16</f>
        <v>0</v>
      </c>
      <c r="X31" s="299">
        <v>0</v>
      </c>
      <c r="Y31" s="297">
        <f>+AA31*S$15</f>
        <v>0</v>
      </c>
      <c r="Z31" s="298">
        <f>AA31*S$16</f>
        <v>0</v>
      </c>
      <c r="AA31" s="299">
        <v>0</v>
      </c>
    </row>
    <row r="32" spans="1:27">
      <c r="A32" s="9"/>
      <c r="B32" s="9"/>
      <c r="C32" s="300">
        <v>2020</v>
      </c>
      <c r="D32" s="295">
        <f>+F32*E15</f>
        <v>0</v>
      </c>
      <c r="E32" s="282">
        <f>F32*E16</f>
        <v>0</v>
      </c>
      <c r="F32" s="301">
        <v>0</v>
      </c>
      <c r="G32" s="295">
        <f>+I32*$G$15</f>
        <v>0</v>
      </c>
      <c r="H32" s="282">
        <f>I32*$G$16</f>
        <v>0</v>
      </c>
      <c r="I32" s="299">
        <v>0</v>
      </c>
      <c r="J32" s="295">
        <f t="shared" ref="J32:J34" si="5">+L32*I$15</f>
        <v>0</v>
      </c>
      <c r="K32" s="282">
        <f t="shared" ref="K32:K34" si="6">L32*I$16</f>
        <v>0</v>
      </c>
      <c r="L32" s="299">
        <v>0</v>
      </c>
      <c r="M32" s="295">
        <f t="shared" ref="M32:M34" si="7">+O32*K$15</f>
        <v>0</v>
      </c>
      <c r="N32" s="282">
        <f t="shared" ref="N32:N34" si="8">O32*K$16</f>
        <v>0</v>
      </c>
      <c r="O32" s="299">
        <v>0</v>
      </c>
      <c r="P32" s="295">
        <f t="shared" ref="P32:P34" si="9">+R32*M$15</f>
        <v>0</v>
      </c>
      <c r="Q32" s="282">
        <f t="shared" ref="Q32:Q34" si="10">R32*M$16</f>
        <v>0</v>
      </c>
      <c r="R32" s="299">
        <v>0</v>
      </c>
      <c r="S32" s="295">
        <f t="shared" ref="S32:S34" si="11">+U32*O$15</f>
        <v>0</v>
      </c>
      <c r="T32" s="282">
        <f t="shared" ref="T32:T34" si="12">U32*O$16</f>
        <v>0</v>
      </c>
      <c r="U32" s="299">
        <v>0</v>
      </c>
      <c r="V32" s="295">
        <f t="shared" ref="V32:V34" si="13">+X32*Q$15</f>
        <v>0</v>
      </c>
      <c r="W32" s="282">
        <f t="shared" ref="W32:W34" si="14">X32*Q$16</f>
        <v>0</v>
      </c>
      <c r="X32" s="299">
        <v>0</v>
      </c>
      <c r="Y32" s="295">
        <f t="shared" ref="Y32:Y34" si="15">+AA32*S$15</f>
        <v>0</v>
      </c>
      <c r="Z32" s="282">
        <f t="shared" ref="Z32:Z34" si="16">AA32*S$16</f>
        <v>0</v>
      </c>
      <c r="AA32" s="299">
        <v>0</v>
      </c>
    </row>
    <row r="33" spans="1:27">
      <c r="A33" s="9"/>
      <c r="B33" s="9"/>
      <c r="C33" s="302">
        <v>2021</v>
      </c>
      <c r="D33" s="295">
        <f>+F33*E15</f>
        <v>0</v>
      </c>
      <c r="E33" s="282">
        <f>+F33*E16</f>
        <v>0</v>
      </c>
      <c r="F33" s="274">
        <f>+'4.1 Program Budget - 2024-2027'!K189</f>
        <v>0</v>
      </c>
      <c r="G33" s="295">
        <f>+I33*G15</f>
        <v>0</v>
      </c>
      <c r="H33" s="282">
        <f>I33*G16</f>
        <v>0</v>
      </c>
      <c r="I33" s="299">
        <v>0</v>
      </c>
      <c r="J33" s="295">
        <f t="shared" si="5"/>
        <v>0</v>
      </c>
      <c r="K33" s="282">
        <f t="shared" si="6"/>
        <v>0</v>
      </c>
      <c r="L33" s="299">
        <v>0</v>
      </c>
      <c r="M33" s="295">
        <f t="shared" si="7"/>
        <v>0</v>
      </c>
      <c r="N33" s="282">
        <f t="shared" si="8"/>
        <v>0</v>
      </c>
      <c r="O33" s="299">
        <v>0</v>
      </c>
      <c r="P33" s="295">
        <f t="shared" si="9"/>
        <v>0</v>
      </c>
      <c r="Q33" s="282">
        <f t="shared" si="10"/>
        <v>0</v>
      </c>
      <c r="R33" s="299">
        <v>0</v>
      </c>
      <c r="S33" s="295">
        <f t="shared" si="11"/>
        <v>0</v>
      </c>
      <c r="T33" s="282">
        <f t="shared" si="12"/>
        <v>0</v>
      </c>
      <c r="U33" s="299">
        <v>0</v>
      </c>
      <c r="V33" s="295">
        <f t="shared" si="13"/>
        <v>0</v>
      </c>
      <c r="W33" s="282">
        <f t="shared" si="14"/>
        <v>0</v>
      </c>
      <c r="X33" s="299">
        <v>0</v>
      </c>
      <c r="Y33" s="295">
        <f t="shared" si="15"/>
        <v>0</v>
      </c>
      <c r="Z33" s="282">
        <f t="shared" si="16"/>
        <v>0</v>
      </c>
      <c r="AA33" s="299">
        <v>0</v>
      </c>
    </row>
    <row r="34" spans="1:27">
      <c r="A34" s="9"/>
      <c r="B34" s="9"/>
      <c r="C34" s="302">
        <v>2022</v>
      </c>
      <c r="D34" s="303"/>
      <c r="E34" s="304"/>
      <c r="F34" s="305"/>
      <c r="G34" s="295">
        <f>+I34*G15</f>
        <v>0</v>
      </c>
      <c r="H34" s="282">
        <f>I34*G16</f>
        <v>0</v>
      </c>
      <c r="I34" s="306">
        <v>0</v>
      </c>
      <c r="J34" s="295">
        <f t="shared" si="5"/>
        <v>0</v>
      </c>
      <c r="K34" s="282">
        <f t="shared" si="6"/>
        <v>0</v>
      </c>
      <c r="L34" s="306">
        <v>0</v>
      </c>
      <c r="M34" s="295">
        <f t="shared" si="7"/>
        <v>0</v>
      </c>
      <c r="N34" s="282">
        <f t="shared" si="8"/>
        <v>0</v>
      </c>
      <c r="O34" s="306">
        <v>0</v>
      </c>
      <c r="P34" s="295">
        <f t="shared" si="9"/>
        <v>0</v>
      </c>
      <c r="Q34" s="282">
        <f t="shared" si="10"/>
        <v>0</v>
      </c>
      <c r="R34" s="306">
        <v>0</v>
      </c>
      <c r="S34" s="295">
        <f t="shared" si="11"/>
        <v>0</v>
      </c>
      <c r="T34" s="282">
        <f t="shared" si="12"/>
        <v>0</v>
      </c>
      <c r="U34" s="306">
        <v>0</v>
      </c>
      <c r="V34" s="295">
        <f t="shared" si="13"/>
        <v>0</v>
      </c>
      <c r="W34" s="282">
        <f t="shared" si="14"/>
        <v>0</v>
      </c>
      <c r="X34" s="306">
        <v>0</v>
      </c>
      <c r="Y34" s="295">
        <f t="shared" si="15"/>
        <v>0</v>
      </c>
      <c r="Z34" s="282">
        <f t="shared" si="16"/>
        <v>0</v>
      </c>
      <c r="AA34" s="306">
        <v>0</v>
      </c>
    </row>
    <row r="35" spans="1:27">
      <c r="A35" s="9"/>
      <c r="B35" s="9"/>
      <c r="C35" s="307" t="s">
        <v>279</v>
      </c>
      <c r="D35" s="308">
        <f>SUM(D31:D33)</f>
        <v>0</v>
      </c>
      <c r="E35" s="308">
        <f>SUM(E31:E33)</f>
        <v>0</v>
      </c>
      <c r="F35" s="308">
        <f>SUM(F31:F33)</f>
        <v>0</v>
      </c>
      <c r="G35" s="309">
        <f t="shared" ref="G35:I35" si="17">SUM(G31:G34)</f>
        <v>0</v>
      </c>
      <c r="H35" s="310">
        <f t="shared" si="17"/>
        <v>0</v>
      </c>
      <c r="I35" s="311">
        <f t="shared" si="17"/>
        <v>0</v>
      </c>
      <c r="J35" s="309">
        <f t="shared" ref="J35:U35" si="18">SUM(J31:J34)</f>
        <v>0</v>
      </c>
      <c r="K35" s="310">
        <f t="shared" si="18"/>
        <v>0</v>
      </c>
      <c r="L35" s="311">
        <f t="shared" si="18"/>
        <v>0</v>
      </c>
      <c r="M35" s="309">
        <f t="shared" si="18"/>
        <v>0</v>
      </c>
      <c r="N35" s="310">
        <f t="shared" si="18"/>
        <v>0</v>
      </c>
      <c r="O35" s="311">
        <f t="shared" si="18"/>
        <v>0</v>
      </c>
      <c r="P35" s="309">
        <f t="shared" si="18"/>
        <v>0</v>
      </c>
      <c r="Q35" s="310">
        <f t="shared" si="18"/>
        <v>0</v>
      </c>
      <c r="R35" s="311">
        <f t="shared" si="18"/>
        <v>0</v>
      </c>
      <c r="S35" s="309">
        <f t="shared" si="18"/>
        <v>0</v>
      </c>
      <c r="T35" s="310">
        <f t="shared" si="18"/>
        <v>0</v>
      </c>
      <c r="U35" s="311">
        <f t="shared" si="18"/>
        <v>0</v>
      </c>
      <c r="V35" s="309">
        <f t="shared" ref="V35:AA35" si="19">SUM(V31:V34)</f>
        <v>0</v>
      </c>
      <c r="W35" s="310">
        <f t="shared" si="19"/>
        <v>0</v>
      </c>
      <c r="X35" s="311">
        <f t="shared" si="19"/>
        <v>0</v>
      </c>
      <c r="Y35" s="309">
        <f t="shared" si="19"/>
        <v>0</v>
      </c>
      <c r="Z35" s="310">
        <f t="shared" si="19"/>
        <v>0</v>
      </c>
      <c r="AA35" s="311">
        <f t="shared" si="19"/>
        <v>0</v>
      </c>
    </row>
    <row r="37" spans="1:27">
      <c r="D37" s="1367">
        <v>2024</v>
      </c>
      <c r="E37" s="1365"/>
      <c r="F37" s="1368"/>
      <c r="G37" s="1365">
        <v>2025</v>
      </c>
      <c r="H37" s="1365"/>
      <c r="I37" s="1366"/>
      <c r="J37" s="1365">
        <v>2026</v>
      </c>
      <c r="K37" s="1365"/>
      <c r="L37" s="1366"/>
      <c r="M37" s="1365">
        <v>2027</v>
      </c>
      <c r="N37" s="1365"/>
      <c r="O37" s="1366"/>
      <c r="P37" s="1365">
        <v>2028</v>
      </c>
      <c r="Q37" s="1365"/>
      <c r="R37" s="1366"/>
      <c r="S37" s="1365">
        <v>2029</v>
      </c>
      <c r="T37" s="1365"/>
      <c r="U37" s="1366"/>
      <c r="V37" s="1365">
        <v>2030</v>
      </c>
      <c r="W37" s="1365"/>
      <c r="X37" s="1366"/>
      <c r="Y37" s="1365">
        <v>2031</v>
      </c>
      <c r="Z37" s="1365"/>
      <c r="AA37" s="1366"/>
    </row>
    <row r="38" spans="1:27" ht="28.5">
      <c r="A38" s="9"/>
      <c r="B38" s="9"/>
      <c r="C38" s="1225" t="s">
        <v>2297</v>
      </c>
      <c r="D38" s="271" t="s">
        <v>278</v>
      </c>
      <c r="E38" s="287" t="s">
        <v>218</v>
      </c>
      <c r="F38" s="288" t="s">
        <v>279</v>
      </c>
      <c r="G38" s="293" t="s">
        <v>278</v>
      </c>
      <c r="H38" s="287" t="s">
        <v>218</v>
      </c>
      <c r="I38" s="288" t="s">
        <v>279</v>
      </c>
      <c r="J38" s="293" t="s">
        <v>278</v>
      </c>
      <c r="K38" s="287" t="s">
        <v>218</v>
      </c>
      <c r="L38" s="288" t="s">
        <v>279</v>
      </c>
      <c r="M38" s="293" t="s">
        <v>278</v>
      </c>
      <c r="N38" s="287" t="s">
        <v>218</v>
      </c>
      <c r="O38" s="288" t="s">
        <v>279</v>
      </c>
      <c r="P38" s="293" t="s">
        <v>278</v>
      </c>
      <c r="Q38" s="287" t="s">
        <v>218</v>
      </c>
      <c r="R38" s="288" t="s">
        <v>279</v>
      </c>
      <c r="S38" s="293" t="s">
        <v>278</v>
      </c>
      <c r="T38" s="287" t="s">
        <v>218</v>
      </c>
      <c r="U38" s="288" t="s">
        <v>279</v>
      </c>
      <c r="V38" s="293" t="s">
        <v>278</v>
      </c>
      <c r="W38" s="287" t="s">
        <v>218</v>
      </c>
      <c r="X38" s="288" t="s">
        <v>279</v>
      </c>
      <c r="Y38" s="293" t="s">
        <v>278</v>
      </c>
      <c r="Z38" s="287" t="s">
        <v>218</v>
      </c>
      <c r="AA38" s="288" t="s">
        <v>279</v>
      </c>
    </row>
    <row r="39" spans="1:27">
      <c r="A39" s="9"/>
      <c r="B39" s="9"/>
      <c r="C39" s="294" t="s">
        <v>281</v>
      </c>
      <c r="D39" s="312">
        <f>E15*F39</f>
        <v>0</v>
      </c>
      <c r="E39" s="313">
        <f>E16*F39</f>
        <v>0</v>
      </c>
      <c r="F39" s="314">
        <f>'4.1 Program Budget - 2024-2027'!U187</f>
        <v>0</v>
      </c>
      <c r="G39" s="315">
        <f t="shared" ref="G39:G42" si="20">+I39*$G$15</f>
        <v>0</v>
      </c>
      <c r="H39" s="316">
        <f t="shared" ref="H39:H42" si="21">I39*$G$16</f>
        <v>0</v>
      </c>
      <c r="I39" s="314">
        <f>'4.1 Program Budget - 2024-2027'!AM187</f>
        <v>0</v>
      </c>
      <c r="J39" s="297">
        <f>+L39*I$15</f>
        <v>0</v>
      </c>
      <c r="K39" s="298">
        <f>L39*I$16</f>
        <v>0</v>
      </c>
      <c r="L39" s="314">
        <f>'4.1 Program Budget - 2024-2027'!BE187</f>
        <v>0</v>
      </c>
      <c r="M39" s="297">
        <f>+O39*K$15</f>
        <v>0</v>
      </c>
      <c r="N39" s="298">
        <f>O39*K$16</f>
        <v>0</v>
      </c>
      <c r="O39" s="314">
        <f>'4.1 Program Budget - 2024-2027'!BW187</f>
        <v>0</v>
      </c>
      <c r="P39" s="297">
        <f>+R39*M$15</f>
        <v>0</v>
      </c>
      <c r="Q39" s="298">
        <f>R39*M$16</f>
        <v>0</v>
      </c>
      <c r="R39" s="317"/>
      <c r="S39" s="297">
        <f>+U39*O$15</f>
        <v>0</v>
      </c>
      <c r="T39" s="298">
        <f>U39*O$16</f>
        <v>0</v>
      </c>
      <c r="U39" s="317"/>
      <c r="V39" s="297">
        <f>+X39*Q$15</f>
        <v>0</v>
      </c>
      <c r="W39" s="298">
        <f>X39*Q$16</f>
        <v>0</v>
      </c>
      <c r="X39" s="317"/>
      <c r="Y39" s="297">
        <f>+AA39*S$15</f>
        <v>0</v>
      </c>
      <c r="Z39" s="298">
        <f>AA39*S$16</f>
        <v>0</v>
      </c>
      <c r="AA39" s="317"/>
    </row>
    <row r="40" spans="1:27">
      <c r="A40" s="9"/>
      <c r="B40" s="9"/>
      <c r="C40" s="300">
        <v>2020</v>
      </c>
      <c r="D40" s="312">
        <f>E15*F40</f>
        <v>0</v>
      </c>
      <c r="E40" s="313">
        <f>E16*F40</f>
        <v>0</v>
      </c>
      <c r="F40" s="318">
        <v>0</v>
      </c>
      <c r="G40" s="319">
        <f t="shared" si="20"/>
        <v>0</v>
      </c>
      <c r="H40" s="319">
        <f t="shared" si="21"/>
        <v>0</v>
      </c>
      <c r="I40" s="318">
        <v>0</v>
      </c>
      <c r="J40" s="295">
        <f t="shared" ref="J40:J42" si="22">+L40*I$15</f>
        <v>0</v>
      </c>
      <c r="K40" s="282">
        <f t="shared" ref="K40:K42" si="23">L40*I$16</f>
        <v>0</v>
      </c>
      <c r="L40" s="318">
        <v>0</v>
      </c>
      <c r="M40" s="295">
        <f t="shared" ref="M40:M42" si="24">+O40*K$15</f>
        <v>0</v>
      </c>
      <c r="N40" s="282">
        <f t="shared" ref="N40:N42" si="25">O40*K$16</f>
        <v>0</v>
      </c>
      <c r="O40" s="318">
        <v>0</v>
      </c>
      <c r="P40" s="295">
        <f t="shared" ref="P40:P42" si="26">+R40*M$15</f>
        <v>0</v>
      </c>
      <c r="Q40" s="282">
        <f t="shared" ref="Q40:Q42" si="27">R40*M$16</f>
        <v>0</v>
      </c>
      <c r="R40" s="318">
        <v>0</v>
      </c>
      <c r="S40" s="295">
        <f t="shared" ref="S40:S42" si="28">+U40*O$15</f>
        <v>0</v>
      </c>
      <c r="T40" s="282">
        <f t="shared" ref="T40:T42" si="29">U40*O$16</f>
        <v>0</v>
      </c>
      <c r="U40" s="318">
        <v>0</v>
      </c>
      <c r="V40" s="295">
        <f t="shared" ref="V40:V42" si="30">+X40*Q$15</f>
        <v>0</v>
      </c>
      <c r="W40" s="282">
        <f t="shared" ref="W40:W42" si="31">X40*Q$16</f>
        <v>0</v>
      </c>
      <c r="X40" s="318">
        <v>0</v>
      </c>
      <c r="Y40" s="295">
        <f t="shared" ref="Y40:Y42" si="32">+AA40*S$15</f>
        <v>0</v>
      </c>
      <c r="Z40" s="282">
        <f t="shared" ref="Z40:Z42" si="33">AA40*S$16</f>
        <v>0</v>
      </c>
      <c r="AA40" s="318">
        <v>0</v>
      </c>
    </row>
    <row r="41" spans="1:27">
      <c r="A41" s="9"/>
      <c r="B41" s="9"/>
      <c r="C41" s="302">
        <v>2021</v>
      </c>
      <c r="D41" s="312">
        <f>E15*F41</f>
        <v>0</v>
      </c>
      <c r="E41" s="313">
        <f>E16*F41</f>
        <v>0</v>
      </c>
      <c r="F41" s="318">
        <v>0</v>
      </c>
      <c r="G41" s="319">
        <f t="shared" si="20"/>
        <v>0</v>
      </c>
      <c r="H41" s="320">
        <f t="shared" si="21"/>
        <v>0</v>
      </c>
      <c r="I41" s="318">
        <v>0</v>
      </c>
      <c r="J41" s="295">
        <f t="shared" si="22"/>
        <v>0</v>
      </c>
      <c r="K41" s="282">
        <f t="shared" si="23"/>
        <v>0</v>
      </c>
      <c r="L41" s="318">
        <v>0</v>
      </c>
      <c r="M41" s="295">
        <f t="shared" si="24"/>
        <v>0</v>
      </c>
      <c r="N41" s="282">
        <f t="shared" si="25"/>
        <v>0</v>
      </c>
      <c r="O41" s="318">
        <v>0</v>
      </c>
      <c r="P41" s="295">
        <f t="shared" si="26"/>
        <v>0</v>
      </c>
      <c r="Q41" s="282">
        <f t="shared" si="27"/>
        <v>0</v>
      </c>
      <c r="R41" s="318">
        <v>0</v>
      </c>
      <c r="S41" s="295">
        <f t="shared" si="28"/>
        <v>0</v>
      </c>
      <c r="T41" s="282">
        <f t="shared" si="29"/>
        <v>0</v>
      </c>
      <c r="U41" s="318">
        <v>0</v>
      </c>
      <c r="V41" s="295">
        <f t="shared" si="30"/>
        <v>0</v>
      </c>
      <c r="W41" s="282">
        <f t="shared" si="31"/>
        <v>0</v>
      </c>
      <c r="X41" s="318">
        <v>0</v>
      </c>
      <c r="Y41" s="295">
        <f t="shared" si="32"/>
        <v>0</v>
      </c>
      <c r="Z41" s="282">
        <f t="shared" si="33"/>
        <v>0</v>
      </c>
      <c r="AA41" s="318">
        <v>0</v>
      </c>
    </row>
    <row r="42" spans="1:27">
      <c r="A42" s="9"/>
      <c r="B42" s="9"/>
      <c r="C42" s="302">
        <v>2022</v>
      </c>
      <c r="D42" s="303"/>
      <c r="E42" s="304"/>
      <c r="F42" s="305"/>
      <c r="G42" s="321">
        <f t="shared" si="20"/>
        <v>0</v>
      </c>
      <c r="H42" s="322">
        <f t="shared" si="21"/>
        <v>0</v>
      </c>
      <c r="I42" s="318">
        <v>0</v>
      </c>
      <c r="J42" s="295">
        <f t="shared" si="22"/>
        <v>0</v>
      </c>
      <c r="K42" s="282">
        <f t="shared" si="23"/>
        <v>0</v>
      </c>
      <c r="L42" s="318">
        <v>0</v>
      </c>
      <c r="M42" s="295">
        <f t="shared" si="24"/>
        <v>0</v>
      </c>
      <c r="N42" s="282">
        <f t="shared" si="25"/>
        <v>0</v>
      </c>
      <c r="O42" s="318">
        <v>0</v>
      </c>
      <c r="P42" s="295">
        <f t="shared" si="26"/>
        <v>0</v>
      </c>
      <c r="Q42" s="282">
        <f t="shared" si="27"/>
        <v>0</v>
      </c>
      <c r="R42" s="318">
        <v>0</v>
      </c>
      <c r="S42" s="295">
        <f t="shared" si="28"/>
        <v>0</v>
      </c>
      <c r="T42" s="282">
        <f t="shared" si="29"/>
        <v>0</v>
      </c>
      <c r="U42" s="318">
        <v>0</v>
      </c>
      <c r="V42" s="295">
        <f t="shared" si="30"/>
        <v>0</v>
      </c>
      <c r="W42" s="282">
        <f t="shared" si="31"/>
        <v>0</v>
      </c>
      <c r="X42" s="318">
        <v>0</v>
      </c>
      <c r="Y42" s="295">
        <f t="shared" si="32"/>
        <v>0</v>
      </c>
      <c r="Z42" s="282">
        <f t="shared" si="33"/>
        <v>0</v>
      </c>
      <c r="AA42" s="318">
        <v>0</v>
      </c>
    </row>
    <row r="43" spans="1:27">
      <c r="A43" s="9"/>
      <c r="B43" s="9"/>
      <c r="C43" s="307" t="s">
        <v>279</v>
      </c>
      <c r="D43" s="308">
        <f>SUM(D39:D41)</f>
        <v>0</v>
      </c>
      <c r="E43" s="308">
        <f>SUM(E39:E41)</f>
        <v>0</v>
      </c>
      <c r="F43" s="308">
        <f>SUM(F39:F41)</f>
        <v>0</v>
      </c>
      <c r="G43" s="308">
        <f>SUM(G39:G42)</f>
        <v>0</v>
      </c>
      <c r="H43" s="323">
        <f t="shared" ref="H43:I43" si="34">SUM(H39:H42)</f>
        <v>0</v>
      </c>
      <c r="I43" s="324">
        <f t="shared" si="34"/>
        <v>0</v>
      </c>
      <c r="J43" s="308">
        <f>SUM(J39:J42)</f>
        <v>0</v>
      </c>
      <c r="K43" s="323">
        <f t="shared" ref="K43:L43" si="35">SUM(K39:K42)</f>
        <v>0</v>
      </c>
      <c r="L43" s="324">
        <f t="shared" si="35"/>
        <v>0</v>
      </c>
      <c r="M43" s="308">
        <f>SUM(M39:M42)</f>
        <v>0</v>
      </c>
      <c r="N43" s="323">
        <f t="shared" ref="N43:O43" si="36">SUM(N39:N42)</f>
        <v>0</v>
      </c>
      <c r="O43" s="324">
        <f t="shared" si="36"/>
        <v>0</v>
      </c>
      <c r="P43" s="308">
        <f>SUM(P39:P42)</f>
        <v>0</v>
      </c>
      <c r="Q43" s="323">
        <f t="shared" ref="Q43:R43" si="37">SUM(Q39:Q42)</f>
        <v>0</v>
      </c>
      <c r="R43" s="324">
        <f t="shared" si="37"/>
        <v>0</v>
      </c>
      <c r="S43" s="308">
        <f>SUM(S39:S42)</f>
        <v>0</v>
      </c>
      <c r="T43" s="323">
        <f t="shared" ref="T43:U43" si="38">SUM(T39:T42)</f>
        <v>0</v>
      </c>
      <c r="U43" s="324">
        <f t="shared" si="38"/>
        <v>0</v>
      </c>
      <c r="V43" s="308">
        <f>SUM(V39:V42)</f>
        <v>0</v>
      </c>
      <c r="W43" s="323">
        <f t="shared" ref="W43:X43" si="39">SUM(W39:W42)</f>
        <v>0</v>
      </c>
      <c r="X43" s="324">
        <f t="shared" si="39"/>
        <v>0</v>
      </c>
      <c r="Y43" s="308">
        <f>SUM(Y39:Y42)</f>
        <v>0</v>
      </c>
      <c r="Z43" s="323">
        <f t="shared" ref="Z43:AA43" si="40">SUM(Z39:Z42)</f>
        <v>0</v>
      </c>
      <c r="AA43" s="324">
        <f t="shared" si="40"/>
        <v>0</v>
      </c>
    </row>
    <row r="44" spans="1:27">
      <c r="A44" s="9"/>
      <c r="B44" s="9"/>
      <c r="C44" s="9"/>
      <c r="D44" s="325"/>
      <c r="E44" s="325"/>
      <c r="F44" s="325"/>
      <c r="G44" s="325"/>
      <c r="H44" s="325"/>
      <c r="I44" s="325"/>
      <c r="J44" s="325"/>
      <c r="K44" s="325"/>
      <c r="L44" s="325"/>
      <c r="M44" s="325"/>
      <c r="N44" s="325"/>
      <c r="O44" s="325"/>
      <c r="P44" s="325"/>
      <c r="Q44" s="325"/>
      <c r="R44" s="325"/>
      <c r="S44" s="325"/>
      <c r="T44" s="325"/>
      <c r="U44" s="325"/>
      <c r="V44" s="325"/>
      <c r="W44" s="325"/>
      <c r="X44" s="325"/>
      <c r="Y44" s="325"/>
      <c r="Z44" s="325"/>
      <c r="AA44" s="325"/>
    </row>
    <row r="45" spans="1:27">
      <c r="D45" s="1367">
        <v>2024</v>
      </c>
      <c r="E45" s="1365"/>
      <c r="F45" s="1368"/>
      <c r="G45" s="1365">
        <v>2025</v>
      </c>
      <c r="H45" s="1365"/>
      <c r="I45" s="1366"/>
      <c r="J45" s="1365">
        <v>2026</v>
      </c>
      <c r="K45" s="1365"/>
      <c r="L45" s="1366"/>
      <c r="M45" s="1365">
        <v>2027</v>
      </c>
      <c r="N45" s="1365"/>
      <c r="O45" s="1366"/>
      <c r="P45" s="1365">
        <v>2028</v>
      </c>
      <c r="Q45" s="1365"/>
      <c r="R45" s="1366"/>
      <c r="S45" s="1365">
        <v>2029</v>
      </c>
      <c r="T45" s="1365"/>
      <c r="U45" s="1366"/>
      <c r="V45" s="1365">
        <v>2030</v>
      </c>
      <c r="W45" s="1365"/>
      <c r="X45" s="1366"/>
      <c r="Y45" s="1365">
        <v>2031</v>
      </c>
      <c r="Z45" s="1365"/>
      <c r="AA45" s="1366"/>
    </row>
    <row r="46" spans="1:27" ht="28.5">
      <c r="A46" s="9"/>
      <c r="B46" s="9"/>
      <c r="C46" s="1225" t="s">
        <v>2298</v>
      </c>
      <c r="D46" s="271" t="s">
        <v>278</v>
      </c>
      <c r="E46" s="287" t="s">
        <v>218</v>
      </c>
      <c r="F46" s="288" t="s">
        <v>279</v>
      </c>
      <c r="G46" s="271" t="s">
        <v>278</v>
      </c>
      <c r="H46" s="287" t="s">
        <v>218</v>
      </c>
      <c r="I46" s="288" t="s">
        <v>279</v>
      </c>
      <c r="J46" s="271" t="s">
        <v>278</v>
      </c>
      <c r="K46" s="287" t="s">
        <v>218</v>
      </c>
      <c r="L46" s="288" t="s">
        <v>279</v>
      </c>
      <c r="M46" s="271" t="s">
        <v>278</v>
      </c>
      <c r="N46" s="287" t="s">
        <v>218</v>
      </c>
      <c r="O46" s="288" t="s">
        <v>279</v>
      </c>
      <c r="P46" s="271" t="s">
        <v>278</v>
      </c>
      <c r="Q46" s="287" t="s">
        <v>218</v>
      </c>
      <c r="R46" s="288" t="s">
        <v>279</v>
      </c>
      <c r="S46" s="271" t="s">
        <v>278</v>
      </c>
      <c r="T46" s="287" t="s">
        <v>218</v>
      </c>
      <c r="U46" s="288" t="s">
        <v>279</v>
      </c>
      <c r="V46" s="271" t="s">
        <v>278</v>
      </c>
      <c r="W46" s="287" t="s">
        <v>218</v>
      </c>
      <c r="X46" s="288" t="s">
        <v>279</v>
      </c>
      <c r="Y46" s="271" t="s">
        <v>278</v>
      </c>
      <c r="Z46" s="287" t="s">
        <v>218</v>
      </c>
      <c r="AA46" s="288" t="s">
        <v>279</v>
      </c>
    </row>
    <row r="47" spans="1:27">
      <c r="A47" s="9"/>
      <c r="B47" s="9"/>
      <c r="C47" s="294" t="s">
        <v>281</v>
      </c>
      <c r="D47" s="312">
        <f>D31+D39</f>
        <v>0</v>
      </c>
      <c r="E47" s="320">
        <f t="shared" ref="E47:I47" si="41">E31+E39</f>
        <v>0</v>
      </c>
      <c r="F47" s="326">
        <f t="shared" si="41"/>
        <v>0</v>
      </c>
      <c r="G47" s="312">
        <f t="shared" si="41"/>
        <v>0</v>
      </c>
      <c r="H47" s="320">
        <f t="shared" si="41"/>
        <v>0</v>
      </c>
      <c r="I47" s="314">
        <f t="shared" si="41"/>
        <v>0</v>
      </c>
      <c r="J47" s="312">
        <f t="shared" ref="J47:T47" si="42">J31+J39</f>
        <v>0</v>
      </c>
      <c r="K47" s="320">
        <f t="shared" si="42"/>
        <v>0</v>
      </c>
      <c r="L47" s="314">
        <f t="shared" si="42"/>
        <v>0</v>
      </c>
      <c r="M47" s="312">
        <f t="shared" si="42"/>
        <v>0</v>
      </c>
      <c r="N47" s="320">
        <f t="shared" si="42"/>
        <v>0</v>
      </c>
      <c r="O47" s="314">
        <f t="shared" si="42"/>
        <v>0</v>
      </c>
      <c r="P47" s="312">
        <f t="shared" si="42"/>
        <v>0</v>
      </c>
      <c r="Q47" s="320">
        <f t="shared" si="42"/>
        <v>0</v>
      </c>
      <c r="R47" s="314">
        <f>R31</f>
        <v>0</v>
      </c>
      <c r="S47" s="312">
        <f t="shared" si="42"/>
        <v>0</v>
      </c>
      <c r="T47" s="320">
        <f t="shared" si="42"/>
        <v>0</v>
      </c>
      <c r="U47" s="314">
        <f>U31</f>
        <v>0</v>
      </c>
      <c r="V47" s="312">
        <f t="shared" ref="V47:Z47" si="43">V31+V39</f>
        <v>0</v>
      </c>
      <c r="W47" s="320">
        <f t="shared" si="43"/>
        <v>0</v>
      </c>
      <c r="X47" s="314">
        <f>X31</f>
        <v>0</v>
      </c>
      <c r="Y47" s="312">
        <f t="shared" si="43"/>
        <v>0</v>
      </c>
      <c r="Z47" s="320">
        <f t="shared" si="43"/>
        <v>0</v>
      </c>
      <c r="AA47" s="314">
        <f>AA31</f>
        <v>0</v>
      </c>
    </row>
    <row r="48" spans="1:27">
      <c r="A48" s="9"/>
      <c r="B48" s="9"/>
      <c r="C48" s="300">
        <v>2020</v>
      </c>
      <c r="D48" s="312">
        <f t="shared" ref="D48:E48" si="44">D32+D40</f>
        <v>0</v>
      </c>
      <c r="E48" s="320">
        <f t="shared" si="44"/>
        <v>0</v>
      </c>
      <c r="F48" s="326">
        <f t="shared" ref="F48" si="45">F32+F40</f>
        <v>0</v>
      </c>
      <c r="G48" s="312">
        <f t="shared" ref="G48:H48" si="46">G32+G40</f>
        <v>0</v>
      </c>
      <c r="H48" s="320">
        <f t="shared" si="46"/>
        <v>0</v>
      </c>
      <c r="I48" s="314">
        <f t="shared" ref="I48:K48" si="47">I32+I40</f>
        <v>0</v>
      </c>
      <c r="J48" s="312">
        <f t="shared" si="47"/>
        <v>0</v>
      </c>
      <c r="K48" s="320">
        <f t="shared" si="47"/>
        <v>0</v>
      </c>
      <c r="L48" s="314">
        <f t="shared" ref="L48:U48" si="48">L32+L40</f>
        <v>0</v>
      </c>
      <c r="M48" s="312">
        <f t="shared" si="48"/>
        <v>0</v>
      </c>
      <c r="N48" s="320">
        <f t="shared" si="48"/>
        <v>0</v>
      </c>
      <c r="O48" s="314">
        <f t="shared" si="48"/>
        <v>0</v>
      </c>
      <c r="P48" s="312">
        <f t="shared" si="48"/>
        <v>0</v>
      </c>
      <c r="Q48" s="320">
        <f t="shared" si="48"/>
        <v>0</v>
      </c>
      <c r="R48" s="314">
        <f t="shared" si="48"/>
        <v>0</v>
      </c>
      <c r="S48" s="312">
        <f t="shared" si="48"/>
        <v>0</v>
      </c>
      <c r="T48" s="320">
        <f t="shared" si="48"/>
        <v>0</v>
      </c>
      <c r="U48" s="314">
        <f t="shared" si="48"/>
        <v>0</v>
      </c>
      <c r="V48" s="312">
        <f t="shared" ref="V48:AA48" si="49">V32+V40</f>
        <v>0</v>
      </c>
      <c r="W48" s="320">
        <f t="shared" si="49"/>
        <v>0</v>
      </c>
      <c r="X48" s="314">
        <f t="shared" si="49"/>
        <v>0</v>
      </c>
      <c r="Y48" s="312">
        <f t="shared" si="49"/>
        <v>0</v>
      </c>
      <c r="Z48" s="320">
        <f t="shared" si="49"/>
        <v>0</v>
      </c>
      <c r="AA48" s="314">
        <f t="shared" si="49"/>
        <v>0</v>
      </c>
    </row>
    <row r="49" spans="1:35">
      <c r="A49" s="9"/>
      <c r="B49" s="9"/>
      <c r="C49" s="302">
        <v>2021</v>
      </c>
      <c r="D49" s="312">
        <f t="shared" ref="D49:E49" si="50">D33+D41</f>
        <v>0</v>
      </c>
      <c r="E49" s="320">
        <f t="shared" si="50"/>
        <v>0</v>
      </c>
      <c r="F49" s="326">
        <f t="shared" ref="F49" si="51">F33+F41</f>
        <v>0</v>
      </c>
      <c r="G49" s="312">
        <f t="shared" ref="G49:I50" si="52">G33+G41</f>
        <v>0</v>
      </c>
      <c r="H49" s="320">
        <f t="shared" si="52"/>
        <v>0</v>
      </c>
      <c r="I49" s="314">
        <f t="shared" ref="I49:K49" si="53">I33+I41</f>
        <v>0</v>
      </c>
      <c r="J49" s="312">
        <f t="shared" si="53"/>
        <v>0</v>
      </c>
      <c r="K49" s="320">
        <f t="shared" si="53"/>
        <v>0</v>
      </c>
      <c r="L49" s="314">
        <f t="shared" ref="L49:U49" si="54">L33+L41</f>
        <v>0</v>
      </c>
      <c r="M49" s="312">
        <f t="shared" si="54"/>
        <v>0</v>
      </c>
      <c r="N49" s="320">
        <f t="shared" si="54"/>
        <v>0</v>
      </c>
      <c r="O49" s="314">
        <f t="shared" si="54"/>
        <v>0</v>
      </c>
      <c r="P49" s="312">
        <f t="shared" si="54"/>
        <v>0</v>
      </c>
      <c r="Q49" s="320">
        <f t="shared" si="54"/>
        <v>0</v>
      </c>
      <c r="R49" s="314">
        <f t="shared" si="54"/>
        <v>0</v>
      </c>
      <c r="S49" s="312">
        <f t="shared" si="54"/>
        <v>0</v>
      </c>
      <c r="T49" s="320">
        <f t="shared" si="54"/>
        <v>0</v>
      </c>
      <c r="U49" s="314">
        <f t="shared" si="54"/>
        <v>0</v>
      </c>
      <c r="V49" s="312">
        <f t="shared" ref="V49:AA49" si="55">V33+V41</f>
        <v>0</v>
      </c>
      <c r="W49" s="320">
        <f t="shared" si="55"/>
        <v>0</v>
      </c>
      <c r="X49" s="314">
        <f t="shared" si="55"/>
        <v>0</v>
      </c>
      <c r="Y49" s="312">
        <f t="shared" si="55"/>
        <v>0</v>
      </c>
      <c r="Z49" s="320">
        <f t="shared" si="55"/>
        <v>0</v>
      </c>
      <c r="AA49" s="314">
        <f t="shared" si="55"/>
        <v>0</v>
      </c>
    </row>
    <row r="50" spans="1:35">
      <c r="A50" s="9"/>
      <c r="B50" s="9"/>
      <c r="C50" s="302">
        <v>2022</v>
      </c>
      <c r="D50" s="327"/>
      <c r="E50" s="328"/>
      <c r="F50" s="317"/>
      <c r="G50" s="312">
        <f t="shared" si="52"/>
        <v>0</v>
      </c>
      <c r="H50" s="320">
        <f t="shared" si="52"/>
        <v>0</v>
      </c>
      <c r="I50" s="314">
        <f t="shared" si="52"/>
        <v>0</v>
      </c>
      <c r="J50" s="312">
        <f t="shared" ref="J50:U50" si="56">J34+J42</f>
        <v>0</v>
      </c>
      <c r="K50" s="320">
        <f t="shared" si="56"/>
        <v>0</v>
      </c>
      <c r="L50" s="314">
        <f t="shared" si="56"/>
        <v>0</v>
      </c>
      <c r="M50" s="312">
        <f t="shared" si="56"/>
        <v>0</v>
      </c>
      <c r="N50" s="320">
        <f t="shared" si="56"/>
        <v>0</v>
      </c>
      <c r="O50" s="314">
        <f t="shared" si="56"/>
        <v>0</v>
      </c>
      <c r="P50" s="312">
        <f t="shared" si="56"/>
        <v>0</v>
      </c>
      <c r="Q50" s="320">
        <f t="shared" si="56"/>
        <v>0</v>
      </c>
      <c r="R50" s="314">
        <f t="shared" si="56"/>
        <v>0</v>
      </c>
      <c r="S50" s="312">
        <f t="shared" si="56"/>
        <v>0</v>
      </c>
      <c r="T50" s="320">
        <f t="shared" si="56"/>
        <v>0</v>
      </c>
      <c r="U50" s="314">
        <f t="shared" si="56"/>
        <v>0</v>
      </c>
      <c r="V50" s="312">
        <f t="shared" ref="V50:AA50" si="57">V34+V42</f>
        <v>0</v>
      </c>
      <c r="W50" s="320">
        <f t="shared" si="57"/>
        <v>0</v>
      </c>
      <c r="X50" s="314">
        <f t="shared" si="57"/>
        <v>0</v>
      </c>
      <c r="Y50" s="312">
        <f t="shared" si="57"/>
        <v>0</v>
      </c>
      <c r="Z50" s="320">
        <f t="shared" si="57"/>
        <v>0</v>
      </c>
      <c r="AA50" s="314">
        <f t="shared" si="57"/>
        <v>0</v>
      </c>
    </row>
    <row r="51" spans="1:35">
      <c r="A51" s="9"/>
      <c r="B51" s="9"/>
      <c r="C51" s="307" t="s">
        <v>279</v>
      </c>
      <c r="D51" s="308">
        <f>SUM(D47:D49)</f>
        <v>0</v>
      </c>
      <c r="E51" s="308">
        <f>SUM(E47:E49)</f>
        <v>0</v>
      </c>
      <c r="F51" s="308">
        <f>SUM(F47:F49)</f>
        <v>0</v>
      </c>
      <c r="G51" s="308">
        <f>G35+G43</f>
        <v>0</v>
      </c>
      <c r="H51" s="323">
        <f t="shared" ref="H51:I51" si="58">H35+H43</f>
        <v>0</v>
      </c>
      <c r="I51" s="324">
        <f t="shared" si="58"/>
        <v>0</v>
      </c>
      <c r="J51" s="308">
        <f>J35+J43</f>
        <v>0</v>
      </c>
      <c r="K51" s="323">
        <f t="shared" ref="K51:L51" si="59">K35+K43</f>
        <v>0</v>
      </c>
      <c r="L51" s="324">
        <f t="shared" si="59"/>
        <v>0</v>
      </c>
      <c r="M51" s="308">
        <f>M35+M43</f>
        <v>0</v>
      </c>
      <c r="N51" s="323">
        <f t="shared" ref="N51:O51" si="60">N35+N43</f>
        <v>0</v>
      </c>
      <c r="O51" s="324">
        <f t="shared" si="60"/>
        <v>0</v>
      </c>
      <c r="P51" s="308">
        <f>P35+P43</f>
        <v>0</v>
      </c>
      <c r="Q51" s="323">
        <f t="shared" ref="Q51:R51" si="61">Q35+Q43</f>
        <v>0</v>
      </c>
      <c r="R51" s="324">
        <f t="shared" si="61"/>
        <v>0</v>
      </c>
      <c r="S51" s="308">
        <f>S35+S43</f>
        <v>0</v>
      </c>
      <c r="T51" s="323">
        <f t="shared" ref="T51:U51" si="62">T35+T43</f>
        <v>0</v>
      </c>
      <c r="U51" s="324">
        <f t="shared" si="62"/>
        <v>0</v>
      </c>
      <c r="V51" s="308">
        <f>V35+V43</f>
        <v>0</v>
      </c>
      <c r="W51" s="323">
        <f t="shared" ref="W51:X51" si="63">W35+W43</f>
        <v>0</v>
      </c>
      <c r="X51" s="324">
        <f t="shared" si="63"/>
        <v>0</v>
      </c>
      <c r="Y51" s="308">
        <f>Y35+Y43</f>
        <v>0</v>
      </c>
      <c r="Z51" s="323">
        <f t="shared" ref="Z51:AA51" si="64">Z35+Z43</f>
        <v>0</v>
      </c>
      <c r="AA51" s="324">
        <f t="shared" si="64"/>
        <v>0</v>
      </c>
    </row>
    <row r="52" spans="1:35">
      <c r="A52" s="9"/>
      <c r="B52" s="9"/>
      <c r="C52" s="9"/>
      <c r="D52" s="325"/>
      <c r="E52" s="325"/>
      <c r="F52" s="325"/>
      <c r="G52" s="325"/>
      <c r="H52" s="325"/>
      <c r="I52" s="9"/>
    </row>
    <row r="53" spans="1:35">
      <c r="C53" s="292" t="s">
        <v>282</v>
      </c>
    </row>
    <row r="54" spans="1:35">
      <c r="C54" s="268" t="s">
        <v>283</v>
      </c>
    </row>
    <row r="55" spans="1:35">
      <c r="C55" s="230" t="s">
        <v>284</v>
      </c>
    </row>
    <row r="56" spans="1:35">
      <c r="C56" s="329"/>
    </row>
    <row r="57" spans="1:35">
      <c r="C57" s="330"/>
    </row>
    <row r="58" spans="1:35" ht="58.5">
      <c r="C58" s="331" t="s">
        <v>285</v>
      </c>
    </row>
    <row r="59" spans="1:35">
      <c r="D59" s="1367">
        <v>2024</v>
      </c>
      <c r="E59" s="1365"/>
      <c r="F59" s="1365"/>
      <c r="G59" s="1366"/>
      <c r="H59" s="1367">
        <v>2025</v>
      </c>
      <c r="I59" s="1365"/>
      <c r="J59" s="1365"/>
      <c r="K59" s="1366"/>
      <c r="L59" s="1367">
        <v>2026</v>
      </c>
      <c r="M59" s="1365"/>
      <c r="N59" s="1365"/>
      <c r="O59" s="1366"/>
      <c r="P59" s="1367">
        <v>2027</v>
      </c>
      <c r="Q59" s="1365"/>
      <c r="R59" s="1365"/>
      <c r="S59" s="1366"/>
      <c r="T59" s="1367">
        <v>2028</v>
      </c>
      <c r="U59" s="1365"/>
      <c r="V59" s="1365"/>
      <c r="W59" s="1366"/>
      <c r="X59" s="1367">
        <v>2029</v>
      </c>
      <c r="Y59" s="1365"/>
      <c r="Z59" s="1365"/>
      <c r="AA59" s="1366"/>
      <c r="AB59" s="1367">
        <v>2030</v>
      </c>
      <c r="AC59" s="1365"/>
      <c r="AD59" s="1365"/>
      <c r="AE59" s="1366"/>
      <c r="AF59" s="1367">
        <v>2031</v>
      </c>
      <c r="AG59" s="1365"/>
      <c r="AH59" s="1365"/>
      <c r="AI59" s="1366"/>
    </row>
    <row r="60" spans="1:35" ht="28.5">
      <c r="D60" s="332" t="s">
        <v>286</v>
      </c>
      <c r="E60" s="1365" t="s">
        <v>287</v>
      </c>
      <c r="F60" s="1365"/>
      <c r="G60" s="1366"/>
      <c r="H60" s="332" t="s">
        <v>286</v>
      </c>
      <c r="I60" s="1365" t="s">
        <v>287</v>
      </c>
      <c r="J60" s="1365"/>
      <c r="K60" s="1366"/>
      <c r="L60" s="332" t="s">
        <v>286</v>
      </c>
      <c r="M60" s="1365" t="s">
        <v>287</v>
      </c>
      <c r="N60" s="1365"/>
      <c r="O60" s="1366"/>
      <c r="P60" s="332" t="s">
        <v>286</v>
      </c>
      <c r="Q60" s="1365" t="s">
        <v>287</v>
      </c>
      <c r="R60" s="1365"/>
      <c r="S60" s="1366"/>
      <c r="T60" s="332" t="s">
        <v>286</v>
      </c>
      <c r="U60" s="1365" t="s">
        <v>287</v>
      </c>
      <c r="V60" s="1365"/>
      <c r="W60" s="1366"/>
      <c r="X60" s="332" t="s">
        <v>286</v>
      </c>
      <c r="Y60" s="1365" t="s">
        <v>287</v>
      </c>
      <c r="Z60" s="1365"/>
      <c r="AA60" s="1366"/>
      <c r="AB60" s="332" t="s">
        <v>286</v>
      </c>
      <c r="AC60" s="1365" t="s">
        <v>287</v>
      </c>
      <c r="AD60" s="1365"/>
      <c r="AE60" s="1366"/>
      <c r="AF60" s="332" t="s">
        <v>286</v>
      </c>
      <c r="AG60" s="1365" t="s">
        <v>287</v>
      </c>
      <c r="AH60" s="1365"/>
      <c r="AI60" s="1366"/>
    </row>
    <row r="61" spans="1:35" ht="57">
      <c r="C61" s="331"/>
      <c r="D61" s="333" t="s">
        <v>288</v>
      </c>
      <c r="E61" s="334" t="s">
        <v>289</v>
      </c>
      <c r="F61" s="335" t="s">
        <v>290</v>
      </c>
      <c r="G61" s="336" t="s">
        <v>291</v>
      </c>
      <c r="H61" s="337" t="s">
        <v>288</v>
      </c>
      <c r="I61" s="334" t="s">
        <v>289</v>
      </c>
      <c r="J61" s="335" t="s">
        <v>290</v>
      </c>
      <c r="K61" s="336" t="s">
        <v>291</v>
      </c>
      <c r="L61" s="333" t="s">
        <v>288</v>
      </c>
      <c r="M61" s="334" t="s">
        <v>289</v>
      </c>
      <c r="N61" s="335" t="s">
        <v>290</v>
      </c>
      <c r="O61" s="336" t="s">
        <v>291</v>
      </c>
      <c r="P61" s="337" t="s">
        <v>288</v>
      </c>
      <c r="Q61" s="334" t="s">
        <v>289</v>
      </c>
      <c r="R61" s="335" t="s">
        <v>290</v>
      </c>
      <c r="S61" s="336" t="s">
        <v>291</v>
      </c>
      <c r="T61" s="333" t="s">
        <v>288</v>
      </c>
      <c r="U61" s="334" t="s">
        <v>289</v>
      </c>
      <c r="V61" s="335" t="s">
        <v>290</v>
      </c>
      <c r="W61" s="336" t="s">
        <v>291</v>
      </c>
      <c r="X61" s="337" t="s">
        <v>288</v>
      </c>
      <c r="Y61" s="334" t="s">
        <v>289</v>
      </c>
      <c r="Z61" s="335" t="s">
        <v>290</v>
      </c>
      <c r="AA61" s="336" t="s">
        <v>291</v>
      </c>
      <c r="AB61" s="333" t="s">
        <v>288</v>
      </c>
      <c r="AC61" s="334" t="s">
        <v>289</v>
      </c>
      <c r="AD61" s="335" t="s">
        <v>290</v>
      </c>
      <c r="AE61" s="336" t="s">
        <v>291</v>
      </c>
      <c r="AF61" s="337" t="s">
        <v>288</v>
      </c>
      <c r="AG61" s="334" t="s">
        <v>289</v>
      </c>
      <c r="AH61" s="335" t="s">
        <v>290</v>
      </c>
      <c r="AI61" s="336" t="s">
        <v>291</v>
      </c>
    </row>
    <row r="62" spans="1:35" ht="15.75">
      <c r="C62" s="338" t="s">
        <v>292</v>
      </c>
      <c r="D62" s="339">
        <v>0</v>
      </c>
      <c r="E62" s="340">
        <f>+G62*E$23</f>
        <v>0</v>
      </c>
      <c r="F62" s="341">
        <f>+G62*E$24</f>
        <v>145620037.8872366</v>
      </c>
      <c r="G62" s="342">
        <f>+'7.3 PA PY budget_savings'!C69-'7.3 PA PY budget_savings'!C61</f>
        <v>145620037.8872366</v>
      </c>
      <c r="H62" s="339">
        <v>0</v>
      </c>
      <c r="I62" s="340">
        <f>+K62*G$23</f>
        <v>0</v>
      </c>
      <c r="J62" s="341">
        <f>+K62*G$24</f>
        <v>146205840.67039815</v>
      </c>
      <c r="K62" s="343">
        <f>+'7.3 PA PY budget_savings'!I69-'7.3 PA PY budget_savings'!I61</f>
        <v>146205840.67039815</v>
      </c>
      <c r="L62" s="339">
        <v>0</v>
      </c>
      <c r="M62" s="340">
        <f>+O62*K$23</f>
        <v>0</v>
      </c>
      <c r="N62" s="341">
        <f>+O62*K$24</f>
        <v>146967475.07377067</v>
      </c>
      <c r="O62" s="342">
        <f>+'7.3 PA PY budget_savings'!O69-'7.3 PA PY budget_savings'!O61</f>
        <v>146967475.07377067</v>
      </c>
      <c r="P62" s="339">
        <v>0</v>
      </c>
      <c r="Q62" s="340">
        <f>+S62*K$23</f>
        <v>0</v>
      </c>
      <c r="R62" s="341">
        <f>+S62*K$24</f>
        <v>148442489.09514403</v>
      </c>
      <c r="S62" s="343">
        <f>+'7.3 PA PY budget_savings'!U69-'7.3 PA PY budget_savings'!U61</f>
        <v>148442489.09514403</v>
      </c>
      <c r="T62" s="339">
        <v>0</v>
      </c>
      <c r="U62" s="340">
        <f>+W62*M$23</f>
        <v>0</v>
      </c>
      <c r="V62" s="341">
        <f>+W62*M$24</f>
        <v>153192648.74618867</v>
      </c>
      <c r="W62" s="342">
        <f>+'7.3 PA PY budget_savings'!AA69-'7.3 PA PY budget_savings'!AA61</f>
        <v>153192648.74618867</v>
      </c>
      <c r="X62" s="339">
        <v>0</v>
      </c>
      <c r="Y62" s="340">
        <f>+AA62*O$23</f>
        <v>0</v>
      </c>
      <c r="Z62" s="341">
        <f>+AA62*O$24</f>
        <v>158094813.50606671</v>
      </c>
      <c r="AA62" s="343">
        <f>+'7.3 PA PY budget_savings'!AG69-'7.3 PA PY budget_savings'!AG61</f>
        <v>158094813.50606671</v>
      </c>
      <c r="AB62" s="339">
        <v>0</v>
      </c>
      <c r="AC62" s="340">
        <f>+AE62*Q$23</f>
        <v>0</v>
      </c>
      <c r="AD62" s="341">
        <f>+AE62*Q$24</f>
        <v>163153847.53826082</v>
      </c>
      <c r="AE62" s="342">
        <f>+'7.3 PA PY budget_savings'!AM69-'7.3 PA PY budget_savings'!AM61</f>
        <v>163153847.53826082</v>
      </c>
      <c r="AF62" s="339">
        <v>0</v>
      </c>
      <c r="AG62" s="340">
        <f>+AI62*S$23</f>
        <v>0</v>
      </c>
      <c r="AH62" s="341">
        <f>+AI62*S$24</f>
        <v>168374770.65948522</v>
      </c>
      <c r="AI62" s="343">
        <f>+'7.3 PA PY budget_savings'!AS69-'7.3 PA PY budget_savings'!AS61</f>
        <v>168374770.65948522</v>
      </c>
    </row>
    <row r="63" spans="1:35" ht="15.75">
      <c r="C63" s="344" t="s">
        <v>293</v>
      </c>
      <c r="D63" s="345"/>
      <c r="E63" s="346">
        <f t="shared" ref="E63:E65" si="65">+$G63*$E$23</f>
        <v>0</v>
      </c>
      <c r="F63" s="347">
        <f t="shared" ref="F63:F65" si="66">+$G63*$E$24</f>
        <v>12457356.91</v>
      </c>
      <c r="G63" s="348">
        <f>+'7.3 PA PY budget_savings'!C76</f>
        <v>12457356.91</v>
      </c>
      <c r="H63" s="345"/>
      <c r="I63" s="346">
        <f t="shared" ref="I63:I65" si="67">+$K63*$G$23</f>
        <v>0</v>
      </c>
      <c r="J63" s="347">
        <f t="shared" ref="J63:J65" si="68">+$K63*$G$24</f>
        <v>13984373.109999999</v>
      </c>
      <c r="K63" s="274">
        <f>+'7.3 PA PY budget_savings'!I76</f>
        <v>13984373.109999999</v>
      </c>
      <c r="L63" s="345"/>
      <c r="M63" s="346">
        <f>+O63*I$23</f>
        <v>0</v>
      </c>
      <c r="N63" s="347">
        <f>+O63*I$24</f>
        <v>14937470.030000001</v>
      </c>
      <c r="O63" s="348">
        <f>+'7.3 PA PY budget_savings'!O76</f>
        <v>14937470.030000001</v>
      </c>
      <c r="P63" s="345"/>
      <c r="Q63" s="346">
        <f t="shared" ref="Q63:Q65" si="69">+S63*K$23</f>
        <v>0</v>
      </c>
      <c r="R63" s="347">
        <f t="shared" ref="R63:R65" si="70">+S63*K$24</f>
        <v>15999903.120000001</v>
      </c>
      <c r="S63" s="274">
        <f>+'7.3 PA PY budget_savings'!U76</f>
        <v>15999903.120000001</v>
      </c>
      <c r="T63" s="345"/>
      <c r="U63" s="346">
        <f t="shared" ref="U63:U65" si="71">+W63*M$23</f>
        <v>0</v>
      </c>
      <c r="V63" s="347">
        <f t="shared" ref="V63:V65" si="72">+W63*M$24</f>
        <v>14628799.98</v>
      </c>
      <c r="W63" s="348">
        <f>+'7.3 PA PY budget_savings'!AA76</f>
        <v>14628799.98</v>
      </c>
      <c r="X63" s="345"/>
      <c r="Y63" s="346">
        <f t="shared" ref="Y63:Y65" si="73">+AA63*O$23</f>
        <v>0</v>
      </c>
      <c r="Z63" s="347">
        <f t="shared" ref="Z63:Z65" si="74">+AA63*O$24</f>
        <v>15832601.93</v>
      </c>
      <c r="AA63" s="274">
        <f>+'7.3 PA PY budget_savings'!AG76</f>
        <v>15832601.93</v>
      </c>
      <c r="AB63" s="345"/>
      <c r="AC63" s="346">
        <f t="shared" ref="AC63:AC65" si="75">+AE63*Q$23</f>
        <v>0</v>
      </c>
      <c r="AD63" s="347">
        <f t="shared" ref="AD63:AD65" si="76">+AE63*Q$24</f>
        <v>17147715.799999997</v>
      </c>
      <c r="AE63" s="348">
        <f>+'7.3 PA PY budget_savings'!AM76</f>
        <v>17147715.799999997</v>
      </c>
      <c r="AF63" s="345"/>
      <c r="AG63" s="346">
        <f t="shared" ref="AG63:AG65" si="77">+AI63*S$23</f>
        <v>0</v>
      </c>
      <c r="AH63" s="347">
        <f t="shared" ref="AH63:AH65" si="78">+AI63*S$24</f>
        <v>18584954.969999999</v>
      </c>
      <c r="AI63" s="274">
        <f>+'7.3 PA PY budget_savings'!AS76</f>
        <v>18584954.969999999</v>
      </c>
    </row>
    <row r="64" spans="1:35" ht="15.75">
      <c r="C64" s="344" t="s">
        <v>294</v>
      </c>
      <c r="D64" s="345"/>
      <c r="E64" s="346">
        <f t="shared" si="65"/>
        <v>0</v>
      </c>
      <c r="F64" s="347">
        <f t="shared" si="66"/>
        <v>0</v>
      </c>
      <c r="G64" s="348">
        <f>+'7.3 PA PY budget_savings'!C82</f>
        <v>0</v>
      </c>
      <c r="H64" s="345"/>
      <c r="I64" s="346">
        <f t="shared" si="67"/>
        <v>0</v>
      </c>
      <c r="J64" s="347">
        <f t="shared" si="68"/>
        <v>0</v>
      </c>
      <c r="K64" s="274">
        <f>+'7.3 PA PY budget_savings'!I82</f>
        <v>0</v>
      </c>
      <c r="L64" s="345"/>
      <c r="M64" s="346">
        <f t="shared" ref="M64:M65" si="79">+O64*I$23</f>
        <v>0</v>
      </c>
      <c r="N64" s="347">
        <f t="shared" ref="N64:N65" si="80">+O64*I$24</f>
        <v>0</v>
      </c>
      <c r="O64" s="348">
        <f>+'7.3 PA PY budget_savings'!O82</f>
        <v>0</v>
      </c>
      <c r="P64" s="345"/>
      <c r="Q64" s="346">
        <f t="shared" si="69"/>
        <v>0</v>
      </c>
      <c r="R64" s="347">
        <f t="shared" si="70"/>
        <v>0</v>
      </c>
      <c r="S64" s="274">
        <f>+'7.3 PA PY budget_savings'!U82</f>
        <v>0</v>
      </c>
      <c r="T64" s="345"/>
      <c r="U64" s="346">
        <f t="shared" si="71"/>
        <v>0</v>
      </c>
      <c r="V64" s="347">
        <f t="shared" si="72"/>
        <v>0</v>
      </c>
      <c r="W64" s="348">
        <f>+'7.3 PA PY budget_savings'!AA82</f>
        <v>0</v>
      </c>
      <c r="X64" s="345"/>
      <c r="Y64" s="346">
        <f t="shared" si="73"/>
        <v>0</v>
      </c>
      <c r="Z64" s="347">
        <f>+AA64*O$24</f>
        <v>0</v>
      </c>
      <c r="AA64" s="274">
        <f>+'7.3 PA PY budget_savings'!AG82</f>
        <v>0</v>
      </c>
      <c r="AB64" s="345"/>
      <c r="AC64" s="346">
        <f t="shared" si="75"/>
        <v>0</v>
      </c>
      <c r="AD64" s="347">
        <f t="shared" si="76"/>
        <v>0</v>
      </c>
      <c r="AE64" s="348">
        <f>+'7.3 PA PY budget_savings'!AM82</f>
        <v>0</v>
      </c>
      <c r="AF64" s="345"/>
      <c r="AG64" s="346">
        <f t="shared" si="77"/>
        <v>0</v>
      </c>
      <c r="AH64" s="347">
        <f t="shared" si="78"/>
        <v>0</v>
      </c>
      <c r="AI64" s="274">
        <f>+'7.3 PA PY budget_savings'!AS82</f>
        <v>0</v>
      </c>
    </row>
    <row r="65" spans="3:35" ht="15.75">
      <c r="C65" s="344" t="s">
        <v>295</v>
      </c>
      <c r="D65" s="345"/>
      <c r="E65" s="346">
        <f t="shared" si="65"/>
        <v>0</v>
      </c>
      <c r="F65" s="347">
        <f t="shared" si="66"/>
        <v>6067501.5786348581</v>
      </c>
      <c r="G65" s="314">
        <f>+'7.3 PA PY budget_savings'!C61</f>
        <v>6067501.5786348581</v>
      </c>
      <c r="H65" s="345"/>
      <c r="I65" s="346">
        <f t="shared" si="67"/>
        <v>0</v>
      </c>
      <c r="J65" s="347">
        <f t="shared" si="68"/>
        <v>6091910.0279332595</v>
      </c>
      <c r="K65" s="314">
        <f>+'7.3 PA PY budget_savings'!I61</f>
        <v>6091910.0279332595</v>
      </c>
      <c r="L65" s="345"/>
      <c r="M65" s="346">
        <f t="shared" si="79"/>
        <v>0</v>
      </c>
      <c r="N65" s="347">
        <f t="shared" si="80"/>
        <v>6123644.7947404468</v>
      </c>
      <c r="O65" s="314">
        <f>+'7.3 PA PY budget_savings'!O61</f>
        <v>6123644.7947404468</v>
      </c>
      <c r="P65" s="345"/>
      <c r="Q65" s="346">
        <f t="shared" si="69"/>
        <v>0</v>
      </c>
      <c r="R65" s="347">
        <f t="shared" si="70"/>
        <v>6185103.7122976705</v>
      </c>
      <c r="S65" s="314">
        <f>+'7.3 PA PY budget_savings'!U61</f>
        <v>6185103.7122976705</v>
      </c>
      <c r="T65" s="345"/>
      <c r="U65" s="346">
        <f t="shared" si="71"/>
        <v>0</v>
      </c>
      <c r="V65" s="347">
        <f t="shared" si="72"/>
        <v>6383027.0310911946</v>
      </c>
      <c r="W65" s="314">
        <f>+'7.3 PA PY budget_savings'!AA61</f>
        <v>6383027.0310911946</v>
      </c>
      <c r="X65" s="345"/>
      <c r="Y65" s="346">
        <f t="shared" si="73"/>
        <v>0</v>
      </c>
      <c r="Z65" s="347">
        <f t="shared" si="74"/>
        <v>6587283.8960861135</v>
      </c>
      <c r="AA65" s="314">
        <f>+'7.3 PA PY budget_savings'!AG61</f>
        <v>6587283.8960861135</v>
      </c>
      <c r="AB65" s="345"/>
      <c r="AC65" s="346">
        <f t="shared" si="75"/>
        <v>0</v>
      </c>
      <c r="AD65" s="347">
        <f t="shared" si="76"/>
        <v>6798076.9807608668</v>
      </c>
      <c r="AE65" s="314">
        <f>+'7.3 PA PY budget_savings'!AM61</f>
        <v>6798076.9807608668</v>
      </c>
      <c r="AF65" s="345"/>
      <c r="AG65" s="346">
        <f t="shared" si="77"/>
        <v>0</v>
      </c>
      <c r="AH65" s="347">
        <f t="shared" si="78"/>
        <v>7015615.4441452175</v>
      </c>
      <c r="AI65" s="314">
        <f>+'7.3 PA PY budget_savings'!AS61</f>
        <v>7015615.4441452175</v>
      </c>
    </row>
    <row r="66" spans="3:35">
      <c r="C66" s="349" t="s">
        <v>296</v>
      </c>
      <c r="D66" s="350">
        <f>D62</f>
        <v>0</v>
      </c>
      <c r="E66" s="351">
        <f>SUM(E62:E65)</f>
        <v>0</v>
      </c>
      <c r="F66" s="352">
        <f>SUM(F62:F65)</f>
        <v>164144896.37587145</v>
      </c>
      <c r="G66" s="353">
        <f>SUM(G62:G65)</f>
        <v>164144896.37587145</v>
      </c>
      <c r="H66" s="350">
        <f>H62</f>
        <v>0</v>
      </c>
      <c r="I66" s="351">
        <f>SUM(I62:I65)</f>
        <v>0</v>
      </c>
      <c r="J66" s="352">
        <f>SUM(J62:J65)</f>
        <v>166282123.8083314</v>
      </c>
      <c r="K66" s="353">
        <f>SUM(K62:K65)</f>
        <v>166282123.8083314</v>
      </c>
      <c r="L66" s="350">
        <f>L62</f>
        <v>0</v>
      </c>
      <c r="M66" s="351">
        <f>SUM(M62:M65)</f>
        <v>0</v>
      </c>
      <c r="N66" s="352">
        <f>SUM(N62:N65)</f>
        <v>168028589.89851111</v>
      </c>
      <c r="O66" s="353">
        <f>SUM(O62:O65)</f>
        <v>168028589.89851111</v>
      </c>
      <c r="P66" s="350">
        <f>P62</f>
        <v>0</v>
      </c>
      <c r="Q66" s="351">
        <f>SUM(Q62:Q65)</f>
        <v>0</v>
      </c>
      <c r="R66" s="352">
        <f>SUM(R62:R65)</f>
        <v>170627495.92744172</v>
      </c>
      <c r="S66" s="353">
        <f>SUM(S62:S65)</f>
        <v>170627495.92744172</v>
      </c>
      <c r="T66" s="350">
        <f>T62</f>
        <v>0</v>
      </c>
      <c r="U66" s="351">
        <f>SUM(U62:U65)</f>
        <v>0</v>
      </c>
      <c r="V66" s="352">
        <f>SUM(V62:V65)</f>
        <v>174204475.75727984</v>
      </c>
      <c r="W66" s="353">
        <f>SUM(W62:W65)</f>
        <v>174204475.75727984</v>
      </c>
      <c r="X66" s="350">
        <f>X62</f>
        <v>0</v>
      </c>
      <c r="Y66" s="351">
        <f>SUM(Y62:Y65)</f>
        <v>0</v>
      </c>
      <c r="Z66" s="352">
        <f>SUM(Z62:Z65)</f>
        <v>180514699.33215284</v>
      </c>
      <c r="AA66" s="353">
        <f>SUM(AA62:AA65)</f>
        <v>180514699.33215284</v>
      </c>
      <c r="AB66" s="350">
        <f>AB62</f>
        <v>0</v>
      </c>
      <c r="AC66" s="351">
        <f>SUM(AC62:AC65)</f>
        <v>0</v>
      </c>
      <c r="AD66" s="352">
        <f>SUM(AD62:AD65)</f>
        <v>187099640.3190217</v>
      </c>
      <c r="AE66" s="353">
        <f>SUM(AE62:AE65)</f>
        <v>187099640.3190217</v>
      </c>
      <c r="AF66" s="350">
        <f>AF62</f>
        <v>0</v>
      </c>
      <c r="AG66" s="351">
        <f>SUM(AG62:AG65)</f>
        <v>0</v>
      </c>
      <c r="AH66" s="352">
        <f>SUM(AH62:AH65)</f>
        <v>193975341.07363045</v>
      </c>
      <c r="AI66" s="353">
        <f>SUM(AI62:AI65)</f>
        <v>193975341.07363045</v>
      </c>
    </row>
    <row r="67" spans="3:35">
      <c r="C67" s="278"/>
    </row>
    <row r="68" spans="3:35">
      <c r="C68" s="354" t="s">
        <v>297</v>
      </c>
      <c r="D68" s="355"/>
      <c r="E68" s="355"/>
      <c r="F68" s="355"/>
      <c r="G68" s="355"/>
    </row>
    <row r="69" spans="3:35">
      <c r="C69" s="1369" t="s">
        <v>298</v>
      </c>
      <c r="D69" s="1369"/>
      <c r="E69" s="1369"/>
      <c r="F69" s="1369"/>
      <c r="G69" s="265"/>
      <c r="H69" s="265"/>
      <c r="I69" s="265"/>
      <c r="J69" s="265"/>
      <c r="K69" s="265"/>
      <c r="L69" s="265"/>
    </row>
    <row r="70" spans="3:35">
      <c r="C70" s="1369"/>
      <c r="D70" s="1369"/>
      <c r="E70" s="1369"/>
      <c r="F70" s="1369"/>
      <c r="G70" s="265"/>
      <c r="H70" s="265"/>
      <c r="I70" s="265"/>
      <c r="J70" s="265"/>
      <c r="K70" s="265"/>
      <c r="L70" s="265"/>
    </row>
    <row r="71" spans="3:35">
      <c r="C71" s="266" t="s">
        <v>299</v>
      </c>
      <c r="D71" s="266"/>
      <c r="E71" s="266"/>
      <c r="F71" s="266"/>
      <c r="G71" s="267"/>
      <c r="H71" s="267"/>
      <c r="I71" s="267"/>
      <c r="J71" s="267"/>
    </row>
    <row r="72" spans="3:35">
      <c r="C72" s="266" t="s">
        <v>300</v>
      </c>
      <c r="D72" s="266"/>
      <c r="E72" s="266"/>
      <c r="F72" s="266"/>
      <c r="G72" s="267"/>
      <c r="H72" s="267"/>
      <c r="I72" s="267"/>
      <c r="J72" s="267"/>
    </row>
    <row r="73" spans="3:35">
      <c r="C73" s="266" t="s">
        <v>301</v>
      </c>
      <c r="D73" s="266"/>
      <c r="E73" s="266"/>
      <c r="F73" s="266"/>
      <c r="G73" s="267"/>
      <c r="H73" s="267"/>
      <c r="I73" s="267"/>
      <c r="J73" s="267"/>
    </row>
    <row r="74" spans="3:35">
      <c r="C74" s="266" t="s">
        <v>302</v>
      </c>
      <c r="G74" s="267"/>
      <c r="H74" s="356"/>
      <c r="I74" s="356"/>
      <c r="J74" s="356"/>
    </row>
  </sheetData>
  <mergeCells count="43">
    <mergeCell ref="AF59:AI59"/>
    <mergeCell ref="AC60:AE60"/>
    <mergeCell ref="AG60:AI60"/>
    <mergeCell ref="T59:W59"/>
    <mergeCell ref="X59:AA59"/>
    <mergeCell ref="U60:W60"/>
    <mergeCell ref="Y60:AA60"/>
    <mergeCell ref="AB59:AE59"/>
    <mergeCell ref="C69:F70"/>
    <mergeCell ref="L59:O59"/>
    <mergeCell ref="P59:S59"/>
    <mergeCell ref="M60:O60"/>
    <mergeCell ref="Q60:S60"/>
    <mergeCell ref="Y29:AA29"/>
    <mergeCell ref="Y37:AA37"/>
    <mergeCell ref="Y45:AA45"/>
    <mergeCell ref="S29:U29"/>
    <mergeCell ref="S37:U37"/>
    <mergeCell ref="S45:U45"/>
    <mergeCell ref="V29:X29"/>
    <mergeCell ref="V37:X37"/>
    <mergeCell ref="V45:X45"/>
    <mergeCell ref="M29:O29"/>
    <mergeCell ref="M37:O37"/>
    <mergeCell ref="M45:O45"/>
    <mergeCell ref="P29:R29"/>
    <mergeCell ref="P37:R37"/>
    <mergeCell ref="P45:R45"/>
    <mergeCell ref="D6:G6"/>
    <mergeCell ref="H6:K6"/>
    <mergeCell ref="E60:G60"/>
    <mergeCell ref="I60:K60"/>
    <mergeCell ref="D59:G59"/>
    <mergeCell ref="H59:K59"/>
    <mergeCell ref="D29:F29"/>
    <mergeCell ref="G29:I29"/>
    <mergeCell ref="D37:F37"/>
    <mergeCell ref="G37:I37"/>
    <mergeCell ref="D45:F45"/>
    <mergeCell ref="G45:I45"/>
    <mergeCell ref="J29:L29"/>
    <mergeCell ref="J37:L37"/>
    <mergeCell ref="J45:L45"/>
  </mergeCells>
  <phoneticPr fontId="176" type="noConversion"/>
  <pageMargins left="0.7" right="0.7" top="0.75" bottom="0.75" header="0.3" footer="0.3"/>
  <pageSetup paperSize="3" scale="67" fitToWidth="2" fitToHeight="2" pageOrder="overThenDown" orientation="landscape" r:id="rId1"/>
  <rowBreaks count="1" manualBreakCount="1">
    <brk id="57" max="3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B8890-326E-4A85-8BD0-28CA6202FDFE}">
  <sheetPr codeName="Sheet7"/>
  <dimension ref="A1:CH220"/>
  <sheetViews>
    <sheetView showGridLines="0" view="pageBreakPreview" zoomScaleNormal="40" zoomScaleSheetLayoutView="100" workbookViewId="0">
      <pane xSplit="4" ySplit="6" topLeftCell="T196" activePane="bottomRight" state="frozen"/>
      <selection activeCell="A26" sqref="A26"/>
      <selection pane="topRight" activeCell="A26" sqref="A26"/>
      <selection pane="bottomLeft" activeCell="A26" sqref="A26"/>
      <selection pane="bottomRight"/>
    </sheetView>
  </sheetViews>
  <sheetFormatPr defaultColWidth="8" defaultRowHeight="14.25"/>
  <cols>
    <col min="1" max="1" width="11.375" style="357" customWidth="1"/>
    <col min="2" max="2" width="31.25" style="357" customWidth="1"/>
    <col min="3" max="3" width="10.875" style="357" customWidth="1"/>
    <col min="4" max="4" width="52.125" style="357" customWidth="1"/>
    <col min="5" max="5" width="8.375" style="367" customWidth="1"/>
    <col min="6" max="6" width="15.125" style="376" customWidth="1"/>
    <col min="7" max="7" width="17.125" style="367" bestFit="1" customWidth="1"/>
    <col min="8" max="8" width="21.375" style="367" customWidth="1"/>
    <col min="9" max="9" width="17.625" style="357" customWidth="1"/>
    <col min="10" max="10" width="17.625" style="621" customWidth="1"/>
    <col min="11" max="11" width="17.625" style="357" customWidth="1"/>
    <col min="12" max="14" width="13.75" style="622" customWidth="1"/>
    <col min="15" max="18" width="14.625" style="623" customWidth="1"/>
    <col min="19" max="19" width="14.5" style="624" customWidth="1"/>
    <col min="20" max="20" width="14.5" style="625" customWidth="1"/>
    <col min="21" max="21" width="14.625" style="625" customWidth="1"/>
    <col min="22" max="22" width="16.625" style="624" customWidth="1"/>
    <col min="23" max="24" width="14.625" style="627" customWidth="1"/>
    <col min="25" max="25" width="14.625" style="628" customWidth="1"/>
    <col min="26" max="26" width="14.625" style="627" customWidth="1"/>
    <col min="27" max="27" width="14.625" style="628" customWidth="1"/>
    <col min="28" max="28" width="14.625" style="627" customWidth="1"/>
    <col min="29" max="29" width="14.625" style="628" customWidth="1"/>
    <col min="30" max="30" width="14.625" style="627" customWidth="1"/>
    <col min="31" max="31" width="14.625" style="628" customWidth="1"/>
    <col min="32" max="32" width="14.625" style="627" customWidth="1"/>
    <col min="33" max="36" width="14.625" style="629" customWidth="1"/>
    <col min="37" max="38" width="14.375" style="625" customWidth="1"/>
    <col min="39" max="39" width="14.625" style="625" customWidth="1"/>
    <col min="40" max="40" width="16.625" style="625" customWidth="1"/>
    <col min="41" max="44" width="14.625" style="627" customWidth="1"/>
    <col min="45" max="45" width="14.625" style="628" customWidth="1"/>
    <col min="46" max="46" width="14.625" style="627" customWidth="1"/>
    <col min="47" max="47" width="14.625" style="628" customWidth="1"/>
    <col min="48" max="48" width="14.625" style="627" customWidth="1"/>
    <col min="49" max="49" width="14.625" style="628" customWidth="1"/>
    <col min="50" max="50" width="14.625" style="627" customWidth="1"/>
    <col min="51" max="54" width="14.625" style="623" customWidth="1"/>
    <col min="55" max="56" width="15" style="625" customWidth="1"/>
    <col min="57" max="57" width="14.625" style="625" customWidth="1"/>
    <col min="58" max="58" width="16.625" style="625" customWidth="1"/>
    <col min="59" max="60" width="14.625" style="627" customWidth="1"/>
    <col min="61" max="61" width="14.625" style="628" customWidth="1"/>
    <col min="62" max="62" width="14.625" style="627" customWidth="1"/>
    <col min="63" max="63" width="14.625" style="628" customWidth="1"/>
    <col min="64" max="64" width="14.625" style="627" customWidth="1"/>
    <col min="65" max="65" width="14.625" style="628" customWidth="1"/>
    <col min="66" max="66" width="14.625" style="627" customWidth="1"/>
    <col min="67" max="67" width="14.625" style="628" customWidth="1"/>
    <col min="68" max="68" width="14.625" style="627" customWidth="1"/>
    <col min="69" max="72" width="14.625" style="629" customWidth="1"/>
    <col min="73" max="75" width="14.625" style="625" customWidth="1"/>
    <col min="76" max="76" width="16.625" style="625" customWidth="1"/>
    <col min="77" max="78" width="14.625" style="627" customWidth="1"/>
    <col min="79" max="79" width="14.625" style="628" customWidth="1"/>
    <col min="80" max="80" width="14.625" style="627" customWidth="1"/>
    <col min="81" max="81" width="14.625" style="628" customWidth="1"/>
    <col min="82" max="82" width="14.625" style="627" customWidth="1"/>
    <col min="83" max="83" width="14.625" style="628" customWidth="1"/>
    <col min="84" max="84" width="14.625" style="627" customWidth="1"/>
    <col min="85" max="85" width="14.625" style="628" customWidth="1"/>
    <col min="86" max="86" width="14.625" style="627" customWidth="1"/>
    <col min="87" max="16384" width="8" style="357"/>
  </cols>
  <sheetData>
    <row r="1" spans="1:86">
      <c r="A1" s="175" t="s">
        <v>98</v>
      </c>
      <c r="B1" s="176" t="str">
        <f>PA_NAME</f>
        <v>SoCalGas</v>
      </c>
      <c r="D1" s="358"/>
      <c r="E1" s="634"/>
      <c r="F1" s="634"/>
      <c r="G1" s="634"/>
      <c r="H1" s="634"/>
      <c r="I1" s="359"/>
      <c r="J1" s="360"/>
      <c r="K1" s="359"/>
      <c r="L1" s="359"/>
      <c r="M1" s="359"/>
      <c r="N1" s="359"/>
      <c r="O1" s="360"/>
      <c r="P1" s="360"/>
      <c r="Q1" s="360"/>
      <c r="R1" s="360"/>
      <c r="S1" s="361"/>
      <c r="T1" s="362"/>
      <c r="U1" s="359"/>
      <c r="V1" s="361"/>
      <c r="W1" s="359"/>
      <c r="X1" s="359"/>
      <c r="Y1" s="363"/>
      <c r="Z1" s="359"/>
      <c r="AA1" s="363"/>
      <c r="AB1" s="359"/>
      <c r="AC1" s="363"/>
      <c r="AD1" s="359"/>
      <c r="AE1" s="363"/>
      <c r="AF1" s="359"/>
      <c r="AG1" s="364"/>
      <c r="AH1" s="364"/>
      <c r="AI1" s="364"/>
      <c r="AJ1" s="364"/>
      <c r="AK1" s="362"/>
      <c r="AL1" s="362"/>
      <c r="AM1" s="359"/>
      <c r="AN1" s="362"/>
      <c r="AO1" s="359"/>
      <c r="AP1" s="359"/>
      <c r="AQ1" s="359"/>
      <c r="AR1" s="359"/>
      <c r="AS1" s="363"/>
      <c r="AT1" s="359"/>
      <c r="AU1" s="363"/>
      <c r="AV1" s="359"/>
      <c r="AW1" s="363"/>
      <c r="AX1" s="359"/>
      <c r="AY1" s="360"/>
      <c r="AZ1" s="360"/>
      <c r="BA1" s="360"/>
      <c r="BB1" s="360"/>
      <c r="BC1" s="362"/>
      <c r="BD1" s="362"/>
      <c r="BE1" s="359"/>
      <c r="BF1" s="362"/>
      <c r="BG1" s="359"/>
      <c r="BH1" s="359"/>
      <c r="BI1" s="363"/>
      <c r="BJ1" s="359"/>
      <c r="BK1" s="363"/>
      <c r="BL1" s="359"/>
      <c r="BM1" s="363"/>
      <c r="BN1" s="359"/>
      <c r="BO1" s="363"/>
      <c r="BP1" s="359"/>
      <c r="BQ1" s="364"/>
      <c r="BR1" s="364"/>
      <c r="BS1" s="364"/>
      <c r="BT1" s="364"/>
      <c r="BU1" s="362"/>
      <c r="BV1" s="362"/>
      <c r="BW1" s="359"/>
      <c r="BX1" s="362"/>
      <c r="BY1" s="359"/>
      <c r="BZ1" s="359"/>
      <c r="CA1" s="363"/>
      <c r="CB1" s="359"/>
      <c r="CC1" s="363"/>
      <c r="CD1" s="359"/>
      <c r="CE1" s="363"/>
      <c r="CF1" s="359"/>
      <c r="CG1" s="363"/>
      <c r="CH1" s="359"/>
    </row>
    <row r="2" spans="1:86">
      <c r="A2" s="175" t="s">
        <v>99</v>
      </c>
      <c r="B2" s="176" t="s">
        <v>303</v>
      </c>
      <c r="D2" s="365"/>
      <c r="E2" s="376"/>
      <c r="F2" s="366"/>
      <c r="I2" s="365"/>
      <c r="J2" s="368"/>
      <c r="K2" s="365"/>
      <c r="L2" s="369"/>
      <c r="M2" s="369"/>
      <c r="N2" s="369"/>
      <c r="O2" s="370"/>
      <c r="P2" s="370"/>
      <c r="Q2" s="370"/>
      <c r="R2" s="370"/>
      <c r="S2" s="361"/>
      <c r="T2" s="362"/>
      <c r="U2" s="362"/>
      <c r="V2" s="361"/>
      <c r="W2" s="371"/>
      <c r="X2" s="371"/>
      <c r="Y2" s="372"/>
      <c r="Z2" s="371"/>
      <c r="AA2" s="372"/>
      <c r="AB2" s="371"/>
      <c r="AC2" s="372"/>
      <c r="AD2" s="371"/>
      <c r="AE2" s="372"/>
      <c r="AF2" s="371"/>
      <c r="AG2" s="373"/>
      <c r="AH2" s="373"/>
      <c r="AI2" s="373"/>
      <c r="AJ2" s="373"/>
      <c r="AK2" s="362"/>
      <c r="AL2" s="362"/>
      <c r="AM2" s="362"/>
      <c r="AN2" s="362"/>
      <c r="AO2" s="371"/>
      <c r="AP2" s="371"/>
      <c r="AQ2" s="371"/>
      <c r="AR2" s="371"/>
      <c r="AS2" s="372"/>
      <c r="AT2" s="371"/>
      <c r="AU2" s="372"/>
      <c r="AV2" s="371"/>
      <c r="AW2" s="372"/>
      <c r="AX2" s="371"/>
      <c r="AY2" s="370"/>
      <c r="AZ2" s="370"/>
      <c r="BA2" s="370"/>
      <c r="BB2" s="370"/>
      <c r="BC2" s="362"/>
      <c r="BD2" s="362"/>
      <c r="BE2" s="362"/>
      <c r="BF2" s="362"/>
      <c r="BG2" s="371"/>
      <c r="BH2" s="371"/>
      <c r="BI2" s="372"/>
      <c r="BJ2" s="371"/>
      <c r="BK2" s="372"/>
      <c r="BL2" s="371"/>
      <c r="BM2" s="372"/>
      <c r="BN2" s="371"/>
      <c r="BO2" s="372"/>
      <c r="BP2" s="371"/>
      <c r="BQ2" s="373"/>
      <c r="BR2" s="373"/>
      <c r="BS2" s="373"/>
      <c r="BT2" s="373"/>
      <c r="BU2" s="362"/>
      <c r="BV2" s="362"/>
      <c r="BW2" s="362"/>
      <c r="BX2" s="362"/>
      <c r="BY2" s="371"/>
      <c r="BZ2" s="371"/>
      <c r="CA2" s="372"/>
      <c r="CB2" s="371"/>
      <c r="CC2" s="372"/>
      <c r="CD2" s="371"/>
      <c r="CE2" s="372"/>
      <c r="CF2" s="371"/>
      <c r="CG2" s="372"/>
      <c r="CH2" s="371"/>
    </row>
    <row r="3" spans="1:86">
      <c r="A3" s="374"/>
      <c r="B3" s="375"/>
      <c r="C3" s="375"/>
      <c r="D3" s="365"/>
      <c r="E3" s="376"/>
      <c r="I3" s="365"/>
      <c r="J3" s="368"/>
      <c r="K3" s="377"/>
      <c r="L3" s="369"/>
      <c r="M3" s="369"/>
      <c r="N3" s="369"/>
      <c r="O3" s="378"/>
      <c r="P3" s="378"/>
      <c r="Q3" s="378"/>
      <c r="R3" s="378"/>
      <c r="S3" s="361"/>
      <c r="T3" s="362"/>
      <c r="U3" s="362"/>
      <c r="V3" s="361"/>
      <c r="W3" s="379"/>
      <c r="X3" s="379"/>
      <c r="Y3" s="380"/>
      <c r="Z3" s="379"/>
      <c r="AA3" s="380"/>
      <c r="AB3" s="379"/>
      <c r="AC3" s="380"/>
      <c r="AD3" s="379"/>
      <c r="AE3" s="380"/>
      <c r="AF3" s="379"/>
      <c r="AG3" s="381"/>
      <c r="AH3" s="381"/>
      <c r="AI3" s="381"/>
      <c r="AJ3" s="381"/>
      <c r="AK3" s="362"/>
      <c r="AL3" s="362"/>
      <c r="AM3" s="362"/>
      <c r="AN3" s="362"/>
      <c r="AO3" s="379"/>
      <c r="AP3" s="379"/>
      <c r="AQ3" s="379"/>
      <c r="AR3" s="379"/>
      <c r="AS3" s="380"/>
      <c r="AT3" s="379"/>
      <c r="AU3" s="380"/>
      <c r="AV3" s="379"/>
      <c r="AW3" s="380"/>
      <c r="AX3" s="379"/>
      <c r="AY3" s="378"/>
      <c r="AZ3" s="378"/>
      <c r="BA3" s="378"/>
      <c r="BB3" s="378"/>
      <c r="BC3" s="362"/>
      <c r="BD3" s="362"/>
      <c r="BE3" s="362"/>
      <c r="BF3" s="362"/>
      <c r="BG3" s="379"/>
      <c r="BH3" s="379"/>
      <c r="BI3" s="380"/>
      <c r="BJ3" s="379"/>
      <c r="BK3" s="380"/>
      <c r="BL3" s="379"/>
      <c r="BM3" s="380"/>
      <c r="BN3" s="379"/>
      <c r="BO3" s="380"/>
      <c r="BP3" s="379"/>
      <c r="BQ3" s="381"/>
      <c r="BR3" s="381"/>
      <c r="BS3" s="381"/>
      <c r="BT3" s="381"/>
      <c r="BU3" s="362"/>
      <c r="BV3" s="362"/>
      <c r="BW3" s="362"/>
      <c r="BX3" s="362"/>
      <c r="BY3" s="379"/>
      <c r="BZ3" s="379"/>
      <c r="CA3" s="380"/>
      <c r="CB3" s="379"/>
      <c r="CC3" s="380"/>
      <c r="CD3" s="379"/>
      <c r="CE3" s="380"/>
      <c r="CF3" s="379"/>
      <c r="CG3" s="380"/>
      <c r="CH3" s="379"/>
    </row>
    <row r="4" spans="1:86">
      <c r="A4" s="382" t="s">
        <v>304</v>
      </c>
      <c r="C4" s="382"/>
      <c r="J4" s="368"/>
      <c r="K4" s="377"/>
      <c r="L4" s="383"/>
      <c r="M4" s="383"/>
      <c r="N4" s="383"/>
      <c r="O4" s="384"/>
      <c r="P4" s="384"/>
      <c r="Q4" s="384"/>
      <c r="R4" s="384"/>
      <c r="S4" s="385"/>
      <c r="T4" s="386"/>
      <c r="U4" s="386"/>
      <c r="V4" s="385"/>
      <c r="W4" s="387"/>
      <c r="X4" s="387"/>
      <c r="Y4" s="388"/>
      <c r="Z4" s="387"/>
      <c r="AA4" s="388"/>
      <c r="AB4" s="387"/>
      <c r="AC4" s="388"/>
      <c r="AD4" s="387"/>
      <c r="AE4" s="388"/>
      <c r="AF4" s="387"/>
      <c r="AG4" s="389"/>
      <c r="AH4" s="389"/>
      <c r="AI4" s="389"/>
      <c r="AJ4" s="389"/>
      <c r="AK4" s="386"/>
      <c r="AL4" s="386"/>
      <c r="AM4" s="386"/>
      <c r="AN4" s="390"/>
      <c r="AO4" s="387"/>
      <c r="AP4" s="387"/>
      <c r="AQ4" s="387"/>
      <c r="AR4" s="387"/>
      <c r="AS4" s="388"/>
      <c r="AT4" s="387"/>
      <c r="AU4" s="388"/>
      <c r="AV4" s="387"/>
      <c r="AW4" s="388"/>
      <c r="AX4" s="387"/>
      <c r="AY4" s="384"/>
      <c r="AZ4" s="384"/>
      <c r="BA4" s="384"/>
      <c r="BB4" s="384"/>
      <c r="BC4" s="386"/>
      <c r="BD4" s="386"/>
      <c r="BE4" s="386"/>
      <c r="BF4" s="390"/>
      <c r="BG4" s="387"/>
      <c r="BH4" s="387"/>
      <c r="BI4" s="388"/>
      <c r="BJ4" s="387"/>
      <c r="BK4" s="388"/>
      <c r="BL4" s="387"/>
      <c r="BM4" s="388"/>
      <c r="BN4" s="387"/>
      <c r="BO4" s="388"/>
      <c r="BP4" s="387"/>
      <c r="BQ4" s="389"/>
      <c r="BR4" s="389"/>
      <c r="BS4" s="389"/>
      <c r="BT4" s="389"/>
      <c r="BU4" s="386"/>
      <c r="BV4" s="386"/>
      <c r="BW4" s="386"/>
      <c r="BX4" s="390"/>
      <c r="BY4" s="387"/>
      <c r="BZ4" s="387"/>
      <c r="CA4" s="388"/>
      <c r="CB4" s="387"/>
      <c r="CC4" s="388"/>
      <c r="CD4" s="387"/>
      <c r="CE4" s="388"/>
      <c r="CF4" s="387"/>
      <c r="CG4" s="388"/>
      <c r="CH4" s="387"/>
    </row>
    <row r="5" spans="1:86" s="365" customFormat="1" ht="16.350000000000001" customHeight="1" thickBot="1">
      <c r="B5" s="391"/>
      <c r="C5" s="392"/>
      <c r="D5" s="392"/>
      <c r="E5" s="1370"/>
      <c r="F5" s="1371"/>
      <c r="G5" s="1371"/>
      <c r="H5" s="1372"/>
      <c r="I5" s="392"/>
      <c r="J5" s="368"/>
      <c r="K5" s="377"/>
      <c r="L5" s="393"/>
      <c r="M5" s="393"/>
      <c r="N5" s="393"/>
      <c r="O5" s="1373">
        <v>2024</v>
      </c>
      <c r="P5" s="1374"/>
      <c r="Q5" s="1374"/>
      <c r="R5" s="1374"/>
      <c r="S5" s="1374"/>
      <c r="T5" s="1374"/>
      <c r="U5" s="1374"/>
      <c r="V5" s="1374"/>
      <c r="W5" s="1374"/>
      <c r="X5" s="1374"/>
      <c r="Y5" s="1374"/>
      <c r="Z5" s="1374"/>
      <c r="AA5" s="1374"/>
      <c r="AB5" s="1374"/>
      <c r="AC5" s="1374"/>
      <c r="AD5" s="1374"/>
      <c r="AE5" s="1374"/>
      <c r="AF5" s="1375"/>
      <c r="AG5" s="1373">
        <v>2025</v>
      </c>
      <c r="AH5" s="1374"/>
      <c r="AI5" s="1374"/>
      <c r="AJ5" s="1374"/>
      <c r="AK5" s="1374"/>
      <c r="AL5" s="1374"/>
      <c r="AM5" s="1374"/>
      <c r="AN5" s="1374"/>
      <c r="AO5" s="1374"/>
      <c r="AP5" s="1374"/>
      <c r="AQ5" s="1374"/>
      <c r="AR5" s="1374"/>
      <c r="AS5" s="1374"/>
      <c r="AT5" s="1374"/>
      <c r="AU5" s="1374"/>
      <c r="AV5" s="1374"/>
      <c r="AW5" s="1374"/>
      <c r="AX5" s="1375"/>
      <c r="AY5" s="1373">
        <v>2026</v>
      </c>
      <c r="AZ5" s="1374"/>
      <c r="BA5" s="1374"/>
      <c r="BB5" s="1374"/>
      <c r="BC5" s="1374"/>
      <c r="BD5" s="1374"/>
      <c r="BE5" s="1374"/>
      <c r="BF5" s="1374"/>
      <c r="BG5" s="1374"/>
      <c r="BH5" s="1374"/>
      <c r="BI5" s="1374"/>
      <c r="BJ5" s="1374"/>
      <c r="BK5" s="1374"/>
      <c r="BL5" s="1374"/>
      <c r="BM5" s="1374"/>
      <c r="BN5" s="1374"/>
      <c r="BO5" s="1376"/>
      <c r="BP5" s="1375"/>
      <c r="BQ5" s="1373">
        <v>2027</v>
      </c>
      <c r="BR5" s="1374"/>
      <c r="BS5" s="1374"/>
      <c r="BT5" s="1374"/>
      <c r="BU5" s="1374"/>
      <c r="BV5" s="1374"/>
      <c r="BW5" s="1374"/>
      <c r="BX5" s="1374"/>
      <c r="BY5" s="1374"/>
      <c r="BZ5" s="1374"/>
      <c r="CA5" s="1376"/>
      <c r="CB5" s="1374"/>
      <c r="CC5" s="1376"/>
      <c r="CD5" s="1374"/>
      <c r="CE5" s="1376"/>
      <c r="CF5" s="1374"/>
      <c r="CG5" s="1376"/>
      <c r="CH5" s="1375"/>
    </row>
    <row r="6" spans="1:86" s="406" customFormat="1" ht="93.6" customHeight="1">
      <c r="A6" s="394"/>
      <c r="B6" s="395" t="s">
        <v>305</v>
      </c>
      <c r="C6" s="396" t="s">
        <v>306</v>
      </c>
      <c r="D6" s="397" t="s">
        <v>307</v>
      </c>
      <c r="E6" s="396" t="s">
        <v>10</v>
      </c>
      <c r="F6" s="396" t="s">
        <v>11</v>
      </c>
      <c r="G6" s="396" t="s">
        <v>308</v>
      </c>
      <c r="H6" s="396" t="s">
        <v>13</v>
      </c>
      <c r="I6" s="396" t="s">
        <v>309</v>
      </c>
      <c r="J6" s="398" t="s">
        <v>310</v>
      </c>
      <c r="K6" s="396" t="s">
        <v>311</v>
      </c>
      <c r="L6" s="396" t="s">
        <v>312</v>
      </c>
      <c r="M6" s="396" t="s">
        <v>313</v>
      </c>
      <c r="N6" s="396" t="s">
        <v>314</v>
      </c>
      <c r="O6" s="399" t="s">
        <v>315</v>
      </c>
      <c r="P6" s="400" t="s">
        <v>316</v>
      </c>
      <c r="Q6" s="400" t="s">
        <v>317</v>
      </c>
      <c r="R6" s="400" t="s">
        <v>318</v>
      </c>
      <c r="S6" s="398" t="s">
        <v>319</v>
      </c>
      <c r="T6" s="396" t="s">
        <v>320</v>
      </c>
      <c r="U6" s="396" t="s">
        <v>321</v>
      </c>
      <c r="V6" s="398" t="s">
        <v>322</v>
      </c>
      <c r="W6" s="401" t="s">
        <v>323</v>
      </c>
      <c r="X6" s="401" t="s">
        <v>324</v>
      </c>
      <c r="Y6" s="402" t="s">
        <v>325</v>
      </c>
      <c r="Z6" s="401" t="s">
        <v>326</v>
      </c>
      <c r="AA6" s="402" t="s">
        <v>327</v>
      </c>
      <c r="AB6" s="401" t="s">
        <v>328</v>
      </c>
      <c r="AC6" s="402" t="s">
        <v>329</v>
      </c>
      <c r="AD6" s="401" t="s">
        <v>330</v>
      </c>
      <c r="AE6" s="402" t="s">
        <v>331</v>
      </c>
      <c r="AF6" s="401" t="s">
        <v>332</v>
      </c>
      <c r="AG6" s="403" t="s">
        <v>315</v>
      </c>
      <c r="AH6" s="404" t="s">
        <v>316</v>
      </c>
      <c r="AI6" s="404" t="s">
        <v>317</v>
      </c>
      <c r="AJ6" s="404" t="s">
        <v>333</v>
      </c>
      <c r="AK6" s="396" t="s">
        <v>334</v>
      </c>
      <c r="AL6" s="396" t="s">
        <v>320</v>
      </c>
      <c r="AM6" s="396" t="s">
        <v>321</v>
      </c>
      <c r="AN6" s="396" t="s">
        <v>335</v>
      </c>
      <c r="AO6" s="401" t="s">
        <v>323</v>
      </c>
      <c r="AP6" s="401" t="s">
        <v>324</v>
      </c>
      <c r="AQ6" s="401" t="s">
        <v>325</v>
      </c>
      <c r="AR6" s="401" t="s">
        <v>326</v>
      </c>
      <c r="AS6" s="402" t="s">
        <v>327</v>
      </c>
      <c r="AT6" s="401" t="s">
        <v>328</v>
      </c>
      <c r="AU6" s="402" t="s">
        <v>329</v>
      </c>
      <c r="AV6" s="401" t="s">
        <v>330</v>
      </c>
      <c r="AW6" s="402" t="s">
        <v>331</v>
      </c>
      <c r="AX6" s="401" t="s">
        <v>332</v>
      </c>
      <c r="AY6" s="405" t="s">
        <v>315</v>
      </c>
      <c r="AZ6" s="400" t="s">
        <v>316</v>
      </c>
      <c r="BA6" s="400" t="s">
        <v>317</v>
      </c>
      <c r="BB6" s="400" t="s">
        <v>333</v>
      </c>
      <c r="BC6" s="396" t="s">
        <v>336</v>
      </c>
      <c r="BD6" s="396" t="s">
        <v>320</v>
      </c>
      <c r="BE6" s="396" t="s">
        <v>321</v>
      </c>
      <c r="BF6" s="396" t="s">
        <v>337</v>
      </c>
      <c r="BG6" s="401" t="s">
        <v>323</v>
      </c>
      <c r="BH6" s="401" t="s">
        <v>324</v>
      </c>
      <c r="BI6" s="402" t="s">
        <v>325</v>
      </c>
      <c r="BJ6" s="401" t="s">
        <v>326</v>
      </c>
      <c r="BK6" s="402" t="s">
        <v>327</v>
      </c>
      <c r="BL6" s="401" t="s">
        <v>328</v>
      </c>
      <c r="BM6" s="402" t="s">
        <v>329</v>
      </c>
      <c r="BN6" s="401" t="s">
        <v>330</v>
      </c>
      <c r="BO6" s="402" t="s">
        <v>331</v>
      </c>
      <c r="BP6" s="401" t="s">
        <v>332</v>
      </c>
      <c r="BQ6" s="403" t="s">
        <v>315</v>
      </c>
      <c r="BR6" s="404" t="s">
        <v>316</v>
      </c>
      <c r="BS6" s="404" t="s">
        <v>317</v>
      </c>
      <c r="BT6" s="404" t="s">
        <v>333</v>
      </c>
      <c r="BU6" s="396" t="s">
        <v>338</v>
      </c>
      <c r="BV6" s="396" t="s">
        <v>320</v>
      </c>
      <c r="BW6" s="396" t="s">
        <v>321</v>
      </c>
      <c r="BX6" s="396" t="s">
        <v>339</v>
      </c>
      <c r="BY6" s="401" t="s">
        <v>323</v>
      </c>
      <c r="BZ6" s="401" t="s">
        <v>324</v>
      </c>
      <c r="CA6" s="402" t="s">
        <v>325</v>
      </c>
      <c r="CB6" s="401" t="s">
        <v>326</v>
      </c>
      <c r="CC6" s="402" t="s">
        <v>327</v>
      </c>
      <c r="CD6" s="401" t="s">
        <v>328</v>
      </c>
      <c r="CE6" s="402" t="s">
        <v>329</v>
      </c>
      <c r="CF6" s="401" t="s">
        <v>330</v>
      </c>
      <c r="CG6" s="402" t="s">
        <v>331</v>
      </c>
      <c r="CH6" s="401" t="s">
        <v>332</v>
      </c>
    </row>
    <row r="7" spans="1:86" s="365" customFormat="1">
      <c r="A7" s="407" t="str">
        <f>CONCATENATE(G7,H7)</f>
        <v>AgriculturalMarket Support</v>
      </c>
      <c r="B7" s="408" t="s">
        <v>340</v>
      </c>
      <c r="C7" s="409"/>
      <c r="D7" s="410" t="s">
        <v>341</v>
      </c>
      <c r="E7" s="635" t="s">
        <v>20</v>
      </c>
      <c r="F7" s="411" t="s">
        <v>16</v>
      </c>
      <c r="G7" s="411" t="s">
        <v>27</v>
      </c>
      <c r="H7" s="412" t="s">
        <v>23</v>
      </c>
      <c r="I7" s="413"/>
      <c r="J7" s="414"/>
      <c r="K7" s="414"/>
      <c r="L7" s="414"/>
      <c r="M7" s="414">
        <v>2000</v>
      </c>
      <c r="N7" s="414">
        <v>2500</v>
      </c>
      <c r="O7" s="415">
        <v>417.79280000317431</v>
      </c>
      <c r="P7" s="414">
        <v>0</v>
      </c>
      <c r="Q7" s="414">
        <v>8857.4564808593586</v>
      </c>
      <c r="R7" s="414">
        <v>0</v>
      </c>
      <c r="S7" s="416">
        <f t="shared" ref="S7:S38" si="0">SUM(O7:R7)</f>
        <v>9275.249280862532</v>
      </c>
      <c r="T7" s="417">
        <f>(S7-N7)/N7</f>
        <v>2.7100997123450128</v>
      </c>
      <c r="U7" s="418"/>
      <c r="V7" s="419">
        <f t="shared" ref="V7:V38" si="1">S7+U7</f>
        <v>9275.249280862532</v>
      </c>
      <c r="W7" s="420">
        <v>0</v>
      </c>
      <c r="X7" s="420">
        <v>0</v>
      </c>
      <c r="Y7" s="420">
        <v>0</v>
      </c>
      <c r="Z7" s="420">
        <v>0</v>
      </c>
      <c r="AA7" s="420">
        <v>0</v>
      </c>
      <c r="AB7" s="420">
        <v>0</v>
      </c>
      <c r="AC7" s="420">
        <v>0</v>
      </c>
      <c r="AD7" s="420">
        <v>0</v>
      </c>
      <c r="AE7" s="420">
        <v>0</v>
      </c>
      <c r="AF7" s="421" t="s">
        <v>342</v>
      </c>
      <c r="AG7" s="422">
        <v>434.47361238493414</v>
      </c>
      <c r="AH7" s="423">
        <v>0</v>
      </c>
      <c r="AI7" s="423">
        <v>9034.5752234313659</v>
      </c>
      <c r="AJ7" s="423">
        <v>0</v>
      </c>
      <c r="AK7" s="424">
        <f t="shared" ref="AK7:AK38" si="2">SUM(AG7:AJ7)</f>
        <v>9469.0488358163002</v>
      </c>
      <c r="AL7" s="417">
        <f>(AK7-S7)/S7</f>
        <v>2.0894269154968326E-2</v>
      </c>
      <c r="AM7" s="418"/>
      <c r="AN7" s="424">
        <f t="shared" ref="AN7:AN38" si="3">AK7+AM7</f>
        <v>9469.0488358163002</v>
      </c>
      <c r="AO7" s="425">
        <v>0</v>
      </c>
      <c r="AP7" s="425">
        <v>0</v>
      </c>
      <c r="AQ7" s="425">
        <v>0</v>
      </c>
      <c r="AR7" s="425">
        <v>0</v>
      </c>
      <c r="AS7" s="425">
        <v>0</v>
      </c>
      <c r="AT7" s="425">
        <v>0</v>
      </c>
      <c r="AU7" s="425">
        <v>0</v>
      </c>
      <c r="AV7" s="426">
        <v>0</v>
      </c>
      <c r="AW7" s="426">
        <v>0</v>
      </c>
      <c r="AX7" s="421" t="s">
        <v>343</v>
      </c>
      <c r="AY7" s="427">
        <v>448.94561878795878</v>
      </c>
      <c r="AZ7" s="414">
        <v>0</v>
      </c>
      <c r="BA7" s="414">
        <v>9238.8009833977449</v>
      </c>
      <c r="BB7" s="414">
        <v>0</v>
      </c>
      <c r="BC7" s="424">
        <f t="shared" ref="BC7:BC70" si="4">SUM(AY7:BB7)</f>
        <v>9687.7466021857035</v>
      </c>
      <c r="BD7" s="417">
        <f>(BC7-AK7)/AK7</f>
        <v>2.3096064891141729E-2</v>
      </c>
      <c r="BE7" s="418"/>
      <c r="BF7" s="424">
        <f t="shared" ref="BF7:BF70" si="5">BC7+BE7</f>
        <v>9687.7466021857035</v>
      </c>
      <c r="BG7" s="425">
        <v>0</v>
      </c>
      <c r="BH7" s="425">
        <v>0</v>
      </c>
      <c r="BI7" s="425">
        <v>0</v>
      </c>
      <c r="BJ7" s="425">
        <v>0</v>
      </c>
      <c r="BK7" s="425">
        <v>0</v>
      </c>
      <c r="BL7" s="425">
        <v>0</v>
      </c>
      <c r="BM7" s="425">
        <v>0</v>
      </c>
      <c r="BN7" s="426">
        <v>0</v>
      </c>
      <c r="BO7" s="426">
        <v>0</v>
      </c>
      <c r="BP7" s="421" t="s">
        <v>343</v>
      </c>
      <c r="BQ7" s="422">
        <v>476.51656250196675</v>
      </c>
      <c r="BR7" s="423">
        <v>0</v>
      </c>
      <c r="BS7" s="423">
        <v>9457.4277104737394</v>
      </c>
      <c r="BT7" s="423">
        <v>0</v>
      </c>
      <c r="BU7" s="424">
        <f t="shared" ref="BU7:BU70" si="6">SUM(BQ7:BT7)</f>
        <v>9933.9442729757066</v>
      </c>
      <c r="BV7" s="417">
        <f>(BU7-BC7)/BC7</f>
        <v>2.5413306200066904E-2</v>
      </c>
      <c r="BW7" s="418"/>
      <c r="BX7" s="424">
        <f t="shared" ref="BX7:BX70" si="7">BU7+BW7</f>
        <v>9933.9442729757066</v>
      </c>
      <c r="BY7" s="425">
        <v>0</v>
      </c>
      <c r="BZ7" s="425">
        <v>0</v>
      </c>
      <c r="CA7" s="425">
        <v>0</v>
      </c>
      <c r="CB7" s="425">
        <v>0</v>
      </c>
      <c r="CC7" s="425">
        <v>0</v>
      </c>
      <c r="CD7" s="425">
        <v>0</v>
      </c>
      <c r="CE7" s="425">
        <v>0</v>
      </c>
      <c r="CF7" s="426">
        <v>0</v>
      </c>
      <c r="CG7" s="426">
        <v>0</v>
      </c>
      <c r="CH7" s="421" t="s">
        <v>343</v>
      </c>
    </row>
    <row r="8" spans="1:86" s="365" customFormat="1">
      <c r="A8" s="407" t="str">
        <f t="shared" ref="A8:A71" si="8">CONCATENATE(G8,H8)</f>
        <v>Codes &amp; StandardsCodes &amp; Standards</v>
      </c>
      <c r="B8" s="408" t="s">
        <v>344</v>
      </c>
      <c r="C8" s="409"/>
      <c r="D8" s="410" t="s">
        <v>345</v>
      </c>
      <c r="E8" s="635" t="s">
        <v>15</v>
      </c>
      <c r="F8" s="411" t="s">
        <v>16</v>
      </c>
      <c r="G8" s="411" t="s">
        <v>28</v>
      </c>
      <c r="H8" s="412" t="s">
        <v>28</v>
      </c>
      <c r="I8" s="428"/>
      <c r="J8" s="414">
        <v>2507.34</v>
      </c>
      <c r="K8" s="414"/>
      <c r="L8" s="414"/>
      <c r="M8" s="414">
        <v>2000</v>
      </c>
      <c r="N8" s="414">
        <v>2300</v>
      </c>
      <c r="O8" s="429">
        <v>0</v>
      </c>
      <c r="P8" s="430">
        <v>0</v>
      </c>
      <c r="Q8" s="430">
        <v>0</v>
      </c>
      <c r="R8" s="430">
        <v>0</v>
      </c>
      <c r="S8" s="419">
        <f t="shared" si="0"/>
        <v>0</v>
      </c>
      <c r="T8" s="417">
        <f t="shared" ref="T8:T71" si="9">(S8-N8)/N8</f>
        <v>-1</v>
      </c>
      <c r="U8" s="418"/>
      <c r="V8" s="419">
        <f t="shared" si="1"/>
        <v>0</v>
      </c>
      <c r="W8" s="420">
        <v>0</v>
      </c>
      <c r="X8" s="420">
        <v>0</v>
      </c>
      <c r="Y8" s="420">
        <v>0</v>
      </c>
      <c r="Z8" s="420">
        <v>0</v>
      </c>
      <c r="AA8" s="420">
        <v>0</v>
      </c>
      <c r="AB8" s="420">
        <v>0</v>
      </c>
      <c r="AC8" s="420">
        <v>0</v>
      </c>
      <c r="AD8" s="420">
        <v>0</v>
      </c>
      <c r="AE8" s="420">
        <v>0</v>
      </c>
      <c r="AF8" s="431" t="s">
        <v>342</v>
      </c>
      <c r="AG8" s="432">
        <v>0</v>
      </c>
      <c r="AH8" s="433">
        <v>0</v>
      </c>
      <c r="AI8" s="433">
        <v>0</v>
      </c>
      <c r="AJ8" s="433">
        <v>0</v>
      </c>
      <c r="AK8" s="424">
        <f t="shared" si="2"/>
        <v>0</v>
      </c>
      <c r="AL8" s="417" t="e">
        <f t="shared" ref="AL8:AL71" si="10">(AK8-S8)/S8</f>
        <v>#DIV/0!</v>
      </c>
      <c r="AM8" s="418"/>
      <c r="AN8" s="424">
        <f t="shared" si="3"/>
        <v>0</v>
      </c>
      <c r="AO8" s="434">
        <v>0</v>
      </c>
      <c r="AP8" s="434">
        <v>0</v>
      </c>
      <c r="AQ8" s="434">
        <v>0</v>
      </c>
      <c r="AR8" s="434">
        <v>0</v>
      </c>
      <c r="AS8" s="434">
        <v>0</v>
      </c>
      <c r="AT8" s="434">
        <v>0</v>
      </c>
      <c r="AU8" s="434">
        <v>0</v>
      </c>
      <c r="AV8" s="435">
        <v>0</v>
      </c>
      <c r="AW8" s="435">
        <v>0</v>
      </c>
      <c r="AX8" s="431" t="s">
        <v>343</v>
      </c>
      <c r="AY8" s="436">
        <v>0</v>
      </c>
      <c r="AZ8" s="430">
        <v>0</v>
      </c>
      <c r="BA8" s="430">
        <v>0</v>
      </c>
      <c r="BB8" s="430">
        <v>0</v>
      </c>
      <c r="BC8" s="424">
        <f t="shared" si="4"/>
        <v>0</v>
      </c>
      <c r="BD8" s="417" t="e">
        <f t="shared" ref="BD8:BD71" si="11">(BC8-AK8)/AK8</f>
        <v>#DIV/0!</v>
      </c>
      <c r="BE8" s="418"/>
      <c r="BF8" s="424">
        <f t="shared" si="5"/>
        <v>0</v>
      </c>
      <c r="BG8" s="425">
        <v>0</v>
      </c>
      <c r="BH8" s="425">
        <v>0</v>
      </c>
      <c r="BI8" s="425">
        <v>0</v>
      </c>
      <c r="BJ8" s="425">
        <v>0</v>
      </c>
      <c r="BK8" s="425">
        <v>0</v>
      </c>
      <c r="BL8" s="425">
        <v>0</v>
      </c>
      <c r="BM8" s="425">
        <v>0</v>
      </c>
      <c r="BN8" s="426">
        <v>0</v>
      </c>
      <c r="BO8" s="426">
        <v>0</v>
      </c>
      <c r="BP8" s="431" t="s">
        <v>343</v>
      </c>
      <c r="BQ8" s="432">
        <v>0</v>
      </c>
      <c r="BR8" s="433">
        <v>0</v>
      </c>
      <c r="BS8" s="433">
        <v>0</v>
      </c>
      <c r="BT8" s="433">
        <v>0</v>
      </c>
      <c r="BU8" s="424">
        <f t="shared" si="6"/>
        <v>0</v>
      </c>
      <c r="BV8" s="417" t="e">
        <f t="shared" ref="BV8:BV71" si="12">(BU8-BC8)/BC8</f>
        <v>#DIV/0!</v>
      </c>
      <c r="BW8" s="418"/>
      <c r="BX8" s="424">
        <f t="shared" si="7"/>
        <v>0</v>
      </c>
      <c r="BY8" s="434">
        <v>0</v>
      </c>
      <c r="BZ8" s="434">
        <v>0</v>
      </c>
      <c r="CA8" s="434">
        <v>0</v>
      </c>
      <c r="CB8" s="434">
        <v>0</v>
      </c>
      <c r="CC8" s="434">
        <v>0</v>
      </c>
      <c r="CD8" s="434">
        <v>0</v>
      </c>
      <c r="CE8" s="434">
        <v>0</v>
      </c>
      <c r="CF8" s="435">
        <v>0</v>
      </c>
      <c r="CG8" s="435">
        <v>0</v>
      </c>
      <c r="CH8" s="431" t="s">
        <v>343</v>
      </c>
    </row>
    <row r="9" spans="1:86" s="365" customFormat="1">
      <c r="A9" s="407" t="str">
        <f t="shared" si="8"/>
        <v>Codes &amp; StandardsCodes &amp; Standards</v>
      </c>
      <c r="B9" s="437" t="s">
        <v>346</v>
      </c>
      <c r="C9" s="438"/>
      <c r="D9" s="439" t="s">
        <v>347</v>
      </c>
      <c r="E9" s="635" t="s">
        <v>15</v>
      </c>
      <c r="F9" s="411" t="s">
        <v>16</v>
      </c>
      <c r="G9" s="411" t="s">
        <v>28</v>
      </c>
      <c r="H9" s="412" t="s">
        <v>28</v>
      </c>
      <c r="I9" s="413"/>
      <c r="J9" s="414">
        <v>1552.63</v>
      </c>
      <c r="K9" s="414"/>
      <c r="L9" s="414"/>
      <c r="M9" s="414">
        <v>2000</v>
      </c>
      <c r="N9" s="414">
        <v>2300</v>
      </c>
      <c r="O9" s="440">
        <v>0</v>
      </c>
      <c r="P9" s="441">
        <v>0</v>
      </c>
      <c r="Q9" s="441">
        <v>0</v>
      </c>
      <c r="R9" s="441">
        <v>0</v>
      </c>
      <c r="S9" s="416">
        <f t="shared" si="0"/>
        <v>0</v>
      </c>
      <c r="T9" s="417">
        <f t="shared" si="9"/>
        <v>-1</v>
      </c>
      <c r="U9" s="442"/>
      <c r="V9" s="419">
        <f t="shared" si="1"/>
        <v>0</v>
      </c>
      <c r="W9" s="420">
        <v>0</v>
      </c>
      <c r="X9" s="420">
        <v>0</v>
      </c>
      <c r="Y9" s="420">
        <v>0</v>
      </c>
      <c r="Z9" s="420">
        <v>0</v>
      </c>
      <c r="AA9" s="420">
        <v>0</v>
      </c>
      <c r="AB9" s="420">
        <v>0</v>
      </c>
      <c r="AC9" s="420">
        <v>0</v>
      </c>
      <c r="AD9" s="420">
        <v>0</v>
      </c>
      <c r="AE9" s="420">
        <v>0</v>
      </c>
      <c r="AF9" s="421" t="s">
        <v>342</v>
      </c>
      <c r="AG9" s="422">
        <v>0</v>
      </c>
      <c r="AH9" s="423">
        <v>0</v>
      </c>
      <c r="AI9" s="423">
        <v>0</v>
      </c>
      <c r="AJ9" s="423">
        <v>0</v>
      </c>
      <c r="AK9" s="424">
        <f t="shared" si="2"/>
        <v>0</v>
      </c>
      <c r="AL9" s="417" t="e">
        <f t="shared" si="10"/>
        <v>#DIV/0!</v>
      </c>
      <c r="AM9" s="442"/>
      <c r="AN9" s="424">
        <f t="shared" si="3"/>
        <v>0</v>
      </c>
      <c r="AO9" s="425">
        <v>0</v>
      </c>
      <c r="AP9" s="425">
        <v>0</v>
      </c>
      <c r="AQ9" s="425">
        <v>0</v>
      </c>
      <c r="AR9" s="425">
        <v>0</v>
      </c>
      <c r="AS9" s="425">
        <v>0</v>
      </c>
      <c r="AT9" s="425">
        <v>0</v>
      </c>
      <c r="AU9" s="425">
        <v>0</v>
      </c>
      <c r="AV9" s="426">
        <v>0</v>
      </c>
      <c r="AW9" s="426">
        <v>0</v>
      </c>
      <c r="AX9" s="421" t="s">
        <v>343</v>
      </c>
      <c r="AY9" s="427">
        <v>0</v>
      </c>
      <c r="AZ9" s="414">
        <v>0</v>
      </c>
      <c r="BA9" s="414">
        <v>0</v>
      </c>
      <c r="BB9" s="414">
        <v>0</v>
      </c>
      <c r="BC9" s="424">
        <f t="shared" si="4"/>
        <v>0</v>
      </c>
      <c r="BD9" s="417" t="e">
        <f t="shared" si="11"/>
        <v>#DIV/0!</v>
      </c>
      <c r="BE9" s="442"/>
      <c r="BF9" s="424">
        <f t="shared" si="5"/>
        <v>0</v>
      </c>
      <c r="BG9" s="425">
        <v>0</v>
      </c>
      <c r="BH9" s="425">
        <v>0</v>
      </c>
      <c r="BI9" s="425">
        <v>0</v>
      </c>
      <c r="BJ9" s="425">
        <v>0</v>
      </c>
      <c r="BK9" s="425">
        <v>0</v>
      </c>
      <c r="BL9" s="425">
        <v>0</v>
      </c>
      <c r="BM9" s="425">
        <v>0</v>
      </c>
      <c r="BN9" s="426">
        <v>0</v>
      </c>
      <c r="BO9" s="426">
        <v>0</v>
      </c>
      <c r="BP9" s="421" t="s">
        <v>343</v>
      </c>
      <c r="BQ9" s="422">
        <v>0</v>
      </c>
      <c r="BR9" s="423">
        <v>0</v>
      </c>
      <c r="BS9" s="423">
        <v>0</v>
      </c>
      <c r="BT9" s="423">
        <v>0</v>
      </c>
      <c r="BU9" s="424">
        <f t="shared" si="6"/>
        <v>0</v>
      </c>
      <c r="BV9" s="417" t="e">
        <f t="shared" si="12"/>
        <v>#DIV/0!</v>
      </c>
      <c r="BW9" s="442"/>
      <c r="BX9" s="424">
        <f t="shared" si="7"/>
        <v>0</v>
      </c>
      <c r="BY9" s="425">
        <v>0</v>
      </c>
      <c r="BZ9" s="425">
        <v>0</v>
      </c>
      <c r="CA9" s="425">
        <v>0</v>
      </c>
      <c r="CB9" s="425">
        <v>0</v>
      </c>
      <c r="CC9" s="425">
        <v>0</v>
      </c>
      <c r="CD9" s="425">
        <v>0</v>
      </c>
      <c r="CE9" s="425">
        <v>0</v>
      </c>
      <c r="CF9" s="426">
        <v>0</v>
      </c>
      <c r="CG9" s="426">
        <v>0</v>
      </c>
      <c r="CH9" s="421" t="s">
        <v>343</v>
      </c>
    </row>
    <row r="10" spans="1:86" s="365" customFormat="1">
      <c r="A10" s="407" t="str">
        <f t="shared" si="8"/>
        <v>Codes &amp; StandardsCodes &amp; Standards</v>
      </c>
      <c r="B10" s="437" t="s">
        <v>348</v>
      </c>
      <c r="C10" s="438"/>
      <c r="D10" s="443" t="s">
        <v>349</v>
      </c>
      <c r="E10" s="635" t="s">
        <v>15</v>
      </c>
      <c r="F10" s="411" t="s">
        <v>16</v>
      </c>
      <c r="G10" s="411" t="s">
        <v>28</v>
      </c>
      <c r="H10" s="412" t="s">
        <v>28</v>
      </c>
      <c r="I10" s="444"/>
      <c r="J10" s="414">
        <v>1438.83</v>
      </c>
      <c r="K10" s="414"/>
      <c r="L10" s="414"/>
      <c r="M10" s="414">
        <v>2000</v>
      </c>
      <c r="N10" s="414">
        <v>2300</v>
      </c>
      <c r="O10" s="440">
        <v>0</v>
      </c>
      <c r="P10" s="441">
        <v>0</v>
      </c>
      <c r="Q10" s="441">
        <v>0</v>
      </c>
      <c r="R10" s="441">
        <v>0</v>
      </c>
      <c r="S10" s="416">
        <f t="shared" si="0"/>
        <v>0</v>
      </c>
      <c r="T10" s="417">
        <f t="shared" si="9"/>
        <v>-1</v>
      </c>
      <c r="U10" s="442"/>
      <c r="V10" s="419">
        <f t="shared" si="1"/>
        <v>0</v>
      </c>
      <c r="W10" s="420">
        <v>0</v>
      </c>
      <c r="X10" s="420">
        <v>0</v>
      </c>
      <c r="Y10" s="420">
        <v>0</v>
      </c>
      <c r="Z10" s="420">
        <v>0</v>
      </c>
      <c r="AA10" s="420">
        <v>0</v>
      </c>
      <c r="AB10" s="420">
        <v>0</v>
      </c>
      <c r="AC10" s="420">
        <v>0</v>
      </c>
      <c r="AD10" s="420">
        <v>0</v>
      </c>
      <c r="AE10" s="420">
        <v>0</v>
      </c>
      <c r="AF10" s="421" t="s">
        <v>342</v>
      </c>
      <c r="AG10" s="422">
        <v>0</v>
      </c>
      <c r="AH10" s="423">
        <v>0</v>
      </c>
      <c r="AI10" s="423">
        <v>0</v>
      </c>
      <c r="AJ10" s="423">
        <v>0</v>
      </c>
      <c r="AK10" s="424">
        <f t="shared" si="2"/>
        <v>0</v>
      </c>
      <c r="AL10" s="417" t="e">
        <f t="shared" si="10"/>
        <v>#DIV/0!</v>
      </c>
      <c r="AM10" s="442"/>
      <c r="AN10" s="424">
        <f t="shared" si="3"/>
        <v>0</v>
      </c>
      <c r="AO10" s="425">
        <v>0</v>
      </c>
      <c r="AP10" s="425">
        <v>0</v>
      </c>
      <c r="AQ10" s="425">
        <v>0</v>
      </c>
      <c r="AR10" s="425">
        <v>0</v>
      </c>
      <c r="AS10" s="425">
        <v>0</v>
      </c>
      <c r="AT10" s="425">
        <v>0</v>
      </c>
      <c r="AU10" s="425">
        <v>0</v>
      </c>
      <c r="AV10" s="426">
        <v>0</v>
      </c>
      <c r="AW10" s="426">
        <v>0</v>
      </c>
      <c r="AX10" s="421" t="s">
        <v>343</v>
      </c>
      <c r="AY10" s="427">
        <v>0</v>
      </c>
      <c r="AZ10" s="414">
        <v>0</v>
      </c>
      <c r="BA10" s="414">
        <v>0</v>
      </c>
      <c r="BB10" s="414">
        <v>0</v>
      </c>
      <c r="BC10" s="424">
        <f t="shared" si="4"/>
        <v>0</v>
      </c>
      <c r="BD10" s="417" t="e">
        <f t="shared" si="11"/>
        <v>#DIV/0!</v>
      </c>
      <c r="BE10" s="442"/>
      <c r="BF10" s="424">
        <f t="shared" si="5"/>
        <v>0</v>
      </c>
      <c r="BG10" s="425">
        <v>0</v>
      </c>
      <c r="BH10" s="425">
        <v>0</v>
      </c>
      <c r="BI10" s="425">
        <v>0</v>
      </c>
      <c r="BJ10" s="425">
        <v>0</v>
      </c>
      <c r="BK10" s="425">
        <v>0</v>
      </c>
      <c r="BL10" s="425">
        <v>0</v>
      </c>
      <c r="BM10" s="425">
        <v>0</v>
      </c>
      <c r="BN10" s="426">
        <v>0</v>
      </c>
      <c r="BO10" s="426">
        <v>0</v>
      </c>
      <c r="BP10" s="421" t="s">
        <v>343</v>
      </c>
      <c r="BQ10" s="422">
        <v>0</v>
      </c>
      <c r="BR10" s="423">
        <v>0</v>
      </c>
      <c r="BS10" s="423">
        <v>0</v>
      </c>
      <c r="BT10" s="423">
        <v>0</v>
      </c>
      <c r="BU10" s="424">
        <f t="shared" si="6"/>
        <v>0</v>
      </c>
      <c r="BV10" s="417" t="e">
        <f t="shared" si="12"/>
        <v>#DIV/0!</v>
      </c>
      <c r="BW10" s="442"/>
      <c r="BX10" s="424">
        <f t="shared" si="7"/>
        <v>0</v>
      </c>
      <c r="BY10" s="425">
        <v>0</v>
      </c>
      <c r="BZ10" s="425">
        <v>0</v>
      </c>
      <c r="CA10" s="425">
        <v>0</v>
      </c>
      <c r="CB10" s="425">
        <v>0</v>
      </c>
      <c r="CC10" s="425">
        <v>0</v>
      </c>
      <c r="CD10" s="425">
        <v>0</v>
      </c>
      <c r="CE10" s="425">
        <v>0</v>
      </c>
      <c r="CF10" s="426">
        <v>0</v>
      </c>
      <c r="CG10" s="426">
        <v>0</v>
      </c>
      <c r="CH10" s="421" t="s">
        <v>343</v>
      </c>
    </row>
    <row r="11" spans="1:86" s="365" customFormat="1">
      <c r="A11" s="407" t="str">
        <f t="shared" si="8"/>
        <v>CommercialResource Acquisition</v>
      </c>
      <c r="B11" s="437" t="s">
        <v>350</v>
      </c>
      <c r="C11" s="438"/>
      <c r="D11" s="443" t="s">
        <v>351</v>
      </c>
      <c r="E11" s="635" t="s">
        <v>20</v>
      </c>
      <c r="F11" s="411" t="s">
        <v>16</v>
      </c>
      <c r="G11" s="411" t="s">
        <v>22</v>
      </c>
      <c r="H11" s="412" t="s">
        <v>18</v>
      </c>
      <c r="I11" s="413"/>
      <c r="J11" s="414"/>
      <c r="K11" s="414"/>
      <c r="L11" s="414"/>
      <c r="M11" s="414">
        <v>3117300</v>
      </c>
      <c r="N11" s="414">
        <v>1915647</v>
      </c>
      <c r="O11" s="440">
        <v>172775.15400713368</v>
      </c>
      <c r="P11" s="441">
        <v>13423.976915453923</v>
      </c>
      <c r="Q11" s="441">
        <v>694698.69549588521</v>
      </c>
      <c r="R11" s="441">
        <v>600000</v>
      </c>
      <c r="S11" s="416">
        <f t="shared" si="0"/>
        <v>1480897.8264184729</v>
      </c>
      <c r="T11" s="417">
        <f t="shared" si="9"/>
        <v>-0.22694639126181759</v>
      </c>
      <c r="U11" s="442"/>
      <c r="V11" s="419">
        <f t="shared" si="1"/>
        <v>1480897.8264184729</v>
      </c>
      <c r="W11" s="425">
        <v>0</v>
      </c>
      <c r="X11" s="425">
        <v>0</v>
      </c>
      <c r="Y11" s="425">
        <v>331311.2</v>
      </c>
      <c r="Z11" s="425">
        <v>0</v>
      </c>
      <c r="AA11" s="425">
        <v>1938.17</v>
      </c>
      <c r="AB11" s="425">
        <v>0</v>
      </c>
      <c r="AC11" s="425">
        <v>4572094.58</v>
      </c>
      <c r="AD11" s="426">
        <v>0</v>
      </c>
      <c r="AE11" s="426">
        <v>26746.75</v>
      </c>
      <c r="AF11" s="421" t="s">
        <v>342</v>
      </c>
      <c r="AG11" s="422">
        <v>173889.88149566832</v>
      </c>
      <c r="AH11" s="423">
        <v>13726.70625276934</v>
      </c>
      <c r="AI11" s="423">
        <v>708937.82431587309</v>
      </c>
      <c r="AJ11" s="423">
        <v>450000</v>
      </c>
      <c r="AK11" s="424">
        <f t="shared" si="2"/>
        <v>1346554.4120643106</v>
      </c>
      <c r="AL11" s="417">
        <f t="shared" si="10"/>
        <v>-9.0717544423081262E-2</v>
      </c>
      <c r="AM11" s="442"/>
      <c r="AN11" s="424">
        <f t="shared" si="3"/>
        <v>1346554.4120643106</v>
      </c>
      <c r="AO11" s="425">
        <v>0</v>
      </c>
      <c r="AP11" s="425">
        <v>0</v>
      </c>
      <c r="AQ11" s="425">
        <v>230484.77</v>
      </c>
      <c r="AR11" s="425">
        <v>0</v>
      </c>
      <c r="AS11" s="425">
        <v>1348.34</v>
      </c>
      <c r="AT11" s="425">
        <v>0</v>
      </c>
      <c r="AU11" s="425">
        <v>3457271.52</v>
      </c>
      <c r="AV11" s="426">
        <v>0</v>
      </c>
      <c r="AW11" s="426">
        <v>20225.04</v>
      </c>
      <c r="AX11" s="421" t="s">
        <v>343</v>
      </c>
      <c r="AY11" s="427">
        <v>228850.41042268131</v>
      </c>
      <c r="AZ11" s="414">
        <v>12863.033456183426</v>
      </c>
      <c r="BA11" s="414">
        <v>731998.95159539569</v>
      </c>
      <c r="BB11" s="414">
        <v>300000</v>
      </c>
      <c r="BC11" s="424">
        <f t="shared" si="4"/>
        <v>1273712.3954742604</v>
      </c>
      <c r="BD11" s="417">
        <f t="shared" si="11"/>
        <v>-5.409511560574895E-2</v>
      </c>
      <c r="BE11" s="442"/>
      <c r="BF11" s="424">
        <f t="shared" si="5"/>
        <v>1273712.3954742604</v>
      </c>
      <c r="BG11" s="425">
        <v>0</v>
      </c>
      <c r="BH11" s="425">
        <v>0</v>
      </c>
      <c r="BI11" s="425">
        <v>169523.15</v>
      </c>
      <c r="BJ11" s="425">
        <v>0</v>
      </c>
      <c r="BK11" s="425">
        <v>991.71</v>
      </c>
      <c r="BL11" s="425">
        <v>0</v>
      </c>
      <c r="BM11" s="425">
        <v>2542847.2000000002</v>
      </c>
      <c r="BN11" s="426">
        <v>0</v>
      </c>
      <c r="BO11" s="426">
        <v>14875.66</v>
      </c>
      <c r="BP11" s="421" t="s">
        <v>343</v>
      </c>
      <c r="BQ11" s="422">
        <v>236263.47782698844</v>
      </c>
      <c r="BR11" s="423">
        <v>13207.066530731296</v>
      </c>
      <c r="BS11" s="423">
        <v>748420.16228232044</v>
      </c>
      <c r="BT11" s="423">
        <v>300000</v>
      </c>
      <c r="BU11" s="424">
        <f t="shared" si="6"/>
        <v>1297890.70664004</v>
      </c>
      <c r="BV11" s="417">
        <f t="shared" si="12"/>
        <v>1.8982551517665747E-2</v>
      </c>
      <c r="BW11" s="442"/>
      <c r="BX11" s="424">
        <f t="shared" si="7"/>
        <v>1297890.70664004</v>
      </c>
      <c r="BY11" s="425">
        <v>0</v>
      </c>
      <c r="BZ11" s="425">
        <v>0</v>
      </c>
      <c r="CA11" s="425">
        <v>169798</v>
      </c>
      <c r="CB11" s="425">
        <v>0</v>
      </c>
      <c r="CC11" s="425">
        <v>993</v>
      </c>
      <c r="CD11" s="425">
        <v>0</v>
      </c>
      <c r="CE11" s="425">
        <v>2546968</v>
      </c>
      <c r="CF11" s="426">
        <v>0</v>
      </c>
      <c r="CG11" s="426">
        <v>14900</v>
      </c>
      <c r="CH11" s="421" t="s">
        <v>343</v>
      </c>
    </row>
    <row r="12" spans="1:86" s="365" customFormat="1">
      <c r="A12" s="407" t="str">
        <f t="shared" si="8"/>
        <v>PublicResource Acquisition</v>
      </c>
      <c r="B12" s="437" t="s">
        <v>350</v>
      </c>
      <c r="C12" s="438"/>
      <c r="D12" s="443" t="s">
        <v>351</v>
      </c>
      <c r="E12" s="635" t="s">
        <v>20</v>
      </c>
      <c r="F12" s="411" t="s">
        <v>16</v>
      </c>
      <c r="G12" s="411" t="s">
        <v>30</v>
      </c>
      <c r="H12" s="412" t="s">
        <v>18</v>
      </c>
      <c r="I12" s="444"/>
      <c r="J12" s="414"/>
      <c r="K12" s="414"/>
      <c r="L12" s="414"/>
      <c r="M12" s="414">
        <v>1558650</v>
      </c>
      <c r="N12" s="414">
        <v>957824</v>
      </c>
      <c r="O12" s="415">
        <v>115516.34242402698</v>
      </c>
      <c r="P12" s="414">
        <v>9332.6841265904404</v>
      </c>
      <c r="Q12" s="414">
        <v>475836.71937902487</v>
      </c>
      <c r="R12" s="414">
        <v>300000</v>
      </c>
      <c r="S12" s="416">
        <f t="shared" si="0"/>
        <v>900685.74592964235</v>
      </c>
      <c r="T12" s="417">
        <f t="shared" si="9"/>
        <v>-5.9654230913359502E-2</v>
      </c>
      <c r="U12" s="442"/>
      <c r="V12" s="419">
        <f t="shared" si="1"/>
        <v>900685.74592964235</v>
      </c>
      <c r="W12" s="425">
        <v>0</v>
      </c>
      <c r="X12" s="425">
        <v>0</v>
      </c>
      <c r="Y12" s="425">
        <v>226852.24</v>
      </c>
      <c r="Z12" s="425">
        <v>0</v>
      </c>
      <c r="AA12" s="425">
        <v>1327.09</v>
      </c>
      <c r="AB12" s="425">
        <v>0</v>
      </c>
      <c r="AC12" s="425">
        <v>3130560.98</v>
      </c>
      <c r="AD12" s="426">
        <v>0</v>
      </c>
      <c r="AE12" s="426">
        <v>18313.78</v>
      </c>
      <c r="AF12" s="421" t="s">
        <v>342</v>
      </c>
      <c r="AG12" s="422">
        <v>116878.78781167656</v>
      </c>
      <c r="AH12" s="423">
        <v>9553.7176895770026</v>
      </c>
      <c r="AI12" s="423">
        <v>485745.32492427161</v>
      </c>
      <c r="AJ12" s="423">
        <v>225000</v>
      </c>
      <c r="AK12" s="424">
        <f t="shared" si="2"/>
        <v>837177.8304255252</v>
      </c>
      <c r="AL12" s="417">
        <f t="shared" si="10"/>
        <v>-7.0510625699496871E-2</v>
      </c>
      <c r="AM12" s="442"/>
      <c r="AN12" s="424">
        <f t="shared" si="3"/>
        <v>837177.8304255252</v>
      </c>
      <c r="AO12" s="425">
        <v>0</v>
      </c>
      <c r="AP12" s="425">
        <v>0</v>
      </c>
      <c r="AQ12" s="425">
        <v>143175.14000000001</v>
      </c>
      <c r="AR12" s="425">
        <v>0</v>
      </c>
      <c r="AS12" s="425">
        <v>837.57</v>
      </c>
      <c r="AT12" s="425">
        <v>0</v>
      </c>
      <c r="AU12" s="425">
        <v>2147627.08</v>
      </c>
      <c r="AV12" s="426">
        <v>0</v>
      </c>
      <c r="AW12" s="426">
        <v>12563.62</v>
      </c>
      <c r="AX12" s="421" t="s">
        <v>343</v>
      </c>
      <c r="AY12" s="427">
        <v>118353.06774336062</v>
      </c>
      <c r="AZ12" s="414">
        <v>9099.779892137567</v>
      </c>
      <c r="BA12" s="414">
        <v>459501.04995157098</v>
      </c>
      <c r="BB12" s="414">
        <v>150000</v>
      </c>
      <c r="BC12" s="424">
        <f t="shared" si="4"/>
        <v>736953.89758706919</v>
      </c>
      <c r="BD12" s="417">
        <f t="shared" si="11"/>
        <v>-0.11971642009143225</v>
      </c>
      <c r="BE12" s="442"/>
      <c r="BF12" s="424">
        <f t="shared" si="5"/>
        <v>736953.89758706919</v>
      </c>
      <c r="BG12" s="425">
        <v>0</v>
      </c>
      <c r="BH12" s="425">
        <v>0</v>
      </c>
      <c r="BI12" s="425">
        <v>98083.95</v>
      </c>
      <c r="BJ12" s="425">
        <v>0</v>
      </c>
      <c r="BK12" s="425">
        <v>573.79</v>
      </c>
      <c r="BL12" s="425">
        <v>0</v>
      </c>
      <c r="BM12" s="425">
        <v>1471259.26</v>
      </c>
      <c r="BN12" s="426">
        <v>0</v>
      </c>
      <c r="BO12" s="426">
        <v>8606.8700000000008</v>
      </c>
      <c r="BP12" s="421" t="s">
        <v>343</v>
      </c>
      <c r="BQ12" s="422">
        <v>122456.53857214516</v>
      </c>
      <c r="BR12" s="423">
        <v>9349.6398980484701</v>
      </c>
      <c r="BS12" s="423">
        <v>470294.40973851457</v>
      </c>
      <c r="BT12" s="423">
        <v>150000</v>
      </c>
      <c r="BU12" s="424">
        <f t="shared" si="6"/>
        <v>752100.58820870821</v>
      </c>
      <c r="BV12" s="417">
        <f t="shared" si="12"/>
        <v>2.0553104707407396E-2</v>
      </c>
      <c r="BW12" s="442"/>
      <c r="BX12" s="424">
        <f t="shared" si="7"/>
        <v>752100.58820870821</v>
      </c>
      <c r="BY12" s="425">
        <v>0</v>
      </c>
      <c r="BZ12" s="425">
        <v>0</v>
      </c>
      <c r="CA12" s="425">
        <v>98394</v>
      </c>
      <c r="CB12" s="425">
        <v>0</v>
      </c>
      <c r="CC12" s="425">
        <v>576</v>
      </c>
      <c r="CD12" s="425">
        <v>0</v>
      </c>
      <c r="CE12" s="425">
        <v>1475915</v>
      </c>
      <c r="CF12" s="426">
        <v>0</v>
      </c>
      <c r="CG12" s="426">
        <v>8634</v>
      </c>
      <c r="CH12" s="421" t="s">
        <v>343</v>
      </c>
    </row>
    <row r="13" spans="1:86" s="365" customFormat="1">
      <c r="A13" s="407" t="str">
        <f t="shared" si="8"/>
        <v>IndustrialResource Acquisition</v>
      </c>
      <c r="B13" s="437" t="s">
        <v>350</v>
      </c>
      <c r="C13" s="438"/>
      <c r="D13" s="443" t="s">
        <v>351</v>
      </c>
      <c r="E13" s="635" t="s">
        <v>20</v>
      </c>
      <c r="F13" s="411" t="s">
        <v>16</v>
      </c>
      <c r="G13" s="411" t="s">
        <v>25</v>
      </c>
      <c r="H13" s="412" t="s">
        <v>18</v>
      </c>
      <c r="I13" s="444"/>
      <c r="J13" s="414"/>
      <c r="K13" s="414"/>
      <c r="L13" s="414"/>
      <c r="M13" s="414">
        <v>5195500</v>
      </c>
      <c r="N13" s="414">
        <v>3192746</v>
      </c>
      <c r="O13" s="415">
        <v>151106.5015786736</v>
      </c>
      <c r="P13" s="414">
        <v>10143.381737726962</v>
      </c>
      <c r="Q13" s="414">
        <v>557977.6870814251</v>
      </c>
      <c r="R13" s="414">
        <v>1000000</v>
      </c>
      <c r="S13" s="416">
        <f t="shared" si="0"/>
        <v>1719227.5703978257</v>
      </c>
      <c r="T13" s="417">
        <f t="shared" si="9"/>
        <v>-0.46152071903063202</v>
      </c>
      <c r="U13" s="442"/>
      <c r="V13" s="419">
        <f t="shared" si="1"/>
        <v>1719227.5703978257</v>
      </c>
      <c r="W13" s="425">
        <v>0</v>
      </c>
      <c r="X13" s="425">
        <v>0</v>
      </c>
      <c r="Y13" s="425">
        <v>266155.5</v>
      </c>
      <c r="Z13" s="425">
        <v>0</v>
      </c>
      <c r="AA13" s="425">
        <v>1557.01</v>
      </c>
      <c r="AB13" s="425">
        <v>0</v>
      </c>
      <c r="AC13" s="425">
        <v>3672945.85</v>
      </c>
      <c r="AD13" s="426">
        <v>0</v>
      </c>
      <c r="AE13" s="426">
        <v>21486.73</v>
      </c>
      <c r="AF13" s="421" t="s">
        <v>342</v>
      </c>
      <c r="AG13" s="422">
        <v>149191.0588355959</v>
      </c>
      <c r="AH13" s="423">
        <v>10322.809126384669</v>
      </c>
      <c r="AI13" s="423">
        <v>568692.03345022432</v>
      </c>
      <c r="AJ13" s="423">
        <v>750000</v>
      </c>
      <c r="AK13" s="424">
        <f t="shared" si="2"/>
        <v>1478205.9014122048</v>
      </c>
      <c r="AL13" s="417">
        <f t="shared" si="10"/>
        <v>-0.14019183564503268</v>
      </c>
      <c r="AM13" s="442"/>
      <c r="AN13" s="424">
        <f t="shared" si="3"/>
        <v>1478205.9014122048</v>
      </c>
      <c r="AO13" s="425">
        <v>0</v>
      </c>
      <c r="AP13" s="425">
        <v>0</v>
      </c>
      <c r="AQ13" s="425">
        <v>253586.15</v>
      </c>
      <c r="AR13" s="425">
        <v>0</v>
      </c>
      <c r="AS13" s="425">
        <v>1483.48</v>
      </c>
      <c r="AT13" s="425">
        <v>0</v>
      </c>
      <c r="AU13" s="425">
        <v>3803792.26</v>
      </c>
      <c r="AV13" s="426">
        <v>0</v>
      </c>
      <c r="AW13" s="426">
        <v>22252.18</v>
      </c>
      <c r="AX13" s="421" t="s">
        <v>343</v>
      </c>
      <c r="AY13" s="427">
        <v>144616.51474933216</v>
      </c>
      <c r="AZ13" s="414">
        <v>8152.2159280917131</v>
      </c>
      <c r="BA13" s="414">
        <v>466985.98752191098</v>
      </c>
      <c r="BB13" s="414">
        <v>500000</v>
      </c>
      <c r="BC13" s="424">
        <f t="shared" si="4"/>
        <v>1119754.7181993348</v>
      </c>
      <c r="BD13" s="417">
        <f t="shared" si="11"/>
        <v>-0.24249069961797845</v>
      </c>
      <c r="BE13" s="442"/>
      <c r="BF13" s="424">
        <f t="shared" si="5"/>
        <v>1119754.7181993348</v>
      </c>
      <c r="BG13" s="425">
        <v>0</v>
      </c>
      <c r="BH13" s="425">
        <v>0</v>
      </c>
      <c r="BI13" s="425">
        <v>149032.34</v>
      </c>
      <c r="BJ13" s="425">
        <v>0</v>
      </c>
      <c r="BK13" s="425">
        <v>871.84</v>
      </c>
      <c r="BL13" s="425">
        <v>0</v>
      </c>
      <c r="BM13" s="425">
        <v>2235485.15</v>
      </c>
      <c r="BN13" s="426">
        <v>0</v>
      </c>
      <c r="BO13" s="426">
        <v>13077.59</v>
      </c>
      <c r="BP13" s="421" t="s">
        <v>343</v>
      </c>
      <c r="BQ13" s="422">
        <v>149541.069285762</v>
      </c>
      <c r="BR13" s="423">
        <v>8349.8932653656484</v>
      </c>
      <c r="BS13" s="423">
        <v>476063.12751900149</v>
      </c>
      <c r="BT13" s="423">
        <v>500000</v>
      </c>
      <c r="BU13" s="424">
        <f t="shared" si="6"/>
        <v>1133954.0900701291</v>
      </c>
      <c r="BV13" s="417">
        <f t="shared" si="12"/>
        <v>1.2680787711819769E-2</v>
      </c>
      <c r="BW13" s="442"/>
      <c r="BX13" s="424">
        <f t="shared" si="7"/>
        <v>1133954.0900701291</v>
      </c>
      <c r="BY13" s="425">
        <v>0</v>
      </c>
      <c r="BZ13" s="425">
        <v>0</v>
      </c>
      <c r="CA13" s="425">
        <v>148351</v>
      </c>
      <c r="CB13" s="425">
        <v>0</v>
      </c>
      <c r="CC13" s="425">
        <v>868</v>
      </c>
      <c r="CD13" s="425">
        <v>0</v>
      </c>
      <c r="CE13" s="425">
        <v>2225260</v>
      </c>
      <c r="CF13" s="426">
        <v>0</v>
      </c>
      <c r="CG13" s="426">
        <v>13018</v>
      </c>
      <c r="CH13" s="421" t="s">
        <v>343</v>
      </c>
    </row>
    <row r="14" spans="1:86" s="365" customFormat="1">
      <c r="A14" s="407" t="str">
        <f t="shared" si="8"/>
        <v>AgriculturalResource Acquisition</v>
      </c>
      <c r="B14" s="437" t="s">
        <v>350</v>
      </c>
      <c r="C14" s="438"/>
      <c r="D14" s="443" t="s">
        <v>351</v>
      </c>
      <c r="E14" s="635" t="s">
        <v>20</v>
      </c>
      <c r="F14" s="411" t="s">
        <v>16</v>
      </c>
      <c r="G14" s="411" t="s">
        <v>27</v>
      </c>
      <c r="H14" s="412" t="s">
        <v>18</v>
      </c>
      <c r="I14" s="444"/>
      <c r="J14" s="414"/>
      <c r="K14" s="414"/>
      <c r="L14" s="414"/>
      <c r="M14" s="414">
        <v>519550</v>
      </c>
      <c r="N14" s="414">
        <v>319275</v>
      </c>
      <c r="O14" s="415">
        <v>38636.568875304489</v>
      </c>
      <c r="P14" s="414">
        <v>3110.8947088634804</v>
      </c>
      <c r="Q14" s="414">
        <v>158647.34519300831</v>
      </c>
      <c r="R14" s="414">
        <v>100000</v>
      </c>
      <c r="S14" s="416">
        <f t="shared" si="0"/>
        <v>300394.80877717631</v>
      </c>
      <c r="T14" s="417">
        <f t="shared" si="9"/>
        <v>-5.9134574341316075E-2</v>
      </c>
      <c r="U14" s="442"/>
      <c r="V14" s="419">
        <f t="shared" si="1"/>
        <v>300394.80877717631</v>
      </c>
      <c r="W14" s="425">
        <v>0</v>
      </c>
      <c r="X14" s="425">
        <v>0</v>
      </c>
      <c r="Y14" s="425">
        <v>75681.06</v>
      </c>
      <c r="Z14" s="425">
        <v>0</v>
      </c>
      <c r="AA14" s="425">
        <v>442.73</v>
      </c>
      <c r="AB14" s="425">
        <v>0</v>
      </c>
      <c r="AC14" s="425">
        <v>1044398.6</v>
      </c>
      <c r="AD14" s="426">
        <v>0</v>
      </c>
      <c r="AE14" s="426">
        <v>6109.73</v>
      </c>
      <c r="AF14" s="421" t="s">
        <v>342</v>
      </c>
      <c r="AG14" s="422">
        <v>39093.042226642676</v>
      </c>
      <c r="AH14" s="423">
        <v>3184.5725631923351</v>
      </c>
      <c r="AI14" s="423">
        <v>161950.50080809055</v>
      </c>
      <c r="AJ14" s="423">
        <v>75000</v>
      </c>
      <c r="AK14" s="424">
        <f t="shared" si="2"/>
        <v>279228.11559792556</v>
      </c>
      <c r="AL14" s="417">
        <f t="shared" si="10"/>
        <v>-7.0462912676202596E-2</v>
      </c>
      <c r="AM14" s="442"/>
      <c r="AN14" s="424">
        <f t="shared" si="3"/>
        <v>279228.11559792556</v>
      </c>
      <c r="AO14" s="425">
        <v>0</v>
      </c>
      <c r="AP14" s="425">
        <v>0</v>
      </c>
      <c r="AQ14" s="425">
        <v>47753.94</v>
      </c>
      <c r="AR14" s="425">
        <v>0</v>
      </c>
      <c r="AS14" s="425">
        <v>279.36</v>
      </c>
      <c r="AT14" s="425">
        <v>0</v>
      </c>
      <c r="AU14" s="425">
        <v>716309.14</v>
      </c>
      <c r="AV14" s="426">
        <v>0</v>
      </c>
      <c r="AW14" s="426">
        <v>4190.41</v>
      </c>
      <c r="AX14" s="421" t="s">
        <v>343</v>
      </c>
      <c r="AY14" s="427">
        <v>39710.588015770132</v>
      </c>
      <c r="AZ14" s="414">
        <v>3137.5447640458565</v>
      </c>
      <c r="BA14" s="414">
        <v>157806.47769500292</v>
      </c>
      <c r="BB14" s="414">
        <v>50000</v>
      </c>
      <c r="BC14" s="424">
        <f t="shared" si="4"/>
        <v>250654.61047481891</v>
      </c>
      <c r="BD14" s="417">
        <f t="shared" si="11"/>
        <v>-0.10233032967300133</v>
      </c>
      <c r="BE14" s="442"/>
      <c r="BF14" s="424">
        <f t="shared" si="5"/>
        <v>250654.61047481891</v>
      </c>
      <c r="BG14" s="425">
        <v>0</v>
      </c>
      <c r="BH14" s="425">
        <v>0</v>
      </c>
      <c r="BI14" s="425">
        <v>33360.559999999998</v>
      </c>
      <c r="BJ14" s="425">
        <v>0</v>
      </c>
      <c r="BK14" s="425">
        <v>195.16</v>
      </c>
      <c r="BL14" s="425">
        <v>0</v>
      </c>
      <c r="BM14" s="425">
        <v>500408.39</v>
      </c>
      <c r="BN14" s="426">
        <v>0</v>
      </c>
      <c r="BO14" s="426">
        <v>2927.39</v>
      </c>
      <c r="BP14" s="421" t="s">
        <v>343</v>
      </c>
      <c r="BQ14" s="422">
        <v>41090.060165545539</v>
      </c>
      <c r="BR14" s="423">
        <v>3222.3866326828238</v>
      </c>
      <c r="BS14" s="423">
        <v>161425.0304880905</v>
      </c>
      <c r="BT14" s="423">
        <v>50000</v>
      </c>
      <c r="BU14" s="424">
        <f t="shared" si="6"/>
        <v>255737.47728631887</v>
      </c>
      <c r="BV14" s="417">
        <f t="shared" si="12"/>
        <v>2.0278369513616393E-2</v>
      </c>
      <c r="BW14" s="442"/>
      <c r="BX14" s="424">
        <f t="shared" si="7"/>
        <v>255737.47728631887</v>
      </c>
      <c r="BY14" s="425">
        <v>0</v>
      </c>
      <c r="BZ14" s="425">
        <v>0</v>
      </c>
      <c r="CA14" s="425">
        <v>33457</v>
      </c>
      <c r="CB14" s="425">
        <v>0</v>
      </c>
      <c r="CC14" s="425">
        <v>196</v>
      </c>
      <c r="CD14" s="425">
        <v>0</v>
      </c>
      <c r="CE14" s="425">
        <v>501857</v>
      </c>
      <c r="CF14" s="426">
        <v>0</v>
      </c>
      <c r="CG14" s="426">
        <v>2936</v>
      </c>
      <c r="CH14" s="421" t="s">
        <v>343</v>
      </c>
    </row>
    <row r="15" spans="1:86" s="365" customFormat="1">
      <c r="A15" s="407" t="str">
        <f t="shared" si="8"/>
        <v>CommercialResource Acquisition</v>
      </c>
      <c r="B15" s="437" t="s">
        <v>352</v>
      </c>
      <c r="C15" s="438"/>
      <c r="D15" s="443" t="s">
        <v>353</v>
      </c>
      <c r="E15" s="635" t="s">
        <v>20</v>
      </c>
      <c r="F15" s="411" t="s">
        <v>16</v>
      </c>
      <c r="G15" s="411" t="s">
        <v>22</v>
      </c>
      <c r="H15" s="412" t="s">
        <v>18</v>
      </c>
      <c r="I15" s="444"/>
      <c r="J15" s="414"/>
      <c r="K15" s="414"/>
      <c r="L15" s="414"/>
      <c r="M15" s="414">
        <v>5814819</v>
      </c>
      <c r="N15" s="414">
        <v>5358042</v>
      </c>
      <c r="O15" s="415">
        <v>307949.91243584407</v>
      </c>
      <c r="P15" s="414">
        <v>633368.41271196643</v>
      </c>
      <c r="Q15" s="414">
        <v>916231.5639311556</v>
      </c>
      <c r="R15" s="414">
        <v>2433461.5250000013</v>
      </c>
      <c r="S15" s="416">
        <f t="shared" si="0"/>
        <v>4291011.4140789676</v>
      </c>
      <c r="T15" s="417">
        <f t="shared" si="9"/>
        <v>-0.19914561810471668</v>
      </c>
      <c r="U15" s="442"/>
      <c r="V15" s="419">
        <f t="shared" si="1"/>
        <v>4291011.4140789676</v>
      </c>
      <c r="W15" s="425">
        <v>6809.54</v>
      </c>
      <c r="X15" s="425">
        <v>-0.01</v>
      </c>
      <c r="Y15" s="425">
        <v>887643.96</v>
      </c>
      <c r="Z15" s="425">
        <v>1.1100000000000001</v>
      </c>
      <c r="AA15" s="425">
        <v>5192.72</v>
      </c>
      <c r="AB15" s="425">
        <v>105538.61</v>
      </c>
      <c r="AC15" s="425">
        <v>8655952.1699999999</v>
      </c>
      <c r="AD15" s="426">
        <v>51.23</v>
      </c>
      <c r="AE15" s="426">
        <v>50637.32</v>
      </c>
      <c r="AF15" s="421" t="s">
        <v>342</v>
      </c>
      <c r="AG15" s="422">
        <v>318768.69675185834</v>
      </c>
      <c r="AH15" s="423">
        <v>626155.88427094312</v>
      </c>
      <c r="AI15" s="423">
        <v>933721.94385064754</v>
      </c>
      <c r="AJ15" s="423">
        <v>2552057.475000001</v>
      </c>
      <c r="AK15" s="424">
        <f t="shared" si="2"/>
        <v>4430703.99987345</v>
      </c>
      <c r="AL15" s="417">
        <f t="shared" si="10"/>
        <v>3.2554699187269887E-2</v>
      </c>
      <c r="AM15" s="442"/>
      <c r="AN15" s="424">
        <f t="shared" si="3"/>
        <v>4430703.99987345</v>
      </c>
      <c r="AO15" s="425">
        <v>6931.13</v>
      </c>
      <c r="AP15" s="425">
        <v>0.25</v>
      </c>
      <c r="AQ15" s="425">
        <v>966958.07999999996</v>
      </c>
      <c r="AR15" s="425">
        <v>1.24</v>
      </c>
      <c r="AS15" s="425">
        <v>5656.7</v>
      </c>
      <c r="AT15" s="425">
        <v>89691.6</v>
      </c>
      <c r="AU15" s="425">
        <v>9378632.6600000001</v>
      </c>
      <c r="AV15" s="426">
        <v>45.05</v>
      </c>
      <c r="AW15" s="426">
        <v>54865</v>
      </c>
      <c r="AX15" s="421" t="s">
        <v>343</v>
      </c>
      <c r="AY15" s="427">
        <v>383274.10811088618</v>
      </c>
      <c r="AZ15" s="414">
        <v>619907.68711526878</v>
      </c>
      <c r="BA15" s="414">
        <v>1021806.3185201766</v>
      </c>
      <c r="BB15" s="414">
        <v>2687249.9500000011</v>
      </c>
      <c r="BC15" s="424">
        <f t="shared" si="4"/>
        <v>4712238.0637463331</v>
      </c>
      <c r="BD15" s="417">
        <f t="shared" si="11"/>
        <v>6.3541609613489022E-2</v>
      </c>
      <c r="BE15" s="442"/>
      <c r="BF15" s="424">
        <f t="shared" si="5"/>
        <v>4712238.0637463331</v>
      </c>
      <c r="BG15" s="425">
        <v>7160</v>
      </c>
      <c r="BH15" s="425">
        <v>0.2</v>
      </c>
      <c r="BI15" s="425">
        <v>979650.91</v>
      </c>
      <c r="BJ15" s="425">
        <v>1.4240339660000001</v>
      </c>
      <c r="BK15" s="425">
        <v>5730.96</v>
      </c>
      <c r="BL15" s="425">
        <v>92148.01</v>
      </c>
      <c r="BM15" s="425">
        <v>9354836.9399999995</v>
      </c>
      <c r="BN15" s="426">
        <v>46.97</v>
      </c>
      <c r="BO15" s="426">
        <v>54725.8</v>
      </c>
      <c r="BP15" s="421" t="s">
        <v>343</v>
      </c>
      <c r="BQ15" s="422">
        <v>401131.13386475749</v>
      </c>
      <c r="BR15" s="423">
        <v>597358.68593483954</v>
      </c>
      <c r="BS15" s="423">
        <v>1045092.1637228247</v>
      </c>
      <c r="BT15" s="423">
        <v>2825898.6250000014</v>
      </c>
      <c r="BU15" s="424">
        <f t="shared" si="6"/>
        <v>4869480.6085224226</v>
      </c>
      <c r="BV15" s="417">
        <f t="shared" si="12"/>
        <v>3.3368973012173793E-2</v>
      </c>
      <c r="BW15" s="442"/>
      <c r="BX15" s="424">
        <f t="shared" si="7"/>
        <v>4869480.6085224226</v>
      </c>
      <c r="BY15" s="425">
        <v>7447</v>
      </c>
      <c r="BZ15" s="425">
        <v>0</v>
      </c>
      <c r="CA15" s="425">
        <v>1145809</v>
      </c>
      <c r="CB15" s="425">
        <v>1</v>
      </c>
      <c r="CC15" s="425">
        <v>6703</v>
      </c>
      <c r="CD15" s="425">
        <v>96220</v>
      </c>
      <c r="CE15" s="425">
        <v>11059598</v>
      </c>
      <c r="CF15" s="426">
        <v>50</v>
      </c>
      <c r="CG15" s="426">
        <v>64699</v>
      </c>
      <c r="CH15" s="421" t="s">
        <v>343</v>
      </c>
    </row>
    <row r="16" spans="1:86" s="365" customFormat="1">
      <c r="A16" s="407" t="str">
        <f t="shared" si="8"/>
        <v>PublicResource Acquisition</v>
      </c>
      <c r="B16" s="437" t="s">
        <v>352</v>
      </c>
      <c r="C16" s="438"/>
      <c r="D16" s="443" t="s">
        <v>353</v>
      </c>
      <c r="E16" s="635" t="s">
        <v>20</v>
      </c>
      <c r="F16" s="411" t="s">
        <v>16</v>
      </c>
      <c r="G16" s="411" t="s">
        <v>30</v>
      </c>
      <c r="H16" s="412" t="s">
        <v>18</v>
      </c>
      <c r="I16" s="444"/>
      <c r="J16" s="414"/>
      <c r="K16" s="414"/>
      <c r="L16" s="414"/>
      <c r="M16" s="414">
        <v>2114480</v>
      </c>
      <c r="N16" s="414">
        <v>1948379</v>
      </c>
      <c r="O16" s="415">
        <v>111957.94608564716</v>
      </c>
      <c r="P16" s="414">
        <v>230315.78644071508</v>
      </c>
      <c r="Q16" s="414">
        <v>333168.73135678383</v>
      </c>
      <c r="R16" s="414">
        <v>884895.09999999986</v>
      </c>
      <c r="S16" s="416">
        <f t="shared" si="0"/>
        <v>1560337.5638831458</v>
      </c>
      <c r="T16" s="417">
        <f t="shared" si="9"/>
        <v>-0.19916116736879949</v>
      </c>
      <c r="U16" s="442"/>
      <c r="V16" s="419">
        <f t="shared" si="1"/>
        <v>1560337.5638831458</v>
      </c>
      <c r="W16" s="425">
        <v>2476.08</v>
      </c>
      <c r="X16" s="425">
        <v>0</v>
      </c>
      <c r="Y16" s="425">
        <v>322764.71999999997</v>
      </c>
      <c r="Z16" s="425">
        <v>0.4</v>
      </c>
      <c r="AA16" s="425">
        <v>1888.17</v>
      </c>
      <c r="AB16" s="425">
        <v>38375.9</v>
      </c>
      <c r="AC16" s="425">
        <v>3147473.68</v>
      </c>
      <c r="AD16" s="426">
        <v>18.63</v>
      </c>
      <c r="AE16" s="426">
        <v>18412.72</v>
      </c>
      <c r="AF16" s="421" t="s">
        <v>342</v>
      </c>
      <c r="AG16" s="422">
        <v>115891.62676623624</v>
      </c>
      <c r="AH16" s="423">
        <v>227693.04882579751</v>
      </c>
      <c r="AI16" s="423">
        <v>339528.81730932638</v>
      </c>
      <c r="AJ16" s="423">
        <v>928020.89999999979</v>
      </c>
      <c r="AK16" s="424">
        <f t="shared" si="2"/>
        <v>1611134.3929013601</v>
      </c>
      <c r="AL16" s="417">
        <f t="shared" si="10"/>
        <v>3.2555025395785732E-2</v>
      </c>
      <c r="AM16" s="442"/>
      <c r="AN16" s="424">
        <f t="shared" si="3"/>
        <v>1611134.3929013601</v>
      </c>
      <c r="AO16" s="425">
        <v>2520.36</v>
      </c>
      <c r="AP16" s="425">
        <v>0.09</v>
      </c>
      <c r="AQ16" s="425">
        <v>351614.45</v>
      </c>
      <c r="AR16" s="425">
        <v>0.45</v>
      </c>
      <c r="AS16" s="425">
        <v>2056.94</v>
      </c>
      <c r="AT16" s="425">
        <v>32614.51</v>
      </c>
      <c r="AU16" s="425">
        <v>3410347.16</v>
      </c>
      <c r="AV16" s="426">
        <v>16.38</v>
      </c>
      <c r="AW16" s="426">
        <v>19950.53</v>
      </c>
      <c r="AX16" s="421" t="s">
        <v>343</v>
      </c>
      <c r="AY16" s="427">
        <v>119663.05641100163</v>
      </c>
      <c r="AZ16" s="414">
        <v>225420.97713282501</v>
      </c>
      <c r="BA16" s="414">
        <v>346141.98481674545</v>
      </c>
      <c r="BB16" s="414">
        <v>977181.79999999981</v>
      </c>
      <c r="BC16" s="424">
        <f t="shared" si="4"/>
        <v>1668407.818360572</v>
      </c>
      <c r="BD16" s="417">
        <f t="shared" si="11"/>
        <v>3.5548508995623201E-2</v>
      </c>
      <c r="BE16" s="442"/>
      <c r="BF16" s="424">
        <f t="shared" si="5"/>
        <v>1668407.818360572</v>
      </c>
      <c r="BG16" s="425">
        <v>2535</v>
      </c>
      <c r="BH16" s="425">
        <v>7.0000000000000007E-2</v>
      </c>
      <c r="BI16" s="425">
        <v>346853.71</v>
      </c>
      <c r="BJ16" s="425">
        <v>0.50419129299999998</v>
      </c>
      <c r="BK16" s="425">
        <v>2029.09</v>
      </c>
      <c r="BL16" s="425">
        <v>32625.79</v>
      </c>
      <c r="BM16" s="425">
        <v>3312159.29</v>
      </c>
      <c r="BN16" s="426">
        <v>16.63</v>
      </c>
      <c r="BO16" s="426">
        <v>19376.13</v>
      </c>
      <c r="BP16" s="421" t="s">
        <v>343</v>
      </c>
      <c r="BQ16" s="422">
        <v>125657.01571675215</v>
      </c>
      <c r="BR16" s="423">
        <v>217221.34033994167</v>
      </c>
      <c r="BS16" s="423">
        <v>354057.36810570653</v>
      </c>
      <c r="BT16" s="423">
        <v>1027599.4999999998</v>
      </c>
      <c r="BU16" s="424">
        <f t="shared" si="6"/>
        <v>1724535.2241624002</v>
      </c>
      <c r="BV16" s="417">
        <f t="shared" si="12"/>
        <v>3.3641298718547569E-2</v>
      </c>
      <c r="BW16" s="442"/>
      <c r="BX16" s="424">
        <f t="shared" si="7"/>
        <v>1724535.2241624002</v>
      </c>
      <c r="BY16" s="425">
        <v>2637</v>
      </c>
      <c r="BZ16" s="425">
        <v>0</v>
      </c>
      <c r="CA16" s="425">
        <v>405790</v>
      </c>
      <c r="CB16" s="425">
        <v>0</v>
      </c>
      <c r="CC16" s="425">
        <v>2374</v>
      </c>
      <c r="CD16" s="425">
        <v>34077</v>
      </c>
      <c r="CE16" s="425">
        <v>3916776</v>
      </c>
      <c r="CF16" s="426">
        <v>18</v>
      </c>
      <c r="CG16" s="426">
        <v>22913</v>
      </c>
      <c r="CH16" s="421" t="s">
        <v>343</v>
      </c>
    </row>
    <row r="17" spans="1:86" s="365" customFormat="1">
      <c r="A17" s="407" t="str">
        <f t="shared" si="8"/>
        <v>IndustrialResource Acquisition</v>
      </c>
      <c r="B17" s="437" t="s">
        <v>352</v>
      </c>
      <c r="C17" s="438"/>
      <c r="D17" s="443" t="s">
        <v>353</v>
      </c>
      <c r="E17" s="635" t="s">
        <v>20</v>
      </c>
      <c r="F17" s="411" t="s">
        <v>16</v>
      </c>
      <c r="G17" s="411" t="s">
        <v>25</v>
      </c>
      <c r="H17" s="412" t="s">
        <v>18</v>
      </c>
      <c r="I17" s="444"/>
      <c r="J17" s="414"/>
      <c r="K17" s="414"/>
      <c r="L17" s="414"/>
      <c r="M17" s="414">
        <v>1585860</v>
      </c>
      <c r="N17" s="414">
        <v>1461284</v>
      </c>
      <c r="O17" s="415">
        <v>84034.020264549777</v>
      </c>
      <c r="P17" s="414">
        <v>172736.83983053625</v>
      </c>
      <c r="Q17" s="414">
        <v>249894.10121758786</v>
      </c>
      <c r="R17" s="414">
        <v>663671.32499999995</v>
      </c>
      <c r="S17" s="416">
        <f t="shared" si="0"/>
        <v>1170336.2863126737</v>
      </c>
      <c r="T17" s="417">
        <f t="shared" si="9"/>
        <v>-0.19910415339340354</v>
      </c>
      <c r="U17" s="442"/>
      <c r="V17" s="419">
        <f t="shared" si="1"/>
        <v>1170336.2863126737</v>
      </c>
      <c r="W17" s="425">
        <v>1857.38</v>
      </c>
      <c r="X17" s="425">
        <v>0</v>
      </c>
      <c r="Y17" s="425">
        <v>242114.51</v>
      </c>
      <c r="Z17" s="425">
        <v>0.3</v>
      </c>
      <c r="AA17" s="425">
        <v>1416.37</v>
      </c>
      <c r="AB17" s="425">
        <v>28786.799999999999</v>
      </c>
      <c r="AC17" s="425">
        <v>2361004.7999999998</v>
      </c>
      <c r="AD17" s="426">
        <v>13.97</v>
      </c>
      <c r="AE17" s="426">
        <v>13811.88</v>
      </c>
      <c r="AF17" s="421" t="s">
        <v>342</v>
      </c>
      <c r="AG17" s="422">
        <v>86985.44321938575</v>
      </c>
      <c r="AH17" s="423">
        <v>170769.7866193481</v>
      </c>
      <c r="AI17" s="423">
        <v>254664.30923199479</v>
      </c>
      <c r="AJ17" s="423">
        <v>696015.67500000005</v>
      </c>
      <c r="AK17" s="424">
        <f t="shared" si="2"/>
        <v>1208435.2140707287</v>
      </c>
      <c r="AL17" s="417">
        <f t="shared" si="10"/>
        <v>3.2553829359672021E-2</v>
      </c>
      <c r="AM17" s="442"/>
      <c r="AN17" s="424">
        <f t="shared" si="3"/>
        <v>1208435.2140707287</v>
      </c>
      <c r="AO17" s="425">
        <v>1890.4</v>
      </c>
      <c r="AP17" s="425">
        <v>7.0000000000000007E-2</v>
      </c>
      <c r="AQ17" s="425">
        <v>263729.19</v>
      </c>
      <c r="AR17" s="425">
        <v>0.34</v>
      </c>
      <c r="AS17" s="425">
        <v>1542.82</v>
      </c>
      <c r="AT17" s="425">
        <v>24462.58</v>
      </c>
      <c r="AU17" s="425">
        <v>2557938.35</v>
      </c>
      <c r="AV17" s="426">
        <v>12.29</v>
      </c>
      <c r="AW17" s="426">
        <v>14963.94</v>
      </c>
      <c r="AX17" s="421" t="s">
        <v>343</v>
      </c>
      <c r="AY17" s="427">
        <v>89815.379740587174</v>
      </c>
      <c r="AZ17" s="414">
        <v>169065.73284961871</v>
      </c>
      <c r="BA17" s="414">
        <v>259624.41256255907</v>
      </c>
      <c r="BB17" s="414">
        <v>732886.35</v>
      </c>
      <c r="BC17" s="424">
        <f t="shared" si="4"/>
        <v>1251391.8751527648</v>
      </c>
      <c r="BD17" s="417">
        <f t="shared" si="11"/>
        <v>3.554734302828904E-2</v>
      </c>
      <c r="BE17" s="442"/>
      <c r="BF17" s="424">
        <f t="shared" si="5"/>
        <v>1251391.8751527648</v>
      </c>
      <c r="BG17" s="425">
        <v>1901</v>
      </c>
      <c r="BH17" s="425">
        <v>0.05</v>
      </c>
      <c r="BI17" s="425">
        <v>260158.16</v>
      </c>
      <c r="BJ17" s="425">
        <v>0.37816946200000001</v>
      </c>
      <c r="BK17" s="425">
        <v>1521.93</v>
      </c>
      <c r="BL17" s="425">
        <v>24471.02</v>
      </c>
      <c r="BM17" s="425">
        <v>2484290.2200000002</v>
      </c>
      <c r="BN17" s="426">
        <v>12.47</v>
      </c>
      <c r="BO17" s="426">
        <v>14533.1</v>
      </c>
      <c r="BP17" s="421" t="s">
        <v>343</v>
      </c>
      <c r="BQ17" s="422">
        <v>94312.441624433981</v>
      </c>
      <c r="BR17" s="423">
        <v>162916.00525495622</v>
      </c>
      <c r="BS17" s="423">
        <v>265561.21732927993</v>
      </c>
      <c r="BT17" s="423">
        <v>770699.625</v>
      </c>
      <c r="BU17" s="424">
        <f t="shared" si="6"/>
        <v>1293489.2892086701</v>
      </c>
      <c r="BV17" s="417">
        <f t="shared" si="12"/>
        <v>3.3640472574401385E-2</v>
      </c>
      <c r="BW17" s="442"/>
      <c r="BX17" s="424">
        <f t="shared" si="7"/>
        <v>1293489.2892086701</v>
      </c>
      <c r="BY17" s="425">
        <v>1978</v>
      </c>
      <c r="BZ17" s="425">
        <v>0</v>
      </c>
      <c r="CA17" s="425">
        <v>304363</v>
      </c>
      <c r="CB17" s="425">
        <v>0</v>
      </c>
      <c r="CC17" s="425">
        <v>1781</v>
      </c>
      <c r="CD17" s="425">
        <v>25559</v>
      </c>
      <c r="CE17" s="425">
        <v>2937782</v>
      </c>
      <c r="CF17" s="426">
        <v>13</v>
      </c>
      <c r="CG17" s="426">
        <v>17186</v>
      </c>
      <c r="CH17" s="421" t="s">
        <v>343</v>
      </c>
    </row>
    <row r="18" spans="1:86" s="365" customFormat="1">
      <c r="A18" s="407" t="str">
        <f t="shared" si="8"/>
        <v>AgriculturalResource Acquisition</v>
      </c>
      <c r="B18" s="437" t="s">
        <v>352</v>
      </c>
      <c r="C18" s="438"/>
      <c r="D18" s="439" t="s">
        <v>353</v>
      </c>
      <c r="E18" s="635" t="s">
        <v>20</v>
      </c>
      <c r="F18" s="411" t="s">
        <v>16</v>
      </c>
      <c r="G18" s="411" t="s">
        <v>27</v>
      </c>
      <c r="H18" s="412" t="s">
        <v>18</v>
      </c>
      <c r="I18" s="413"/>
      <c r="J18" s="414"/>
      <c r="K18" s="414"/>
      <c r="L18" s="414"/>
      <c r="M18" s="414">
        <v>1057240</v>
      </c>
      <c r="N18" s="414">
        <v>974190</v>
      </c>
      <c r="O18" s="415">
        <v>55978.973042823578</v>
      </c>
      <c r="P18" s="414">
        <v>115157.89322035754</v>
      </c>
      <c r="Q18" s="414">
        <v>166584.36567839191</v>
      </c>
      <c r="R18" s="414">
        <v>442447.54999999993</v>
      </c>
      <c r="S18" s="416">
        <f t="shared" si="0"/>
        <v>780168.7819415729</v>
      </c>
      <c r="T18" s="417">
        <f t="shared" si="9"/>
        <v>-0.19916157839684978</v>
      </c>
      <c r="U18" s="442"/>
      <c r="V18" s="419">
        <f t="shared" si="1"/>
        <v>780168.7819415729</v>
      </c>
      <c r="W18" s="425">
        <v>1238.04</v>
      </c>
      <c r="X18" s="425">
        <v>0</v>
      </c>
      <c r="Y18" s="425">
        <v>161382.35999999999</v>
      </c>
      <c r="Z18" s="425">
        <v>0.2</v>
      </c>
      <c r="AA18" s="425">
        <v>944.09</v>
      </c>
      <c r="AB18" s="425">
        <v>19187.95</v>
      </c>
      <c r="AC18" s="425">
        <v>1573736.84</v>
      </c>
      <c r="AD18" s="426">
        <v>9.31</v>
      </c>
      <c r="AE18" s="426">
        <v>9206.36</v>
      </c>
      <c r="AF18" s="421" t="s">
        <v>342</v>
      </c>
      <c r="AG18" s="422">
        <v>57945.813383118119</v>
      </c>
      <c r="AH18" s="423">
        <v>113846.52441289875</v>
      </c>
      <c r="AI18" s="423">
        <v>169764.40865466319</v>
      </c>
      <c r="AJ18" s="423">
        <v>464010.4499999999</v>
      </c>
      <c r="AK18" s="424">
        <f t="shared" si="2"/>
        <v>805567.19645068003</v>
      </c>
      <c r="AL18" s="417">
        <f t="shared" si="10"/>
        <v>3.2555025395785732E-2</v>
      </c>
      <c r="AM18" s="442"/>
      <c r="AN18" s="424">
        <f t="shared" si="3"/>
        <v>805567.19645068003</v>
      </c>
      <c r="AO18" s="425">
        <v>1260.18</v>
      </c>
      <c r="AP18" s="425">
        <v>0.04</v>
      </c>
      <c r="AQ18" s="425">
        <v>175807.22</v>
      </c>
      <c r="AR18" s="425">
        <v>0.23</v>
      </c>
      <c r="AS18" s="425">
        <v>1028.47</v>
      </c>
      <c r="AT18" s="425">
        <v>16307.25</v>
      </c>
      <c r="AU18" s="425">
        <v>1705173.58</v>
      </c>
      <c r="AV18" s="426">
        <v>8.19</v>
      </c>
      <c r="AW18" s="426">
        <v>9975.27</v>
      </c>
      <c r="AX18" s="421" t="s">
        <v>343</v>
      </c>
      <c r="AY18" s="427">
        <v>59831.528205500814</v>
      </c>
      <c r="AZ18" s="414">
        <v>112710.4885664125</v>
      </c>
      <c r="BA18" s="414">
        <v>173070.99240837272</v>
      </c>
      <c r="BB18" s="414">
        <v>488590.89999999991</v>
      </c>
      <c r="BC18" s="424">
        <f t="shared" si="4"/>
        <v>834203.90918028599</v>
      </c>
      <c r="BD18" s="417">
        <f t="shared" si="11"/>
        <v>3.5548508995623201E-2</v>
      </c>
      <c r="BE18" s="442"/>
      <c r="BF18" s="424">
        <f t="shared" si="5"/>
        <v>834203.90918028599</v>
      </c>
      <c r="BG18" s="425">
        <v>1267</v>
      </c>
      <c r="BH18" s="425">
        <v>0.04</v>
      </c>
      <c r="BI18" s="425">
        <v>173426.85</v>
      </c>
      <c r="BJ18" s="425">
        <v>0.25209564699999998</v>
      </c>
      <c r="BK18" s="425">
        <v>1014.55</v>
      </c>
      <c r="BL18" s="425">
        <v>16312.89</v>
      </c>
      <c r="BM18" s="425">
        <v>1656079.65</v>
      </c>
      <c r="BN18" s="426">
        <v>8.32</v>
      </c>
      <c r="BO18" s="426">
        <v>9688.07</v>
      </c>
      <c r="BP18" s="421" t="s">
        <v>343</v>
      </c>
      <c r="BQ18" s="422">
        <v>62828.507858376077</v>
      </c>
      <c r="BR18" s="423">
        <v>108610.67016997084</v>
      </c>
      <c r="BS18" s="423">
        <v>177028.68405285326</v>
      </c>
      <c r="BT18" s="423">
        <v>513799.74999999988</v>
      </c>
      <c r="BU18" s="424">
        <f t="shared" si="6"/>
        <v>862267.61208120012</v>
      </c>
      <c r="BV18" s="417">
        <f t="shared" si="12"/>
        <v>3.3641298718547569E-2</v>
      </c>
      <c r="BW18" s="442"/>
      <c r="BX18" s="424">
        <f t="shared" si="7"/>
        <v>862267.61208120012</v>
      </c>
      <c r="BY18" s="425">
        <v>1319</v>
      </c>
      <c r="BZ18" s="425">
        <v>0</v>
      </c>
      <c r="CA18" s="425">
        <v>202895</v>
      </c>
      <c r="CB18" s="425">
        <v>0</v>
      </c>
      <c r="CC18" s="425">
        <v>1187</v>
      </c>
      <c r="CD18" s="425">
        <v>17038</v>
      </c>
      <c r="CE18" s="425">
        <v>1958388</v>
      </c>
      <c r="CF18" s="426">
        <v>9</v>
      </c>
      <c r="CG18" s="426">
        <v>11457</v>
      </c>
      <c r="CH18" s="421" t="s">
        <v>343</v>
      </c>
    </row>
    <row r="19" spans="1:86" s="365" customFormat="1">
      <c r="A19" s="407" t="str">
        <f t="shared" si="8"/>
        <v>CommercialResource Acquisition</v>
      </c>
      <c r="B19" s="437" t="s">
        <v>354</v>
      </c>
      <c r="C19" s="409"/>
      <c r="D19" s="410" t="s">
        <v>355</v>
      </c>
      <c r="E19" s="635" t="s">
        <v>20</v>
      </c>
      <c r="F19" s="411" t="s">
        <v>16</v>
      </c>
      <c r="G19" s="411" t="s">
        <v>22</v>
      </c>
      <c r="H19" s="412" t="s">
        <v>18</v>
      </c>
      <c r="I19" s="428"/>
      <c r="J19" s="414">
        <v>578000</v>
      </c>
      <c r="K19" s="414"/>
      <c r="L19" s="414">
        <v>211799</v>
      </c>
      <c r="M19" s="414">
        <v>323000</v>
      </c>
      <c r="N19" s="414">
        <v>218000</v>
      </c>
      <c r="O19" s="429">
        <v>108238.50176398647</v>
      </c>
      <c r="P19" s="430">
        <v>560.70698031497716</v>
      </c>
      <c r="Q19" s="430">
        <v>151560.85605041028</v>
      </c>
      <c r="R19" s="430">
        <v>0</v>
      </c>
      <c r="S19" s="445">
        <f t="shared" si="0"/>
        <v>260360.06479471171</v>
      </c>
      <c r="T19" s="417">
        <f t="shared" si="9"/>
        <v>0.1943122238289528</v>
      </c>
      <c r="U19" s="418"/>
      <c r="V19" s="419">
        <f t="shared" si="1"/>
        <v>260360.06479471171</v>
      </c>
      <c r="W19" s="434">
        <v>0</v>
      </c>
      <c r="X19" s="434">
        <v>0</v>
      </c>
      <c r="Y19" s="434">
        <v>0</v>
      </c>
      <c r="Z19" s="434">
        <v>0</v>
      </c>
      <c r="AA19" s="434">
        <v>0</v>
      </c>
      <c r="AB19" s="434">
        <v>0</v>
      </c>
      <c r="AC19" s="434">
        <v>0</v>
      </c>
      <c r="AD19" s="435">
        <v>0</v>
      </c>
      <c r="AE19" s="435">
        <v>0</v>
      </c>
      <c r="AF19" s="431" t="s">
        <v>342</v>
      </c>
      <c r="AG19" s="432">
        <v>110230.66910092854</v>
      </c>
      <c r="AH19" s="433">
        <v>575.61288328766227</v>
      </c>
      <c r="AI19" s="433">
        <v>150190.09508173453</v>
      </c>
      <c r="AJ19" s="433">
        <v>0</v>
      </c>
      <c r="AK19" s="424">
        <f t="shared" si="2"/>
        <v>260996.37706595071</v>
      </c>
      <c r="AL19" s="417">
        <f t="shared" si="10"/>
        <v>2.4439703214113179E-3</v>
      </c>
      <c r="AM19" s="418"/>
      <c r="AN19" s="424">
        <f t="shared" si="3"/>
        <v>260996.37706595071</v>
      </c>
      <c r="AO19" s="434">
        <v>0</v>
      </c>
      <c r="AP19" s="434">
        <v>0</v>
      </c>
      <c r="AQ19" s="434">
        <v>0</v>
      </c>
      <c r="AR19" s="434">
        <v>0</v>
      </c>
      <c r="AS19" s="434">
        <v>0</v>
      </c>
      <c r="AT19" s="434">
        <v>0</v>
      </c>
      <c r="AU19" s="434">
        <v>0</v>
      </c>
      <c r="AV19" s="435">
        <v>0</v>
      </c>
      <c r="AW19" s="435">
        <v>0</v>
      </c>
      <c r="AX19" s="431" t="s">
        <v>343</v>
      </c>
      <c r="AY19" s="436">
        <v>0</v>
      </c>
      <c r="AZ19" s="430">
        <v>0</v>
      </c>
      <c r="BA19" s="430">
        <v>0</v>
      </c>
      <c r="BB19" s="430">
        <v>0</v>
      </c>
      <c r="BC19" s="424">
        <f t="shared" si="4"/>
        <v>0</v>
      </c>
      <c r="BD19" s="417">
        <f t="shared" si="11"/>
        <v>-1</v>
      </c>
      <c r="BE19" s="418"/>
      <c r="BF19" s="424">
        <f t="shared" si="5"/>
        <v>0</v>
      </c>
      <c r="BG19" s="434">
        <v>0</v>
      </c>
      <c r="BH19" s="434">
        <v>0</v>
      </c>
      <c r="BI19" s="434">
        <v>0</v>
      </c>
      <c r="BJ19" s="434">
        <v>0</v>
      </c>
      <c r="BK19" s="434">
        <v>0</v>
      </c>
      <c r="BL19" s="434">
        <v>0</v>
      </c>
      <c r="BM19" s="434">
        <v>0</v>
      </c>
      <c r="BN19" s="435">
        <v>0</v>
      </c>
      <c r="BO19" s="435">
        <v>0</v>
      </c>
      <c r="BP19" s="431" t="s">
        <v>343</v>
      </c>
      <c r="BQ19" s="432">
        <v>0</v>
      </c>
      <c r="BR19" s="433">
        <v>0</v>
      </c>
      <c r="BS19" s="433">
        <v>0</v>
      </c>
      <c r="BT19" s="433">
        <v>0</v>
      </c>
      <c r="BU19" s="424">
        <f t="shared" si="6"/>
        <v>0</v>
      </c>
      <c r="BV19" s="417" t="e">
        <f t="shared" si="12"/>
        <v>#DIV/0!</v>
      </c>
      <c r="BW19" s="418"/>
      <c r="BX19" s="424">
        <f t="shared" si="7"/>
        <v>0</v>
      </c>
      <c r="BY19" s="434">
        <v>0</v>
      </c>
      <c r="BZ19" s="434">
        <v>0</v>
      </c>
      <c r="CA19" s="434">
        <v>0</v>
      </c>
      <c r="CB19" s="434">
        <v>0</v>
      </c>
      <c r="CC19" s="434">
        <v>0</v>
      </c>
      <c r="CD19" s="434">
        <v>0</v>
      </c>
      <c r="CE19" s="434">
        <v>0</v>
      </c>
      <c r="CF19" s="435">
        <v>0</v>
      </c>
      <c r="CG19" s="435">
        <v>0</v>
      </c>
      <c r="CH19" s="431" t="s">
        <v>343</v>
      </c>
    </row>
    <row r="20" spans="1:86" s="365" customFormat="1">
      <c r="A20" s="407" t="str">
        <f t="shared" si="8"/>
        <v>CommercialResource Acquisition</v>
      </c>
      <c r="B20" s="408" t="s">
        <v>356</v>
      </c>
      <c r="C20" s="409"/>
      <c r="D20" s="410" t="s">
        <v>357</v>
      </c>
      <c r="E20" s="635" t="s">
        <v>20</v>
      </c>
      <c r="F20" s="411" t="s">
        <v>16</v>
      </c>
      <c r="G20" s="411" t="s">
        <v>22</v>
      </c>
      <c r="H20" s="412" t="s">
        <v>18</v>
      </c>
      <c r="I20" s="428"/>
      <c r="J20" s="414">
        <v>202844.58</v>
      </c>
      <c r="K20" s="414"/>
      <c r="L20" s="414">
        <v>902</v>
      </c>
      <c r="M20" s="414">
        <v>329239</v>
      </c>
      <c r="N20" s="414">
        <v>341942</v>
      </c>
      <c r="O20" s="429">
        <v>118124.88572557092</v>
      </c>
      <c r="P20" s="430">
        <v>560.70698031497716</v>
      </c>
      <c r="Q20" s="430">
        <v>405841.05225532339</v>
      </c>
      <c r="R20" s="430">
        <v>0</v>
      </c>
      <c r="S20" s="445">
        <f t="shared" si="0"/>
        <v>524526.64496120927</v>
      </c>
      <c r="T20" s="417">
        <f t="shared" si="9"/>
        <v>0.53396378614270623</v>
      </c>
      <c r="U20" s="418"/>
      <c r="V20" s="419">
        <f t="shared" si="1"/>
        <v>524526.64496120927</v>
      </c>
      <c r="W20" s="434">
        <v>0</v>
      </c>
      <c r="X20" s="434">
        <v>0</v>
      </c>
      <c r="Y20" s="434">
        <v>0</v>
      </c>
      <c r="Z20" s="434">
        <v>0</v>
      </c>
      <c r="AA20" s="434">
        <v>0</v>
      </c>
      <c r="AB20" s="434">
        <v>0</v>
      </c>
      <c r="AC20" s="434">
        <v>0</v>
      </c>
      <c r="AD20" s="435">
        <v>0</v>
      </c>
      <c r="AE20" s="435">
        <v>0</v>
      </c>
      <c r="AF20" s="431" t="s">
        <v>342</v>
      </c>
      <c r="AG20" s="432">
        <v>120605.30742545844</v>
      </c>
      <c r="AH20" s="433">
        <v>575.61288328766227</v>
      </c>
      <c r="AI20" s="433">
        <v>413114.26151124458</v>
      </c>
      <c r="AJ20" s="433">
        <v>0</v>
      </c>
      <c r="AK20" s="424">
        <f t="shared" si="2"/>
        <v>534295.18181999063</v>
      </c>
      <c r="AL20" s="417">
        <f t="shared" si="10"/>
        <v>1.862352838053399E-2</v>
      </c>
      <c r="AM20" s="418"/>
      <c r="AN20" s="424">
        <f t="shared" si="3"/>
        <v>534295.18181999063</v>
      </c>
      <c r="AO20" s="434">
        <v>0</v>
      </c>
      <c r="AP20" s="434">
        <v>0</v>
      </c>
      <c r="AQ20" s="434">
        <v>0</v>
      </c>
      <c r="AR20" s="434">
        <v>0</v>
      </c>
      <c r="AS20" s="434">
        <v>0</v>
      </c>
      <c r="AT20" s="434">
        <v>0</v>
      </c>
      <c r="AU20" s="434">
        <v>0</v>
      </c>
      <c r="AV20" s="435">
        <v>0</v>
      </c>
      <c r="AW20" s="435">
        <v>0</v>
      </c>
      <c r="AX20" s="431" t="s">
        <v>343</v>
      </c>
      <c r="AY20" s="436">
        <v>123300.95031547114</v>
      </c>
      <c r="AZ20" s="430">
        <v>591.69288135751083</v>
      </c>
      <c r="BA20" s="430">
        <v>421753.0462259436</v>
      </c>
      <c r="BB20" s="430">
        <v>0</v>
      </c>
      <c r="BC20" s="424">
        <f t="shared" si="4"/>
        <v>545645.68942277227</v>
      </c>
      <c r="BD20" s="417">
        <f t="shared" si="11"/>
        <v>2.1243889125329485E-2</v>
      </c>
      <c r="BE20" s="418"/>
      <c r="BF20" s="424">
        <f t="shared" si="5"/>
        <v>545645.68942277227</v>
      </c>
      <c r="BG20" s="434">
        <v>0</v>
      </c>
      <c r="BH20" s="434">
        <v>0</v>
      </c>
      <c r="BI20" s="434">
        <v>0</v>
      </c>
      <c r="BJ20" s="434">
        <v>0</v>
      </c>
      <c r="BK20" s="434">
        <v>0</v>
      </c>
      <c r="BL20" s="434">
        <v>0</v>
      </c>
      <c r="BM20" s="434">
        <v>0</v>
      </c>
      <c r="BN20" s="435">
        <v>0</v>
      </c>
      <c r="BO20" s="435">
        <v>0</v>
      </c>
      <c r="BP20" s="431" t="s">
        <v>343</v>
      </c>
      <c r="BQ20" s="432">
        <v>126905.18834501898</v>
      </c>
      <c r="BR20" s="433">
        <v>608.48754600824179</v>
      </c>
      <c r="BS20" s="433">
        <v>431096.58168191795</v>
      </c>
      <c r="BT20" s="433">
        <v>0</v>
      </c>
      <c r="BU20" s="424">
        <f t="shared" si="6"/>
        <v>558610.25757294521</v>
      </c>
      <c r="BV20" s="417">
        <f t="shared" si="12"/>
        <v>2.3760048693664014E-2</v>
      </c>
      <c r="BW20" s="418"/>
      <c r="BX20" s="424">
        <f t="shared" si="7"/>
        <v>558610.25757294521</v>
      </c>
      <c r="BY20" s="434">
        <v>0</v>
      </c>
      <c r="BZ20" s="434">
        <v>0</v>
      </c>
      <c r="CA20" s="434">
        <v>0</v>
      </c>
      <c r="CB20" s="434">
        <v>0</v>
      </c>
      <c r="CC20" s="434">
        <v>0</v>
      </c>
      <c r="CD20" s="434">
        <v>0</v>
      </c>
      <c r="CE20" s="434">
        <v>0</v>
      </c>
      <c r="CF20" s="435">
        <v>0</v>
      </c>
      <c r="CG20" s="435">
        <v>0</v>
      </c>
      <c r="CH20" s="431" t="s">
        <v>343</v>
      </c>
    </row>
    <row r="21" spans="1:86" s="365" customFormat="1">
      <c r="A21" s="407" t="str">
        <f t="shared" si="8"/>
        <v>CommercialMarket Support</v>
      </c>
      <c r="B21" s="437" t="s">
        <v>358</v>
      </c>
      <c r="C21" s="438"/>
      <c r="D21" s="439" t="s">
        <v>359</v>
      </c>
      <c r="E21" s="635" t="s">
        <v>20</v>
      </c>
      <c r="F21" s="411" t="s">
        <v>16</v>
      </c>
      <c r="G21" s="411" t="s">
        <v>22</v>
      </c>
      <c r="H21" s="412" t="s">
        <v>23</v>
      </c>
      <c r="I21" s="413"/>
      <c r="J21" s="414"/>
      <c r="K21" s="414"/>
      <c r="L21" s="414"/>
      <c r="M21" s="414">
        <v>2000</v>
      </c>
      <c r="N21" s="414">
        <v>2500</v>
      </c>
      <c r="O21" s="415">
        <v>934.06831214635804</v>
      </c>
      <c r="P21" s="414">
        <v>73.13569308456222</v>
      </c>
      <c r="Q21" s="414">
        <v>9980.5923764573345</v>
      </c>
      <c r="R21" s="414">
        <v>0</v>
      </c>
      <c r="S21" s="416">
        <f t="shared" si="0"/>
        <v>10987.796381688255</v>
      </c>
      <c r="T21" s="417">
        <f t="shared" si="9"/>
        <v>3.395118552675302</v>
      </c>
      <c r="U21" s="442"/>
      <c r="V21" s="419">
        <f t="shared" si="1"/>
        <v>10987.796381688255</v>
      </c>
      <c r="W21" s="434">
        <v>0</v>
      </c>
      <c r="X21" s="434">
        <v>0</v>
      </c>
      <c r="Y21" s="434">
        <v>0</v>
      </c>
      <c r="Z21" s="434">
        <v>0</v>
      </c>
      <c r="AA21" s="434">
        <v>0</v>
      </c>
      <c r="AB21" s="434">
        <v>0</v>
      </c>
      <c r="AC21" s="434">
        <v>0</v>
      </c>
      <c r="AD21" s="435">
        <v>0</v>
      </c>
      <c r="AE21" s="435">
        <v>0</v>
      </c>
      <c r="AF21" s="421" t="s">
        <v>342</v>
      </c>
      <c r="AG21" s="422">
        <v>965.4399616301572</v>
      </c>
      <c r="AH21" s="423">
        <v>75.079941298390722</v>
      </c>
      <c r="AI21" s="423">
        <v>10185.757730169462</v>
      </c>
      <c r="AJ21" s="423">
        <v>0</v>
      </c>
      <c r="AK21" s="424">
        <f t="shared" si="2"/>
        <v>11226.27763309801</v>
      </c>
      <c r="AL21" s="417">
        <f t="shared" si="10"/>
        <v>2.1704192826798044E-2</v>
      </c>
      <c r="AM21" s="442"/>
      <c r="AN21" s="424">
        <f t="shared" si="3"/>
        <v>11226.27763309801</v>
      </c>
      <c r="AO21" s="434">
        <v>0</v>
      </c>
      <c r="AP21" s="434">
        <v>0</v>
      </c>
      <c r="AQ21" s="434">
        <v>0</v>
      </c>
      <c r="AR21" s="434">
        <v>0</v>
      </c>
      <c r="AS21" s="434">
        <v>0</v>
      </c>
      <c r="AT21" s="434">
        <v>0</v>
      </c>
      <c r="AU21" s="434">
        <v>0</v>
      </c>
      <c r="AV21" s="435">
        <v>0</v>
      </c>
      <c r="AW21" s="435">
        <v>0</v>
      </c>
      <c r="AX21" s="421" t="s">
        <v>343</v>
      </c>
      <c r="AY21" s="427">
        <v>995.12962860409357</v>
      </c>
      <c r="AZ21" s="414">
        <v>77.177332350979668</v>
      </c>
      <c r="BA21" s="414">
        <v>10420.64756998799</v>
      </c>
      <c r="BB21" s="414">
        <v>0</v>
      </c>
      <c r="BC21" s="424">
        <f t="shared" si="4"/>
        <v>11492.954530943063</v>
      </c>
      <c r="BD21" s="417">
        <f t="shared" si="11"/>
        <v>2.3754703612426199E-2</v>
      </c>
      <c r="BE21" s="442"/>
      <c r="BF21" s="424">
        <f t="shared" si="5"/>
        <v>11492.954530943063</v>
      </c>
      <c r="BG21" s="434">
        <v>0</v>
      </c>
      <c r="BH21" s="434">
        <v>0</v>
      </c>
      <c r="BI21" s="434">
        <v>0</v>
      </c>
      <c r="BJ21" s="434">
        <v>0</v>
      </c>
      <c r="BK21" s="434">
        <v>0</v>
      </c>
      <c r="BL21" s="434">
        <v>0</v>
      </c>
      <c r="BM21" s="434">
        <v>0</v>
      </c>
      <c r="BN21" s="435">
        <v>0</v>
      </c>
      <c r="BO21" s="435">
        <v>0</v>
      </c>
      <c r="BP21" s="421" t="s">
        <v>343</v>
      </c>
      <c r="BQ21" s="422">
        <v>1040.9342585971881</v>
      </c>
      <c r="BR21" s="423">
        <v>79.367940783683693</v>
      </c>
      <c r="BS21" s="423">
        <v>10671.466473638447</v>
      </c>
      <c r="BT21" s="423">
        <v>0</v>
      </c>
      <c r="BU21" s="424">
        <f t="shared" si="6"/>
        <v>11791.76867301932</v>
      </c>
      <c r="BV21" s="417">
        <f t="shared" si="12"/>
        <v>2.5999767185343362E-2</v>
      </c>
      <c r="BW21" s="442"/>
      <c r="BX21" s="424">
        <f t="shared" si="7"/>
        <v>11791.76867301932</v>
      </c>
      <c r="BY21" s="425">
        <v>0</v>
      </c>
      <c r="BZ21" s="425">
        <v>0</v>
      </c>
      <c r="CA21" s="425">
        <v>0</v>
      </c>
      <c r="CB21" s="425">
        <v>0</v>
      </c>
      <c r="CC21" s="425">
        <v>0</v>
      </c>
      <c r="CD21" s="425">
        <v>0</v>
      </c>
      <c r="CE21" s="425">
        <v>0</v>
      </c>
      <c r="CF21" s="426">
        <v>0</v>
      </c>
      <c r="CG21" s="426">
        <v>0</v>
      </c>
      <c r="CH21" s="421" t="s">
        <v>343</v>
      </c>
    </row>
    <row r="22" spans="1:86" s="365" customFormat="1">
      <c r="A22" s="407" t="str">
        <f t="shared" si="8"/>
        <v>CommercialResource Acquisition</v>
      </c>
      <c r="B22" s="437" t="s">
        <v>360</v>
      </c>
      <c r="C22" s="438"/>
      <c r="D22" s="439" t="s">
        <v>361</v>
      </c>
      <c r="E22" s="635" t="s">
        <v>20</v>
      </c>
      <c r="F22" s="411" t="s">
        <v>16</v>
      </c>
      <c r="G22" s="411" t="s">
        <v>22</v>
      </c>
      <c r="H22" s="412" t="s">
        <v>18</v>
      </c>
      <c r="I22" s="413"/>
      <c r="J22" s="414">
        <v>216786.98</v>
      </c>
      <c r="K22" s="414"/>
      <c r="L22" s="414"/>
      <c r="M22" s="414">
        <v>349768</v>
      </c>
      <c r="N22" s="414">
        <v>361868</v>
      </c>
      <c r="O22" s="415">
        <v>108519.78408352972</v>
      </c>
      <c r="P22" s="414">
        <v>609.46410903801859</v>
      </c>
      <c r="Q22" s="414">
        <v>312178.44245894108</v>
      </c>
      <c r="R22" s="414">
        <v>0</v>
      </c>
      <c r="S22" s="416">
        <f t="shared" si="0"/>
        <v>421307.6906515088</v>
      </c>
      <c r="T22" s="417">
        <f t="shared" si="9"/>
        <v>0.16425793563263069</v>
      </c>
      <c r="U22" s="442"/>
      <c r="V22" s="419">
        <f t="shared" si="1"/>
        <v>421307.6906515088</v>
      </c>
      <c r="W22" s="434">
        <v>0</v>
      </c>
      <c r="X22" s="434">
        <v>0</v>
      </c>
      <c r="Y22" s="434">
        <v>0</v>
      </c>
      <c r="Z22" s="434">
        <v>0</v>
      </c>
      <c r="AA22" s="434">
        <v>0</v>
      </c>
      <c r="AB22" s="434">
        <v>0</v>
      </c>
      <c r="AC22" s="434">
        <v>0</v>
      </c>
      <c r="AD22" s="435">
        <v>0</v>
      </c>
      <c r="AE22" s="435">
        <v>0</v>
      </c>
      <c r="AF22" s="421" t="s">
        <v>342</v>
      </c>
      <c r="AG22" s="422">
        <v>110852.20206420263</v>
      </c>
      <c r="AH22" s="423">
        <v>625.66617748658939</v>
      </c>
      <c r="AI22" s="423">
        <v>318698.23167650693</v>
      </c>
      <c r="AJ22" s="423">
        <v>0</v>
      </c>
      <c r="AK22" s="424">
        <f t="shared" si="2"/>
        <v>430176.09991819615</v>
      </c>
      <c r="AL22" s="417">
        <f t="shared" si="10"/>
        <v>2.1049720817992355E-2</v>
      </c>
      <c r="AM22" s="442"/>
      <c r="AN22" s="424">
        <f t="shared" si="3"/>
        <v>430176.09991819615</v>
      </c>
      <c r="AO22" s="434">
        <v>0</v>
      </c>
      <c r="AP22" s="434">
        <v>0</v>
      </c>
      <c r="AQ22" s="434">
        <v>0</v>
      </c>
      <c r="AR22" s="434">
        <v>0</v>
      </c>
      <c r="AS22" s="434">
        <v>0</v>
      </c>
      <c r="AT22" s="434">
        <v>0</v>
      </c>
      <c r="AU22" s="434">
        <v>0</v>
      </c>
      <c r="AV22" s="435">
        <v>0</v>
      </c>
      <c r="AW22" s="435">
        <v>0</v>
      </c>
      <c r="AX22" s="421" t="s">
        <v>343</v>
      </c>
      <c r="AY22" s="427">
        <v>113390.02559521291</v>
      </c>
      <c r="AZ22" s="414">
        <v>643.14443625816398</v>
      </c>
      <c r="BA22" s="414">
        <v>326132.72056492424</v>
      </c>
      <c r="BB22" s="414">
        <v>0</v>
      </c>
      <c r="BC22" s="424">
        <f t="shared" si="4"/>
        <v>440165.8905963953</v>
      </c>
      <c r="BD22" s="417">
        <f t="shared" si="11"/>
        <v>2.3222560900289072E-2</v>
      </c>
      <c r="BE22" s="442"/>
      <c r="BF22" s="424">
        <f t="shared" si="5"/>
        <v>440165.8905963953</v>
      </c>
      <c r="BG22" s="434">
        <v>0</v>
      </c>
      <c r="BH22" s="434">
        <v>0</v>
      </c>
      <c r="BI22" s="434">
        <v>0</v>
      </c>
      <c r="BJ22" s="434">
        <v>0</v>
      </c>
      <c r="BK22" s="434">
        <v>0</v>
      </c>
      <c r="BL22" s="434">
        <v>0</v>
      </c>
      <c r="BM22" s="434">
        <v>0</v>
      </c>
      <c r="BN22" s="435">
        <v>0</v>
      </c>
      <c r="BO22" s="435">
        <v>0</v>
      </c>
      <c r="BP22" s="421" t="s">
        <v>343</v>
      </c>
      <c r="BQ22" s="422">
        <v>116680.18406389876</v>
      </c>
      <c r="BR22" s="423">
        <v>661.39950653069752</v>
      </c>
      <c r="BS22" s="423">
        <v>334059.98091773334</v>
      </c>
      <c r="BT22" s="423">
        <v>0</v>
      </c>
      <c r="BU22" s="424">
        <f t="shared" si="6"/>
        <v>451401.56448816281</v>
      </c>
      <c r="BV22" s="417">
        <f t="shared" si="12"/>
        <v>2.5525998565095367E-2</v>
      </c>
      <c r="BW22" s="442"/>
      <c r="BX22" s="424">
        <f t="shared" si="7"/>
        <v>451401.56448816281</v>
      </c>
      <c r="BY22" s="425">
        <v>0</v>
      </c>
      <c r="BZ22" s="425">
        <v>0</v>
      </c>
      <c r="CA22" s="425">
        <v>0</v>
      </c>
      <c r="CB22" s="425">
        <v>0</v>
      </c>
      <c r="CC22" s="425">
        <v>0</v>
      </c>
      <c r="CD22" s="425">
        <v>0</v>
      </c>
      <c r="CE22" s="425">
        <v>0</v>
      </c>
      <c r="CF22" s="426">
        <v>0</v>
      </c>
      <c r="CG22" s="426">
        <v>0</v>
      </c>
      <c r="CH22" s="421" t="s">
        <v>343</v>
      </c>
    </row>
    <row r="23" spans="1:86" s="365" customFormat="1">
      <c r="A23" s="407" t="str">
        <f t="shared" si="8"/>
        <v>CommercialResource Acquisition</v>
      </c>
      <c r="B23" s="437" t="s">
        <v>362</v>
      </c>
      <c r="C23" s="438"/>
      <c r="D23" s="439" t="s">
        <v>363</v>
      </c>
      <c r="E23" s="635" t="s">
        <v>20</v>
      </c>
      <c r="F23" s="411" t="s">
        <v>16</v>
      </c>
      <c r="G23" s="411" t="s">
        <v>22</v>
      </c>
      <c r="H23" s="412" t="s">
        <v>18</v>
      </c>
      <c r="I23" s="413"/>
      <c r="J23" s="414"/>
      <c r="K23" s="414"/>
      <c r="L23" s="414"/>
      <c r="M23" s="414"/>
      <c r="N23" s="414"/>
      <c r="O23" s="415">
        <v>601.0933984433052</v>
      </c>
      <c r="P23" s="414">
        <v>24.378564361520745</v>
      </c>
      <c r="Q23" s="414">
        <v>9297.4289924967397</v>
      </c>
      <c r="R23" s="414">
        <v>0</v>
      </c>
      <c r="S23" s="416">
        <f t="shared" si="0"/>
        <v>9922.9009553015658</v>
      </c>
      <c r="T23" s="417" t="e">
        <f t="shared" si="9"/>
        <v>#DIV/0!</v>
      </c>
      <c r="U23" s="442"/>
      <c r="V23" s="419">
        <f t="shared" si="1"/>
        <v>9922.9009553015658</v>
      </c>
      <c r="W23" s="434">
        <v>0</v>
      </c>
      <c r="X23" s="434">
        <v>0</v>
      </c>
      <c r="Y23" s="434">
        <v>0</v>
      </c>
      <c r="Z23" s="434">
        <v>0</v>
      </c>
      <c r="AA23" s="434">
        <v>0</v>
      </c>
      <c r="AB23" s="434">
        <v>0</v>
      </c>
      <c r="AC23" s="434">
        <v>0</v>
      </c>
      <c r="AD23" s="435">
        <v>0</v>
      </c>
      <c r="AE23" s="435">
        <v>0</v>
      </c>
      <c r="AF23" s="421" t="s">
        <v>342</v>
      </c>
      <c r="AG23" s="422">
        <v>622.81907189747733</v>
      </c>
      <c r="AH23" s="423">
        <v>25.026647099463577</v>
      </c>
      <c r="AI23" s="423">
        <v>9484.4330472179281</v>
      </c>
      <c r="AJ23" s="423">
        <v>0</v>
      </c>
      <c r="AK23" s="424">
        <f t="shared" si="2"/>
        <v>10132.278766214869</v>
      </c>
      <c r="AL23" s="417">
        <f t="shared" si="10"/>
        <v>2.1100463650343917E-2</v>
      </c>
      <c r="AM23" s="442"/>
      <c r="AN23" s="424">
        <f t="shared" si="3"/>
        <v>10132.278766214869</v>
      </c>
      <c r="AO23" s="434">
        <v>0</v>
      </c>
      <c r="AP23" s="434">
        <v>0</v>
      </c>
      <c r="AQ23" s="434">
        <v>0</v>
      </c>
      <c r="AR23" s="434">
        <v>0</v>
      </c>
      <c r="AS23" s="434">
        <v>0</v>
      </c>
      <c r="AT23" s="434">
        <v>0</v>
      </c>
      <c r="AU23" s="434">
        <v>0</v>
      </c>
      <c r="AV23" s="435">
        <v>0</v>
      </c>
      <c r="AW23" s="435">
        <v>0</v>
      </c>
      <c r="AX23" s="421" t="s">
        <v>343</v>
      </c>
      <c r="AY23" s="427">
        <v>642.53766286976452</v>
      </c>
      <c r="AZ23" s="414">
        <v>25.725777450326561</v>
      </c>
      <c r="BA23" s="414">
        <v>9699.7310747688316</v>
      </c>
      <c r="BB23" s="414">
        <v>0</v>
      </c>
      <c r="BC23" s="424">
        <f t="shared" si="4"/>
        <v>10367.994515088923</v>
      </c>
      <c r="BD23" s="417">
        <f t="shared" si="11"/>
        <v>2.3263843634072332E-2</v>
      </c>
      <c r="BE23" s="442"/>
      <c r="BF23" s="424">
        <f t="shared" si="5"/>
        <v>10367.994515088923</v>
      </c>
      <c r="BG23" s="434">
        <v>0</v>
      </c>
      <c r="BH23" s="434">
        <v>0</v>
      </c>
      <c r="BI23" s="434">
        <v>0</v>
      </c>
      <c r="BJ23" s="434">
        <v>0</v>
      </c>
      <c r="BK23" s="434">
        <v>0</v>
      </c>
      <c r="BL23" s="434">
        <v>0</v>
      </c>
      <c r="BM23" s="434">
        <v>0</v>
      </c>
      <c r="BN23" s="435">
        <v>0</v>
      </c>
      <c r="BO23" s="435">
        <v>0</v>
      </c>
      <c r="BP23" s="421" t="s">
        <v>343</v>
      </c>
      <c r="BQ23" s="422">
        <v>676.48577883624648</v>
      </c>
      <c r="BR23" s="423">
        <v>26.455980261227904</v>
      </c>
      <c r="BS23" s="423">
        <v>9930.0874189397691</v>
      </c>
      <c r="BT23" s="423">
        <v>0</v>
      </c>
      <c r="BU23" s="424">
        <f t="shared" si="6"/>
        <v>10633.029178037243</v>
      </c>
      <c r="BV23" s="417">
        <f t="shared" si="12"/>
        <v>2.5562770366304163E-2</v>
      </c>
      <c r="BW23" s="442"/>
      <c r="BX23" s="424">
        <f t="shared" si="7"/>
        <v>10633.029178037243</v>
      </c>
      <c r="BY23" s="425">
        <v>0</v>
      </c>
      <c r="BZ23" s="425">
        <v>0</v>
      </c>
      <c r="CA23" s="425">
        <v>0</v>
      </c>
      <c r="CB23" s="425">
        <v>0</v>
      </c>
      <c r="CC23" s="425">
        <v>0</v>
      </c>
      <c r="CD23" s="425">
        <v>0</v>
      </c>
      <c r="CE23" s="425">
        <v>0</v>
      </c>
      <c r="CF23" s="426">
        <v>0</v>
      </c>
      <c r="CG23" s="426">
        <v>0</v>
      </c>
      <c r="CH23" s="421" t="s">
        <v>343</v>
      </c>
    </row>
    <row r="24" spans="1:86" s="365" customFormat="1">
      <c r="A24" s="407" t="str">
        <f t="shared" si="8"/>
        <v>Emerging TechMarket Support</v>
      </c>
      <c r="B24" s="437" t="s">
        <v>364</v>
      </c>
      <c r="C24" s="438"/>
      <c r="D24" s="439" t="s">
        <v>365</v>
      </c>
      <c r="E24" s="635" t="s">
        <v>15</v>
      </c>
      <c r="F24" s="411" t="s">
        <v>16</v>
      </c>
      <c r="G24" s="411" t="s">
        <v>29</v>
      </c>
      <c r="H24" s="412" t="s">
        <v>23</v>
      </c>
      <c r="I24" s="413"/>
      <c r="J24" s="414">
        <v>10800</v>
      </c>
      <c r="K24" s="414"/>
      <c r="L24" s="414"/>
      <c r="M24" s="414">
        <v>310738</v>
      </c>
      <c r="N24" s="414">
        <v>320933</v>
      </c>
      <c r="O24" s="415">
        <v>87940.148710063411</v>
      </c>
      <c r="P24" s="414">
        <v>0</v>
      </c>
      <c r="Q24" s="414">
        <v>303449.60209359502</v>
      </c>
      <c r="R24" s="414">
        <v>0</v>
      </c>
      <c r="S24" s="416">
        <f t="shared" si="0"/>
        <v>391389.75080365845</v>
      </c>
      <c r="T24" s="417">
        <f t="shared" si="9"/>
        <v>0.21953725794374043</v>
      </c>
      <c r="U24" s="442"/>
      <c r="V24" s="419">
        <f t="shared" si="1"/>
        <v>391389.75080365845</v>
      </c>
      <c r="W24" s="434">
        <v>0</v>
      </c>
      <c r="X24" s="434">
        <v>0</v>
      </c>
      <c r="Y24" s="434">
        <v>0</v>
      </c>
      <c r="Z24" s="434">
        <v>0</v>
      </c>
      <c r="AA24" s="434">
        <v>0</v>
      </c>
      <c r="AB24" s="434">
        <v>0</v>
      </c>
      <c r="AC24" s="434">
        <v>0</v>
      </c>
      <c r="AD24" s="435">
        <v>0</v>
      </c>
      <c r="AE24" s="435">
        <v>0</v>
      </c>
      <c r="AF24" s="421" t="s">
        <v>342</v>
      </c>
      <c r="AG24" s="422">
        <v>90021.393920502349</v>
      </c>
      <c r="AH24" s="423">
        <v>0</v>
      </c>
      <c r="AI24" s="423">
        <v>308840.02946024918</v>
      </c>
      <c r="AJ24" s="423">
        <v>0</v>
      </c>
      <c r="AK24" s="424">
        <f t="shared" si="2"/>
        <v>398861.42338075151</v>
      </c>
      <c r="AL24" s="417">
        <f t="shared" si="10"/>
        <v>1.9090107908424116E-2</v>
      </c>
      <c r="AM24" s="442"/>
      <c r="AN24" s="424">
        <f t="shared" si="3"/>
        <v>398861.42338075151</v>
      </c>
      <c r="AO24" s="434">
        <v>0</v>
      </c>
      <c r="AP24" s="434">
        <v>0</v>
      </c>
      <c r="AQ24" s="434">
        <v>0</v>
      </c>
      <c r="AR24" s="434">
        <v>0</v>
      </c>
      <c r="AS24" s="434">
        <v>0</v>
      </c>
      <c r="AT24" s="434">
        <v>0</v>
      </c>
      <c r="AU24" s="434">
        <v>0</v>
      </c>
      <c r="AV24" s="435">
        <v>0</v>
      </c>
      <c r="AW24" s="435">
        <v>0</v>
      </c>
      <c r="AX24" s="421" t="s">
        <v>343</v>
      </c>
      <c r="AY24" s="427">
        <v>92228.340420800421</v>
      </c>
      <c r="AZ24" s="414">
        <v>0</v>
      </c>
      <c r="BA24" s="414">
        <v>315258.51625818101</v>
      </c>
      <c r="BB24" s="414">
        <v>0</v>
      </c>
      <c r="BC24" s="424">
        <f t="shared" si="4"/>
        <v>407486.85667898145</v>
      </c>
      <c r="BD24" s="417">
        <f t="shared" si="11"/>
        <v>2.1625137936681669E-2</v>
      </c>
      <c r="BE24" s="442"/>
      <c r="BF24" s="424">
        <f t="shared" si="5"/>
        <v>407486.85667898145</v>
      </c>
      <c r="BG24" s="434">
        <v>0</v>
      </c>
      <c r="BH24" s="434">
        <v>0</v>
      </c>
      <c r="BI24" s="434">
        <v>0</v>
      </c>
      <c r="BJ24" s="434">
        <v>0</v>
      </c>
      <c r="BK24" s="434">
        <v>0</v>
      </c>
      <c r="BL24" s="434">
        <v>0</v>
      </c>
      <c r="BM24" s="434">
        <v>0</v>
      </c>
      <c r="BN24" s="435">
        <v>0</v>
      </c>
      <c r="BO24" s="435">
        <v>0</v>
      </c>
      <c r="BP24" s="421" t="s">
        <v>343</v>
      </c>
      <c r="BQ24" s="422">
        <v>95101.135682062566</v>
      </c>
      <c r="BR24" s="423">
        <v>0</v>
      </c>
      <c r="BS24" s="423">
        <v>322206.49753602082</v>
      </c>
      <c r="BT24" s="423">
        <v>0</v>
      </c>
      <c r="BU24" s="424">
        <f t="shared" si="6"/>
        <v>417307.63321808341</v>
      </c>
      <c r="BV24" s="417">
        <f t="shared" si="12"/>
        <v>2.4100842464322182E-2</v>
      </c>
      <c r="BW24" s="442"/>
      <c r="BX24" s="424">
        <f t="shared" si="7"/>
        <v>417307.63321808341</v>
      </c>
      <c r="BY24" s="425">
        <v>0</v>
      </c>
      <c r="BZ24" s="425">
        <v>0</v>
      </c>
      <c r="CA24" s="425">
        <v>0</v>
      </c>
      <c r="CB24" s="425">
        <v>0</v>
      </c>
      <c r="CC24" s="425">
        <v>0</v>
      </c>
      <c r="CD24" s="425">
        <v>0</v>
      </c>
      <c r="CE24" s="425">
        <v>0</v>
      </c>
      <c r="CF24" s="426">
        <v>0</v>
      </c>
      <c r="CG24" s="426">
        <v>0</v>
      </c>
      <c r="CH24" s="421" t="s">
        <v>343</v>
      </c>
    </row>
    <row r="25" spans="1:86" s="365" customFormat="1">
      <c r="A25" s="407" t="str">
        <f t="shared" si="8"/>
        <v>FinanceMarket Support</v>
      </c>
      <c r="B25" s="437" t="s">
        <v>366</v>
      </c>
      <c r="C25" s="438"/>
      <c r="D25" s="443" t="s">
        <v>367</v>
      </c>
      <c r="E25" s="635" t="s">
        <v>15</v>
      </c>
      <c r="F25" s="411" t="s">
        <v>16</v>
      </c>
      <c r="G25" s="411" t="s">
        <v>34</v>
      </c>
      <c r="H25" s="412" t="s">
        <v>23</v>
      </c>
      <c r="I25" s="444"/>
      <c r="J25" s="414">
        <v>650000</v>
      </c>
      <c r="K25" s="414"/>
      <c r="L25" s="414">
        <v>124725</v>
      </c>
      <c r="M25" s="414">
        <v>650000</v>
      </c>
      <c r="N25" s="414">
        <v>650000</v>
      </c>
      <c r="O25" s="415">
        <v>107448.24003901833</v>
      </c>
      <c r="P25" s="414">
        <v>3778.6774760357152</v>
      </c>
      <c r="Q25" s="414">
        <v>414220.60097519663</v>
      </c>
      <c r="R25" s="414">
        <v>0</v>
      </c>
      <c r="S25" s="416">
        <f t="shared" si="0"/>
        <v>525447.51849025069</v>
      </c>
      <c r="T25" s="417">
        <f t="shared" si="9"/>
        <v>-0.19161920232269125</v>
      </c>
      <c r="U25" s="442"/>
      <c r="V25" s="419">
        <f t="shared" si="1"/>
        <v>525447.51849025069</v>
      </c>
      <c r="W25" s="434">
        <v>0</v>
      </c>
      <c r="X25" s="434">
        <v>0</v>
      </c>
      <c r="Y25" s="434">
        <v>0</v>
      </c>
      <c r="Z25" s="434">
        <v>0</v>
      </c>
      <c r="AA25" s="434">
        <v>0</v>
      </c>
      <c r="AB25" s="434">
        <v>0</v>
      </c>
      <c r="AC25" s="434">
        <v>0</v>
      </c>
      <c r="AD25" s="435">
        <v>0</v>
      </c>
      <c r="AE25" s="435">
        <v>0</v>
      </c>
      <c r="AF25" s="421" t="s">
        <v>342</v>
      </c>
      <c r="AG25" s="422">
        <v>109418.11209772219</v>
      </c>
      <c r="AH25" s="423">
        <v>3879.130300416854</v>
      </c>
      <c r="AI25" s="423">
        <v>418820.60018998239</v>
      </c>
      <c r="AJ25" s="423">
        <v>0</v>
      </c>
      <c r="AK25" s="424">
        <f t="shared" si="2"/>
        <v>532117.84258812142</v>
      </c>
      <c r="AL25" s="417">
        <f t="shared" si="10"/>
        <v>1.2694558187345394E-2</v>
      </c>
      <c r="AM25" s="442"/>
      <c r="AN25" s="424">
        <f t="shared" si="3"/>
        <v>532117.84258812142</v>
      </c>
      <c r="AO25" s="434">
        <v>0</v>
      </c>
      <c r="AP25" s="434">
        <v>0</v>
      </c>
      <c r="AQ25" s="434">
        <v>0</v>
      </c>
      <c r="AR25" s="434">
        <v>0</v>
      </c>
      <c r="AS25" s="434">
        <v>0</v>
      </c>
      <c r="AT25" s="434">
        <v>0</v>
      </c>
      <c r="AU25" s="434">
        <v>0</v>
      </c>
      <c r="AV25" s="435">
        <v>0</v>
      </c>
      <c r="AW25" s="435">
        <v>0</v>
      </c>
      <c r="AX25" s="421" t="s">
        <v>343</v>
      </c>
      <c r="AY25" s="427">
        <v>111611.83019498333</v>
      </c>
      <c r="AZ25" s="414">
        <v>3987.4955048006163</v>
      </c>
      <c r="BA25" s="414">
        <v>425228.5659786805</v>
      </c>
      <c r="BB25" s="414">
        <v>0</v>
      </c>
      <c r="BC25" s="424">
        <f t="shared" si="4"/>
        <v>540827.89167846448</v>
      </c>
      <c r="BD25" s="417">
        <f t="shared" si="11"/>
        <v>1.6368646929745892E-2</v>
      </c>
      <c r="BE25" s="442"/>
      <c r="BF25" s="424">
        <f t="shared" si="5"/>
        <v>540827.89167846448</v>
      </c>
      <c r="BG25" s="434">
        <v>0</v>
      </c>
      <c r="BH25" s="434">
        <v>0</v>
      </c>
      <c r="BI25" s="434">
        <v>0</v>
      </c>
      <c r="BJ25" s="434">
        <v>0</v>
      </c>
      <c r="BK25" s="434">
        <v>0</v>
      </c>
      <c r="BL25" s="434">
        <v>0</v>
      </c>
      <c r="BM25" s="434">
        <v>0</v>
      </c>
      <c r="BN25" s="435">
        <v>0</v>
      </c>
      <c r="BO25" s="435">
        <v>0</v>
      </c>
      <c r="BP25" s="421" t="s">
        <v>343</v>
      </c>
      <c r="BQ25" s="422">
        <v>114701.84842657499</v>
      </c>
      <c r="BR25" s="423">
        <v>4100.6769404903243</v>
      </c>
      <c r="BS25" s="423">
        <v>432506.38874788798</v>
      </c>
      <c r="BT25" s="423">
        <v>0</v>
      </c>
      <c r="BU25" s="424">
        <f t="shared" si="6"/>
        <v>551308.91411495325</v>
      </c>
      <c r="BV25" s="417">
        <f t="shared" si="12"/>
        <v>1.9379589325470653E-2</v>
      </c>
      <c r="BW25" s="442"/>
      <c r="BX25" s="424">
        <f t="shared" si="7"/>
        <v>551308.91411495325</v>
      </c>
      <c r="BY25" s="425">
        <v>0</v>
      </c>
      <c r="BZ25" s="425">
        <v>0</v>
      </c>
      <c r="CA25" s="425">
        <v>0</v>
      </c>
      <c r="CB25" s="425">
        <v>0</v>
      </c>
      <c r="CC25" s="425">
        <v>0</v>
      </c>
      <c r="CD25" s="425">
        <v>0</v>
      </c>
      <c r="CE25" s="425">
        <v>0</v>
      </c>
      <c r="CF25" s="426">
        <v>0</v>
      </c>
      <c r="CG25" s="426">
        <v>0</v>
      </c>
      <c r="CH25" s="421" t="s">
        <v>343</v>
      </c>
    </row>
    <row r="26" spans="1:86" s="365" customFormat="1">
      <c r="A26" s="407" t="str">
        <f t="shared" si="8"/>
        <v>IndustrialMarket Support</v>
      </c>
      <c r="B26" s="437" t="s">
        <v>368</v>
      </c>
      <c r="C26" s="438"/>
      <c r="D26" s="443" t="s">
        <v>369</v>
      </c>
      <c r="E26" s="635" t="s">
        <v>20</v>
      </c>
      <c r="F26" s="411" t="s">
        <v>16</v>
      </c>
      <c r="G26" s="411" t="s">
        <v>25</v>
      </c>
      <c r="H26" s="412" t="s">
        <v>23</v>
      </c>
      <c r="I26" s="444"/>
      <c r="J26" s="414"/>
      <c r="K26" s="414"/>
      <c r="L26" s="414"/>
      <c r="M26" s="414">
        <v>2000</v>
      </c>
      <c r="N26" s="414">
        <v>2500</v>
      </c>
      <c r="O26" s="415">
        <v>417.79280000317431</v>
      </c>
      <c r="P26" s="414">
        <v>0</v>
      </c>
      <c r="Q26" s="414">
        <v>8857.4564808593586</v>
      </c>
      <c r="R26" s="414">
        <v>0</v>
      </c>
      <c r="S26" s="416">
        <f t="shared" si="0"/>
        <v>9275.249280862532</v>
      </c>
      <c r="T26" s="417">
        <f t="shared" si="9"/>
        <v>2.7100997123450128</v>
      </c>
      <c r="U26" s="442"/>
      <c r="V26" s="419">
        <f t="shared" si="1"/>
        <v>9275.249280862532</v>
      </c>
      <c r="W26" s="434">
        <v>0</v>
      </c>
      <c r="X26" s="434">
        <v>0</v>
      </c>
      <c r="Y26" s="434">
        <v>0</v>
      </c>
      <c r="Z26" s="434">
        <v>0</v>
      </c>
      <c r="AA26" s="434">
        <v>0</v>
      </c>
      <c r="AB26" s="434">
        <v>0</v>
      </c>
      <c r="AC26" s="434">
        <v>0</v>
      </c>
      <c r="AD26" s="435">
        <v>0</v>
      </c>
      <c r="AE26" s="435">
        <v>0</v>
      </c>
      <c r="AF26" s="421" t="s">
        <v>342</v>
      </c>
      <c r="AG26" s="422">
        <v>434.47361238493414</v>
      </c>
      <c r="AH26" s="423">
        <v>0</v>
      </c>
      <c r="AI26" s="423">
        <v>9034.5752234313659</v>
      </c>
      <c r="AJ26" s="423">
        <v>0</v>
      </c>
      <c r="AK26" s="424">
        <f t="shared" si="2"/>
        <v>9469.0488358163002</v>
      </c>
      <c r="AL26" s="417">
        <f t="shared" si="10"/>
        <v>2.0894269154968326E-2</v>
      </c>
      <c r="AM26" s="442"/>
      <c r="AN26" s="424">
        <f t="shared" si="3"/>
        <v>9469.0488358163002</v>
      </c>
      <c r="AO26" s="434">
        <v>0</v>
      </c>
      <c r="AP26" s="434">
        <v>0</v>
      </c>
      <c r="AQ26" s="434">
        <v>0</v>
      </c>
      <c r="AR26" s="434">
        <v>0</v>
      </c>
      <c r="AS26" s="434">
        <v>0</v>
      </c>
      <c r="AT26" s="434">
        <v>0</v>
      </c>
      <c r="AU26" s="434">
        <v>0</v>
      </c>
      <c r="AV26" s="435">
        <v>0</v>
      </c>
      <c r="AW26" s="435">
        <v>0</v>
      </c>
      <c r="AX26" s="421" t="s">
        <v>343</v>
      </c>
      <c r="AY26" s="427">
        <v>448.94561878795878</v>
      </c>
      <c r="AZ26" s="414">
        <v>0</v>
      </c>
      <c r="BA26" s="414">
        <v>9238.8009833977449</v>
      </c>
      <c r="BB26" s="414">
        <v>0</v>
      </c>
      <c r="BC26" s="424">
        <f t="shared" si="4"/>
        <v>9687.7466021857035</v>
      </c>
      <c r="BD26" s="417">
        <f t="shared" si="11"/>
        <v>2.3096064891141729E-2</v>
      </c>
      <c r="BE26" s="442"/>
      <c r="BF26" s="424">
        <f t="shared" si="5"/>
        <v>9687.7466021857035</v>
      </c>
      <c r="BG26" s="434">
        <v>0</v>
      </c>
      <c r="BH26" s="434">
        <v>0</v>
      </c>
      <c r="BI26" s="434">
        <v>0</v>
      </c>
      <c r="BJ26" s="434">
        <v>0</v>
      </c>
      <c r="BK26" s="434">
        <v>0</v>
      </c>
      <c r="BL26" s="434">
        <v>0</v>
      </c>
      <c r="BM26" s="434">
        <v>0</v>
      </c>
      <c r="BN26" s="435">
        <v>0</v>
      </c>
      <c r="BO26" s="435">
        <v>0</v>
      </c>
      <c r="BP26" s="421" t="s">
        <v>343</v>
      </c>
      <c r="BQ26" s="422">
        <v>476.51656250196675</v>
      </c>
      <c r="BR26" s="423">
        <v>0</v>
      </c>
      <c r="BS26" s="423">
        <v>9457.4277104737394</v>
      </c>
      <c r="BT26" s="423">
        <v>0</v>
      </c>
      <c r="BU26" s="424">
        <f t="shared" si="6"/>
        <v>9933.9442729757066</v>
      </c>
      <c r="BV26" s="417">
        <f t="shared" si="12"/>
        <v>2.5413306200066904E-2</v>
      </c>
      <c r="BW26" s="442"/>
      <c r="BX26" s="424">
        <f t="shared" si="7"/>
        <v>9933.9442729757066</v>
      </c>
      <c r="BY26" s="425">
        <v>0</v>
      </c>
      <c r="BZ26" s="425">
        <v>0</v>
      </c>
      <c r="CA26" s="425">
        <v>0</v>
      </c>
      <c r="CB26" s="425">
        <v>0</v>
      </c>
      <c r="CC26" s="425">
        <v>0</v>
      </c>
      <c r="CD26" s="425">
        <v>0</v>
      </c>
      <c r="CE26" s="425">
        <v>0</v>
      </c>
      <c r="CF26" s="426">
        <v>0</v>
      </c>
      <c r="CG26" s="426">
        <v>0</v>
      </c>
      <c r="CH26" s="421" t="s">
        <v>343</v>
      </c>
    </row>
    <row r="27" spans="1:86" s="365" customFormat="1">
      <c r="A27" s="407" t="str">
        <f t="shared" si="8"/>
        <v>PublicMarket Support</v>
      </c>
      <c r="B27" s="437" t="s">
        <v>370</v>
      </c>
      <c r="C27" s="438"/>
      <c r="D27" s="443" t="s">
        <v>371</v>
      </c>
      <c r="E27" s="635" t="s">
        <v>15</v>
      </c>
      <c r="F27" s="411" t="s">
        <v>16</v>
      </c>
      <c r="G27" s="411" t="s">
        <v>30</v>
      </c>
      <c r="H27" s="412" t="s">
        <v>23</v>
      </c>
      <c r="I27" s="444"/>
      <c r="J27" s="414"/>
      <c r="K27" s="414"/>
      <c r="L27" s="414"/>
      <c r="M27" s="414">
        <v>1932904</v>
      </c>
      <c r="N27" s="414">
        <v>2051023</v>
      </c>
      <c r="O27" s="415">
        <v>270205.91465546162</v>
      </c>
      <c r="P27" s="414">
        <v>187798.87101520173</v>
      </c>
      <c r="Q27" s="414">
        <v>1403206.7851716678</v>
      </c>
      <c r="R27" s="414">
        <v>0</v>
      </c>
      <c r="S27" s="416">
        <f t="shared" si="0"/>
        <v>1861211.5708423313</v>
      </c>
      <c r="T27" s="417">
        <f t="shared" si="9"/>
        <v>-9.2544758960610735E-2</v>
      </c>
      <c r="U27" s="442"/>
      <c r="V27" s="419">
        <f t="shared" si="1"/>
        <v>1861211.5708423313</v>
      </c>
      <c r="W27" s="434">
        <v>0</v>
      </c>
      <c r="X27" s="434">
        <v>0</v>
      </c>
      <c r="Y27" s="434">
        <v>0</v>
      </c>
      <c r="Z27" s="434">
        <v>0</v>
      </c>
      <c r="AA27" s="434">
        <v>0</v>
      </c>
      <c r="AB27" s="434">
        <v>0</v>
      </c>
      <c r="AC27" s="434">
        <v>0</v>
      </c>
      <c r="AD27" s="435">
        <v>0</v>
      </c>
      <c r="AE27" s="435">
        <v>0</v>
      </c>
      <c r="AF27" s="421" t="s">
        <v>342</v>
      </c>
      <c r="AG27" s="422">
        <v>277505.06635285937</v>
      </c>
      <c r="AH27" s="423">
        <v>190296.84459423661</v>
      </c>
      <c r="AI27" s="423">
        <v>1429689.1409890121</v>
      </c>
      <c r="AJ27" s="423">
        <v>0</v>
      </c>
      <c r="AK27" s="424">
        <f t="shared" si="2"/>
        <v>1897491.0519361082</v>
      </c>
      <c r="AL27" s="417">
        <f t="shared" si="10"/>
        <v>1.9492400360136285E-2</v>
      </c>
      <c r="AM27" s="442"/>
      <c r="AN27" s="424">
        <f t="shared" si="3"/>
        <v>1897491.0519361082</v>
      </c>
      <c r="AO27" s="434">
        <v>0</v>
      </c>
      <c r="AP27" s="434">
        <v>0</v>
      </c>
      <c r="AQ27" s="434">
        <v>0</v>
      </c>
      <c r="AR27" s="434">
        <v>0</v>
      </c>
      <c r="AS27" s="434">
        <v>0</v>
      </c>
      <c r="AT27" s="434">
        <v>0</v>
      </c>
      <c r="AU27" s="434">
        <v>0</v>
      </c>
      <c r="AV27" s="435">
        <v>0</v>
      </c>
      <c r="AW27" s="435">
        <v>0</v>
      </c>
      <c r="AX27" s="421" t="s">
        <v>343</v>
      </c>
      <c r="AY27" s="427">
        <v>284836.44769208482</v>
      </c>
      <c r="AZ27" s="414">
        <v>193554.00760583239</v>
      </c>
      <c r="BA27" s="414">
        <v>1458123.907761951</v>
      </c>
      <c r="BB27" s="414">
        <v>0</v>
      </c>
      <c r="BC27" s="424">
        <f t="shared" si="4"/>
        <v>1936514.3630598681</v>
      </c>
      <c r="BD27" s="417">
        <f t="shared" si="11"/>
        <v>2.0565741843126192E-2</v>
      </c>
      <c r="BE27" s="442"/>
      <c r="BF27" s="424">
        <f t="shared" si="5"/>
        <v>1936514.3630598681</v>
      </c>
      <c r="BG27" s="425">
        <v>0</v>
      </c>
      <c r="BH27" s="425">
        <v>0</v>
      </c>
      <c r="BI27" s="425">
        <v>0</v>
      </c>
      <c r="BJ27" s="425">
        <v>0</v>
      </c>
      <c r="BK27" s="425">
        <v>0</v>
      </c>
      <c r="BL27" s="425">
        <v>0</v>
      </c>
      <c r="BM27" s="425">
        <v>0</v>
      </c>
      <c r="BN27" s="426">
        <v>0</v>
      </c>
      <c r="BO27" s="426">
        <v>0</v>
      </c>
      <c r="BP27" s="421" t="s">
        <v>343</v>
      </c>
      <c r="BQ27" s="422">
        <v>295065.16582251148</v>
      </c>
      <c r="BR27" s="423">
        <v>197183.55278594358</v>
      </c>
      <c r="BS27" s="423">
        <v>1488778.1013868863</v>
      </c>
      <c r="BT27" s="423">
        <v>0</v>
      </c>
      <c r="BU27" s="424">
        <f t="shared" si="6"/>
        <v>1981026.8199953414</v>
      </c>
      <c r="BV27" s="417">
        <f t="shared" si="12"/>
        <v>2.2985864594951694E-2</v>
      </c>
      <c r="BW27" s="442"/>
      <c r="BX27" s="424">
        <f t="shared" si="7"/>
        <v>1981026.8199953414</v>
      </c>
      <c r="BY27" s="425">
        <v>0</v>
      </c>
      <c r="BZ27" s="425">
        <v>0</v>
      </c>
      <c r="CA27" s="425">
        <v>0</v>
      </c>
      <c r="CB27" s="425">
        <v>0</v>
      </c>
      <c r="CC27" s="425">
        <v>0</v>
      </c>
      <c r="CD27" s="425">
        <v>0</v>
      </c>
      <c r="CE27" s="425">
        <v>0</v>
      </c>
      <c r="CF27" s="426">
        <v>0</v>
      </c>
      <c r="CG27" s="426">
        <v>0</v>
      </c>
      <c r="CH27" s="421" t="s">
        <v>343</v>
      </c>
    </row>
    <row r="28" spans="1:86" s="365" customFormat="1">
      <c r="A28" s="407" t="str">
        <f t="shared" si="8"/>
        <v>PublicMarket Support</v>
      </c>
      <c r="B28" s="437" t="s">
        <v>372</v>
      </c>
      <c r="C28" s="438"/>
      <c r="D28" s="446" t="s">
        <v>373</v>
      </c>
      <c r="E28" s="635" t="s">
        <v>15</v>
      </c>
      <c r="F28" s="411" t="s">
        <v>16</v>
      </c>
      <c r="G28" s="411" t="s">
        <v>30</v>
      </c>
      <c r="H28" s="412" t="s">
        <v>23</v>
      </c>
      <c r="I28" s="413"/>
      <c r="J28" s="414"/>
      <c r="K28" s="414"/>
      <c r="L28" s="414"/>
      <c r="M28" s="414">
        <v>687931</v>
      </c>
      <c r="N28" s="414">
        <v>711722</v>
      </c>
      <c r="O28" s="415">
        <v>285539.98074190842</v>
      </c>
      <c r="P28" s="414">
        <v>26158.199559911762</v>
      </c>
      <c r="Q28" s="414">
        <v>442927.13270031486</v>
      </c>
      <c r="R28" s="414">
        <v>0</v>
      </c>
      <c r="S28" s="416">
        <f t="shared" si="0"/>
        <v>754625.31300213502</v>
      </c>
      <c r="T28" s="417">
        <f t="shared" si="9"/>
        <v>6.028099876375189E-2</v>
      </c>
      <c r="U28" s="442"/>
      <c r="V28" s="419">
        <f t="shared" si="1"/>
        <v>754625.31300213502</v>
      </c>
      <c r="W28" s="434">
        <v>0</v>
      </c>
      <c r="X28" s="434">
        <v>0</v>
      </c>
      <c r="Y28" s="434">
        <v>0</v>
      </c>
      <c r="Z28" s="434">
        <v>0</v>
      </c>
      <c r="AA28" s="434">
        <v>0</v>
      </c>
      <c r="AB28" s="434">
        <v>0</v>
      </c>
      <c r="AC28" s="434">
        <v>0</v>
      </c>
      <c r="AD28" s="435">
        <v>0</v>
      </c>
      <c r="AE28" s="435">
        <v>0</v>
      </c>
      <c r="AF28" s="421" t="s">
        <v>342</v>
      </c>
      <c r="AG28" s="422">
        <v>292571.64685936301</v>
      </c>
      <c r="AH28" s="423">
        <v>26853.592337724422</v>
      </c>
      <c r="AI28" s="423">
        <v>453295.56789969286</v>
      </c>
      <c r="AJ28" s="423">
        <v>0</v>
      </c>
      <c r="AK28" s="424">
        <f t="shared" si="2"/>
        <v>772720.80709678028</v>
      </c>
      <c r="AL28" s="417">
        <f t="shared" si="10"/>
        <v>2.3979442224984122E-2</v>
      </c>
      <c r="AM28" s="442"/>
      <c r="AN28" s="424">
        <f t="shared" si="3"/>
        <v>772720.80709678028</v>
      </c>
      <c r="AO28" s="434">
        <v>0</v>
      </c>
      <c r="AP28" s="434">
        <v>0</v>
      </c>
      <c r="AQ28" s="434">
        <v>0</v>
      </c>
      <c r="AR28" s="434">
        <v>0</v>
      </c>
      <c r="AS28" s="434">
        <v>0</v>
      </c>
      <c r="AT28" s="434">
        <v>0</v>
      </c>
      <c r="AU28" s="434">
        <v>0</v>
      </c>
      <c r="AV28" s="435">
        <v>0</v>
      </c>
      <c r="AW28" s="435">
        <v>0</v>
      </c>
      <c r="AX28" s="421" t="s">
        <v>343</v>
      </c>
      <c r="AY28" s="427">
        <v>300100.43327863916</v>
      </c>
      <c r="AZ28" s="414">
        <v>27603.7592042004</v>
      </c>
      <c r="BA28" s="414">
        <v>464797.79315968597</v>
      </c>
      <c r="BB28" s="414">
        <v>0</v>
      </c>
      <c r="BC28" s="424">
        <f t="shared" si="4"/>
        <v>792501.9856425256</v>
      </c>
      <c r="BD28" s="417">
        <f t="shared" si="11"/>
        <v>2.5599386433071431E-2</v>
      </c>
      <c r="BE28" s="442"/>
      <c r="BF28" s="424">
        <f t="shared" si="5"/>
        <v>792501.9856425256</v>
      </c>
      <c r="BG28" s="425">
        <v>0</v>
      </c>
      <c r="BH28" s="425">
        <v>0</v>
      </c>
      <c r="BI28" s="425">
        <v>0</v>
      </c>
      <c r="BJ28" s="425">
        <v>0</v>
      </c>
      <c r="BK28" s="425">
        <v>0</v>
      </c>
      <c r="BL28" s="425">
        <v>0</v>
      </c>
      <c r="BM28" s="425">
        <v>0</v>
      </c>
      <c r="BN28" s="426">
        <v>0</v>
      </c>
      <c r="BO28" s="426">
        <v>0</v>
      </c>
      <c r="BP28" s="421" t="s">
        <v>343</v>
      </c>
      <c r="BQ28" s="422">
        <v>309078.55771154369</v>
      </c>
      <c r="BR28" s="423">
        <v>28387.266820297544</v>
      </c>
      <c r="BS28" s="423">
        <v>476939.56003423652</v>
      </c>
      <c r="BT28" s="423">
        <v>0</v>
      </c>
      <c r="BU28" s="424">
        <f t="shared" si="6"/>
        <v>814405.38456607773</v>
      </c>
      <c r="BV28" s="417">
        <f t="shared" si="12"/>
        <v>2.7638289014246219E-2</v>
      </c>
      <c r="BW28" s="442"/>
      <c r="BX28" s="424">
        <f t="shared" si="7"/>
        <v>814405.38456607773</v>
      </c>
      <c r="BY28" s="425">
        <v>0</v>
      </c>
      <c r="BZ28" s="425">
        <v>0</v>
      </c>
      <c r="CA28" s="425">
        <v>0</v>
      </c>
      <c r="CB28" s="425">
        <v>0</v>
      </c>
      <c r="CC28" s="425">
        <v>0</v>
      </c>
      <c r="CD28" s="425">
        <v>0</v>
      </c>
      <c r="CE28" s="425">
        <v>0</v>
      </c>
      <c r="CF28" s="426">
        <v>0</v>
      </c>
      <c r="CG28" s="426">
        <v>0</v>
      </c>
      <c r="CH28" s="421" t="s">
        <v>343</v>
      </c>
    </row>
    <row r="29" spans="1:86" s="365" customFormat="1">
      <c r="A29" s="407" t="str">
        <f t="shared" si="8"/>
        <v>PublicResource Acquisition</v>
      </c>
      <c r="B29" s="437" t="s">
        <v>374</v>
      </c>
      <c r="C29" s="438"/>
      <c r="D29" s="439" t="s">
        <v>375</v>
      </c>
      <c r="E29" s="635" t="s">
        <v>20</v>
      </c>
      <c r="F29" s="411" t="s">
        <v>16</v>
      </c>
      <c r="G29" s="411" t="s">
        <v>30</v>
      </c>
      <c r="H29" s="412" t="s">
        <v>18</v>
      </c>
      <c r="I29" s="413"/>
      <c r="J29" s="414">
        <v>1741.34</v>
      </c>
      <c r="K29" s="414"/>
      <c r="L29" s="414"/>
      <c r="M29" s="414">
        <v>14500</v>
      </c>
      <c r="N29" s="414">
        <v>17500</v>
      </c>
      <c r="O29" s="415">
        <v>2104.9988856963755</v>
      </c>
      <c r="P29" s="414">
        <v>974.87081747931575</v>
      </c>
      <c r="Q29" s="414">
        <v>10713.205572752422</v>
      </c>
      <c r="R29" s="414">
        <v>0</v>
      </c>
      <c r="S29" s="416">
        <f t="shared" si="0"/>
        <v>13793.075275928113</v>
      </c>
      <c r="T29" s="417">
        <f t="shared" si="9"/>
        <v>-0.21182426994696496</v>
      </c>
      <c r="U29" s="442"/>
      <c r="V29" s="419">
        <f t="shared" si="1"/>
        <v>13793.075275928113</v>
      </c>
      <c r="W29" s="434">
        <v>0</v>
      </c>
      <c r="X29" s="434">
        <v>0</v>
      </c>
      <c r="Y29" s="434">
        <v>0</v>
      </c>
      <c r="Z29" s="434">
        <v>0</v>
      </c>
      <c r="AA29" s="434">
        <v>0</v>
      </c>
      <c r="AB29" s="434">
        <v>0</v>
      </c>
      <c r="AC29" s="434">
        <v>0</v>
      </c>
      <c r="AD29" s="435">
        <v>0</v>
      </c>
      <c r="AE29" s="435">
        <v>0</v>
      </c>
      <c r="AF29" s="421" t="s">
        <v>342</v>
      </c>
      <c r="AG29" s="422">
        <v>2170.6378681855313</v>
      </c>
      <c r="AH29" s="423">
        <v>995.85856891266963</v>
      </c>
      <c r="AI29" s="423">
        <v>10977.221194740376</v>
      </c>
      <c r="AJ29" s="423">
        <v>0</v>
      </c>
      <c r="AK29" s="424">
        <f t="shared" si="2"/>
        <v>14143.717631838575</v>
      </c>
      <c r="AL29" s="417">
        <f t="shared" si="10"/>
        <v>2.5421622727051216E-2</v>
      </c>
      <c r="AM29" s="442"/>
      <c r="AN29" s="424">
        <f t="shared" si="3"/>
        <v>14143.717631838575</v>
      </c>
      <c r="AO29" s="434">
        <v>0</v>
      </c>
      <c r="AP29" s="434">
        <v>0</v>
      </c>
      <c r="AQ29" s="434">
        <v>0</v>
      </c>
      <c r="AR29" s="434">
        <v>0</v>
      </c>
      <c r="AS29" s="434">
        <v>0</v>
      </c>
      <c r="AT29" s="434">
        <v>0</v>
      </c>
      <c r="AU29" s="434">
        <v>0</v>
      </c>
      <c r="AV29" s="435">
        <v>0</v>
      </c>
      <c r="AW29" s="435">
        <v>0</v>
      </c>
      <c r="AX29" s="421" t="s">
        <v>343</v>
      </c>
      <c r="AY29" s="427">
        <v>2235.9361851454905</v>
      </c>
      <c r="AZ29" s="414">
        <v>1019.6106516918016</v>
      </c>
      <c r="BA29" s="414">
        <v>11266.719064336972</v>
      </c>
      <c r="BB29" s="414">
        <v>0</v>
      </c>
      <c r="BC29" s="424">
        <f t="shared" si="4"/>
        <v>14522.265901174265</v>
      </c>
      <c r="BD29" s="417">
        <f t="shared" si="11"/>
        <v>2.6764410828136808E-2</v>
      </c>
      <c r="BE29" s="442"/>
      <c r="BF29" s="424">
        <f t="shared" si="5"/>
        <v>14522.265901174265</v>
      </c>
      <c r="BG29" s="425">
        <v>0</v>
      </c>
      <c r="BH29" s="425">
        <v>0</v>
      </c>
      <c r="BI29" s="425">
        <v>0</v>
      </c>
      <c r="BJ29" s="425">
        <v>0</v>
      </c>
      <c r="BK29" s="425">
        <v>0</v>
      </c>
      <c r="BL29" s="425">
        <v>0</v>
      </c>
      <c r="BM29" s="425">
        <v>0</v>
      </c>
      <c r="BN29" s="426">
        <v>0</v>
      </c>
      <c r="BO29" s="426">
        <v>0</v>
      </c>
      <c r="BP29" s="421" t="s">
        <v>343</v>
      </c>
      <c r="BQ29" s="422">
        <v>2322.7721427560491</v>
      </c>
      <c r="BR29" s="423">
        <v>1044.8680865944505</v>
      </c>
      <c r="BS29" s="423">
        <v>11570.980159782304</v>
      </c>
      <c r="BT29" s="423">
        <v>0</v>
      </c>
      <c r="BU29" s="424">
        <f t="shared" si="6"/>
        <v>14938.620389132804</v>
      </c>
      <c r="BV29" s="417">
        <f t="shared" si="12"/>
        <v>2.8670077437769028E-2</v>
      </c>
      <c r="BW29" s="442"/>
      <c r="BX29" s="424">
        <f t="shared" si="7"/>
        <v>14938.620389132804</v>
      </c>
      <c r="BY29" s="425">
        <v>0</v>
      </c>
      <c r="BZ29" s="425">
        <v>0</v>
      </c>
      <c r="CA29" s="425">
        <v>0</v>
      </c>
      <c r="CB29" s="425">
        <v>0</v>
      </c>
      <c r="CC29" s="425">
        <v>0</v>
      </c>
      <c r="CD29" s="425">
        <v>0</v>
      </c>
      <c r="CE29" s="425">
        <v>0</v>
      </c>
      <c r="CF29" s="426">
        <v>0</v>
      </c>
      <c r="CG29" s="426">
        <v>0</v>
      </c>
      <c r="CH29" s="421" t="s">
        <v>343</v>
      </c>
    </row>
    <row r="30" spans="1:86" s="365" customFormat="1">
      <c r="A30" s="407" t="str">
        <f t="shared" si="8"/>
        <v>PublicResource Acquisition</v>
      </c>
      <c r="B30" s="437" t="s">
        <v>376</v>
      </c>
      <c r="C30" s="438"/>
      <c r="D30" s="439" t="s">
        <v>377</v>
      </c>
      <c r="E30" s="635" t="s">
        <v>20</v>
      </c>
      <c r="F30" s="411" t="s">
        <v>16</v>
      </c>
      <c r="G30" s="411" t="s">
        <v>30</v>
      </c>
      <c r="H30" s="412" t="s">
        <v>18</v>
      </c>
      <c r="I30" s="413"/>
      <c r="J30" s="414"/>
      <c r="K30" s="414"/>
      <c r="L30" s="414"/>
      <c r="M30" s="414">
        <v>15000</v>
      </c>
      <c r="N30" s="414">
        <v>18000</v>
      </c>
      <c r="O30" s="415">
        <v>2104.9988856963755</v>
      </c>
      <c r="P30" s="414">
        <v>974.87081747931575</v>
      </c>
      <c r="Q30" s="414">
        <v>10713.205572752422</v>
      </c>
      <c r="R30" s="414">
        <v>0</v>
      </c>
      <c r="S30" s="416">
        <f t="shared" si="0"/>
        <v>13793.075275928113</v>
      </c>
      <c r="T30" s="417">
        <f t="shared" si="9"/>
        <v>-0.23371804022621595</v>
      </c>
      <c r="U30" s="442"/>
      <c r="V30" s="419">
        <f t="shared" si="1"/>
        <v>13793.075275928113</v>
      </c>
      <c r="W30" s="434">
        <v>0</v>
      </c>
      <c r="X30" s="434">
        <v>0</v>
      </c>
      <c r="Y30" s="434">
        <v>0</v>
      </c>
      <c r="Z30" s="434">
        <v>0</v>
      </c>
      <c r="AA30" s="434">
        <v>0</v>
      </c>
      <c r="AB30" s="434">
        <v>0</v>
      </c>
      <c r="AC30" s="434">
        <v>0</v>
      </c>
      <c r="AD30" s="435">
        <v>0</v>
      </c>
      <c r="AE30" s="435">
        <v>0</v>
      </c>
      <c r="AF30" s="421" t="s">
        <v>342</v>
      </c>
      <c r="AG30" s="422">
        <v>2170.6378681855313</v>
      </c>
      <c r="AH30" s="423">
        <v>995.85856891266963</v>
      </c>
      <c r="AI30" s="423">
        <v>10977.221194740376</v>
      </c>
      <c r="AJ30" s="423">
        <v>0</v>
      </c>
      <c r="AK30" s="424">
        <f t="shared" si="2"/>
        <v>14143.717631838575</v>
      </c>
      <c r="AL30" s="417">
        <f t="shared" si="10"/>
        <v>2.5421622727051216E-2</v>
      </c>
      <c r="AM30" s="442"/>
      <c r="AN30" s="424">
        <f t="shared" si="3"/>
        <v>14143.717631838575</v>
      </c>
      <c r="AO30" s="434">
        <v>0</v>
      </c>
      <c r="AP30" s="434">
        <v>0</v>
      </c>
      <c r="AQ30" s="434">
        <v>0</v>
      </c>
      <c r="AR30" s="434">
        <v>0</v>
      </c>
      <c r="AS30" s="434">
        <v>0</v>
      </c>
      <c r="AT30" s="434">
        <v>0</v>
      </c>
      <c r="AU30" s="434">
        <v>0</v>
      </c>
      <c r="AV30" s="435">
        <v>0</v>
      </c>
      <c r="AW30" s="435">
        <v>0</v>
      </c>
      <c r="AX30" s="421" t="s">
        <v>343</v>
      </c>
      <c r="AY30" s="427">
        <v>2235.9361851454905</v>
      </c>
      <c r="AZ30" s="414">
        <v>1019.6106516918016</v>
      </c>
      <c r="BA30" s="414">
        <v>11266.719064336972</v>
      </c>
      <c r="BB30" s="414">
        <v>0</v>
      </c>
      <c r="BC30" s="424">
        <f t="shared" si="4"/>
        <v>14522.265901174265</v>
      </c>
      <c r="BD30" s="417">
        <f t="shared" si="11"/>
        <v>2.6764410828136808E-2</v>
      </c>
      <c r="BE30" s="442"/>
      <c r="BF30" s="424">
        <f t="shared" si="5"/>
        <v>14522.265901174265</v>
      </c>
      <c r="BG30" s="425">
        <v>0</v>
      </c>
      <c r="BH30" s="425">
        <v>0</v>
      </c>
      <c r="BI30" s="425">
        <v>0</v>
      </c>
      <c r="BJ30" s="425">
        <v>0</v>
      </c>
      <c r="BK30" s="425">
        <v>0</v>
      </c>
      <c r="BL30" s="425">
        <v>0</v>
      </c>
      <c r="BM30" s="425">
        <v>0</v>
      </c>
      <c r="BN30" s="426">
        <v>0</v>
      </c>
      <c r="BO30" s="426">
        <v>0</v>
      </c>
      <c r="BP30" s="421" t="s">
        <v>343</v>
      </c>
      <c r="BQ30" s="422">
        <v>2322.7721427560491</v>
      </c>
      <c r="BR30" s="423">
        <v>1044.8680865944505</v>
      </c>
      <c r="BS30" s="423">
        <v>11570.980159782304</v>
      </c>
      <c r="BT30" s="423">
        <v>0</v>
      </c>
      <c r="BU30" s="424">
        <f t="shared" si="6"/>
        <v>14938.620389132804</v>
      </c>
      <c r="BV30" s="417">
        <f t="shared" si="12"/>
        <v>2.8670077437769028E-2</v>
      </c>
      <c r="BW30" s="442"/>
      <c r="BX30" s="424">
        <f t="shared" si="7"/>
        <v>14938.620389132804</v>
      </c>
      <c r="BY30" s="425">
        <v>0</v>
      </c>
      <c r="BZ30" s="425">
        <v>0</v>
      </c>
      <c r="CA30" s="425">
        <v>0</v>
      </c>
      <c r="CB30" s="425">
        <v>0</v>
      </c>
      <c r="CC30" s="425">
        <v>0</v>
      </c>
      <c r="CD30" s="425">
        <v>0</v>
      </c>
      <c r="CE30" s="425">
        <v>0</v>
      </c>
      <c r="CF30" s="426">
        <v>0</v>
      </c>
      <c r="CG30" s="426">
        <v>0</v>
      </c>
      <c r="CH30" s="421" t="s">
        <v>343</v>
      </c>
    </row>
    <row r="31" spans="1:86" s="365" customFormat="1">
      <c r="A31" s="407" t="str">
        <f t="shared" si="8"/>
        <v>PublicMarket Support</v>
      </c>
      <c r="B31" s="437" t="s">
        <v>378</v>
      </c>
      <c r="C31" s="438"/>
      <c r="D31" s="439" t="s">
        <v>379</v>
      </c>
      <c r="E31" s="635" t="s">
        <v>20</v>
      </c>
      <c r="F31" s="411" t="s">
        <v>16</v>
      </c>
      <c r="G31" s="411" t="s">
        <v>30</v>
      </c>
      <c r="H31" s="412" t="s">
        <v>23</v>
      </c>
      <c r="I31" s="413"/>
      <c r="J31" s="414"/>
      <c r="K31" s="414"/>
      <c r="L31" s="414"/>
      <c r="M31" s="414">
        <v>2000</v>
      </c>
      <c r="N31" s="414">
        <v>2500</v>
      </c>
      <c r="O31" s="415">
        <v>417.79280000317431</v>
      </c>
      <c r="P31" s="414">
        <v>0</v>
      </c>
      <c r="Q31" s="414">
        <v>8857.4564808593586</v>
      </c>
      <c r="R31" s="414">
        <v>0</v>
      </c>
      <c r="S31" s="416">
        <f t="shared" si="0"/>
        <v>9275.249280862532</v>
      </c>
      <c r="T31" s="417">
        <f t="shared" si="9"/>
        <v>2.7100997123450128</v>
      </c>
      <c r="U31" s="442"/>
      <c r="V31" s="419">
        <f t="shared" si="1"/>
        <v>9275.249280862532</v>
      </c>
      <c r="W31" s="434">
        <v>0</v>
      </c>
      <c r="X31" s="434">
        <v>0</v>
      </c>
      <c r="Y31" s="434">
        <v>0</v>
      </c>
      <c r="Z31" s="434">
        <v>0</v>
      </c>
      <c r="AA31" s="434">
        <v>0</v>
      </c>
      <c r="AB31" s="434">
        <v>0</v>
      </c>
      <c r="AC31" s="434">
        <v>0</v>
      </c>
      <c r="AD31" s="435">
        <v>0</v>
      </c>
      <c r="AE31" s="435">
        <v>0</v>
      </c>
      <c r="AF31" s="421" t="s">
        <v>342</v>
      </c>
      <c r="AG31" s="422">
        <v>434.47361238493414</v>
      </c>
      <c r="AH31" s="423">
        <v>0</v>
      </c>
      <c r="AI31" s="423">
        <v>9034.5752234313659</v>
      </c>
      <c r="AJ31" s="423">
        <v>0</v>
      </c>
      <c r="AK31" s="424">
        <f t="shared" si="2"/>
        <v>9469.0488358163002</v>
      </c>
      <c r="AL31" s="417">
        <f t="shared" si="10"/>
        <v>2.0894269154968326E-2</v>
      </c>
      <c r="AM31" s="442"/>
      <c r="AN31" s="424">
        <f t="shared" si="3"/>
        <v>9469.0488358163002</v>
      </c>
      <c r="AO31" s="434">
        <v>0</v>
      </c>
      <c r="AP31" s="434">
        <v>0</v>
      </c>
      <c r="AQ31" s="434">
        <v>0</v>
      </c>
      <c r="AR31" s="434">
        <v>0</v>
      </c>
      <c r="AS31" s="434">
        <v>0</v>
      </c>
      <c r="AT31" s="434">
        <v>0</v>
      </c>
      <c r="AU31" s="434">
        <v>0</v>
      </c>
      <c r="AV31" s="435">
        <v>0</v>
      </c>
      <c r="AW31" s="435">
        <v>0</v>
      </c>
      <c r="AX31" s="421" t="s">
        <v>343</v>
      </c>
      <c r="AY31" s="427">
        <v>448.94561878795878</v>
      </c>
      <c r="AZ31" s="414">
        <v>0</v>
      </c>
      <c r="BA31" s="414">
        <v>9238.8009833977449</v>
      </c>
      <c r="BB31" s="414">
        <v>0</v>
      </c>
      <c r="BC31" s="424">
        <f t="shared" si="4"/>
        <v>9687.7466021857035</v>
      </c>
      <c r="BD31" s="417">
        <f t="shared" si="11"/>
        <v>2.3096064891141729E-2</v>
      </c>
      <c r="BE31" s="442"/>
      <c r="BF31" s="424">
        <f t="shared" si="5"/>
        <v>9687.7466021857035</v>
      </c>
      <c r="BG31" s="425">
        <v>0</v>
      </c>
      <c r="BH31" s="425">
        <v>0</v>
      </c>
      <c r="BI31" s="425">
        <v>0</v>
      </c>
      <c r="BJ31" s="425">
        <v>0</v>
      </c>
      <c r="BK31" s="425">
        <v>0</v>
      </c>
      <c r="BL31" s="425">
        <v>0</v>
      </c>
      <c r="BM31" s="425">
        <v>0</v>
      </c>
      <c r="BN31" s="426">
        <v>0</v>
      </c>
      <c r="BO31" s="426">
        <v>0</v>
      </c>
      <c r="BP31" s="421" t="s">
        <v>343</v>
      </c>
      <c r="BQ31" s="422">
        <v>476.51656250196675</v>
      </c>
      <c r="BR31" s="423">
        <v>0</v>
      </c>
      <c r="BS31" s="423">
        <v>9457.4277104737394</v>
      </c>
      <c r="BT31" s="423">
        <v>0</v>
      </c>
      <c r="BU31" s="424">
        <f t="shared" si="6"/>
        <v>9933.9442729757066</v>
      </c>
      <c r="BV31" s="417">
        <f t="shared" si="12"/>
        <v>2.5413306200066904E-2</v>
      </c>
      <c r="BW31" s="442"/>
      <c r="BX31" s="424">
        <f t="shared" si="7"/>
        <v>9933.9442729757066</v>
      </c>
      <c r="BY31" s="425">
        <v>0</v>
      </c>
      <c r="BZ31" s="425">
        <v>0</v>
      </c>
      <c r="CA31" s="425">
        <v>0</v>
      </c>
      <c r="CB31" s="425">
        <v>0</v>
      </c>
      <c r="CC31" s="425">
        <v>0</v>
      </c>
      <c r="CD31" s="425">
        <v>0</v>
      </c>
      <c r="CE31" s="425">
        <v>0</v>
      </c>
      <c r="CF31" s="426">
        <v>0</v>
      </c>
      <c r="CG31" s="426">
        <v>0</v>
      </c>
      <c r="CH31" s="421" t="s">
        <v>343</v>
      </c>
    </row>
    <row r="32" spans="1:86" s="365" customFormat="1">
      <c r="A32" s="407" t="str">
        <f t="shared" si="8"/>
        <v>PublicResource Acquisition</v>
      </c>
      <c r="B32" s="437" t="s">
        <v>380</v>
      </c>
      <c r="C32" s="438"/>
      <c r="D32" s="439" t="s">
        <v>381</v>
      </c>
      <c r="E32" s="635" t="s">
        <v>20</v>
      </c>
      <c r="F32" s="411" t="s">
        <v>16</v>
      </c>
      <c r="G32" s="411" t="s">
        <v>30</v>
      </c>
      <c r="H32" s="412" t="s">
        <v>18</v>
      </c>
      <c r="I32" s="413"/>
      <c r="J32" s="414"/>
      <c r="K32" s="414"/>
      <c r="L32" s="414"/>
      <c r="M32" s="414">
        <v>15000</v>
      </c>
      <c r="N32" s="414">
        <v>18000</v>
      </c>
      <c r="O32" s="415">
        <v>2104.9988856963755</v>
      </c>
      <c r="P32" s="414">
        <v>974.87081747931575</v>
      </c>
      <c r="Q32" s="414">
        <v>10713.205572752422</v>
      </c>
      <c r="R32" s="414">
        <v>0</v>
      </c>
      <c r="S32" s="416">
        <f t="shared" si="0"/>
        <v>13793.075275928113</v>
      </c>
      <c r="T32" s="417">
        <f t="shared" si="9"/>
        <v>-0.23371804022621595</v>
      </c>
      <c r="U32" s="442"/>
      <c r="V32" s="419">
        <f t="shared" si="1"/>
        <v>13793.075275928113</v>
      </c>
      <c r="W32" s="434">
        <v>0</v>
      </c>
      <c r="X32" s="434">
        <v>0</v>
      </c>
      <c r="Y32" s="434">
        <v>0</v>
      </c>
      <c r="Z32" s="434">
        <v>0</v>
      </c>
      <c r="AA32" s="434">
        <v>0</v>
      </c>
      <c r="AB32" s="434">
        <v>0</v>
      </c>
      <c r="AC32" s="434">
        <v>0</v>
      </c>
      <c r="AD32" s="435">
        <v>0</v>
      </c>
      <c r="AE32" s="435">
        <v>0</v>
      </c>
      <c r="AF32" s="421" t="s">
        <v>342</v>
      </c>
      <c r="AG32" s="422">
        <v>2170.6378681855313</v>
      </c>
      <c r="AH32" s="423">
        <v>995.85856891266963</v>
      </c>
      <c r="AI32" s="423">
        <v>10977.221194740376</v>
      </c>
      <c r="AJ32" s="423">
        <v>0</v>
      </c>
      <c r="AK32" s="424">
        <f t="shared" si="2"/>
        <v>14143.717631838575</v>
      </c>
      <c r="AL32" s="417">
        <f t="shared" si="10"/>
        <v>2.5421622727051216E-2</v>
      </c>
      <c r="AM32" s="442"/>
      <c r="AN32" s="424">
        <f t="shared" si="3"/>
        <v>14143.717631838575</v>
      </c>
      <c r="AO32" s="434">
        <v>0</v>
      </c>
      <c r="AP32" s="434">
        <v>0</v>
      </c>
      <c r="AQ32" s="434">
        <v>0</v>
      </c>
      <c r="AR32" s="434">
        <v>0</v>
      </c>
      <c r="AS32" s="434">
        <v>0</v>
      </c>
      <c r="AT32" s="434">
        <v>0</v>
      </c>
      <c r="AU32" s="434">
        <v>0</v>
      </c>
      <c r="AV32" s="435">
        <v>0</v>
      </c>
      <c r="AW32" s="435">
        <v>0</v>
      </c>
      <c r="AX32" s="421" t="s">
        <v>343</v>
      </c>
      <c r="AY32" s="427">
        <v>2235.9361851454905</v>
      </c>
      <c r="AZ32" s="414">
        <v>1019.6106516918016</v>
      </c>
      <c r="BA32" s="414">
        <v>11266.719064336972</v>
      </c>
      <c r="BB32" s="414">
        <v>0</v>
      </c>
      <c r="BC32" s="424">
        <f t="shared" si="4"/>
        <v>14522.265901174265</v>
      </c>
      <c r="BD32" s="417">
        <f t="shared" si="11"/>
        <v>2.6764410828136808E-2</v>
      </c>
      <c r="BE32" s="442"/>
      <c r="BF32" s="424">
        <f t="shared" si="5"/>
        <v>14522.265901174265</v>
      </c>
      <c r="BG32" s="425">
        <v>0</v>
      </c>
      <c r="BH32" s="425">
        <v>0</v>
      </c>
      <c r="BI32" s="425">
        <v>0</v>
      </c>
      <c r="BJ32" s="425">
        <v>0</v>
      </c>
      <c r="BK32" s="425">
        <v>0</v>
      </c>
      <c r="BL32" s="425">
        <v>0</v>
      </c>
      <c r="BM32" s="425">
        <v>0</v>
      </c>
      <c r="BN32" s="426">
        <v>0</v>
      </c>
      <c r="BO32" s="426">
        <v>0</v>
      </c>
      <c r="BP32" s="421" t="s">
        <v>343</v>
      </c>
      <c r="BQ32" s="422">
        <v>2322.7721427560491</v>
      </c>
      <c r="BR32" s="423">
        <v>1044.8680865944505</v>
      </c>
      <c r="BS32" s="423">
        <v>11570.980159782304</v>
      </c>
      <c r="BT32" s="423">
        <v>0</v>
      </c>
      <c r="BU32" s="424">
        <f t="shared" si="6"/>
        <v>14938.620389132804</v>
      </c>
      <c r="BV32" s="417">
        <f t="shared" si="12"/>
        <v>2.8670077437769028E-2</v>
      </c>
      <c r="BW32" s="442"/>
      <c r="BX32" s="424">
        <f t="shared" si="7"/>
        <v>14938.620389132804</v>
      </c>
      <c r="BY32" s="425">
        <v>0</v>
      </c>
      <c r="BZ32" s="425">
        <v>0</v>
      </c>
      <c r="CA32" s="425">
        <v>0</v>
      </c>
      <c r="CB32" s="425">
        <v>0</v>
      </c>
      <c r="CC32" s="425">
        <v>0</v>
      </c>
      <c r="CD32" s="425">
        <v>0</v>
      </c>
      <c r="CE32" s="425">
        <v>0</v>
      </c>
      <c r="CF32" s="426">
        <v>0</v>
      </c>
      <c r="CG32" s="426">
        <v>0</v>
      </c>
      <c r="CH32" s="421" t="s">
        <v>343</v>
      </c>
    </row>
    <row r="33" spans="1:86" s="365" customFormat="1">
      <c r="A33" s="407" t="str">
        <f t="shared" si="8"/>
        <v>ResidentialMarket Support</v>
      </c>
      <c r="B33" s="408" t="s">
        <v>382</v>
      </c>
      <c r="C33" s="409"/>
      <c r="D33" s="410" t="s">
        <v>383</v>
      </c>
      <c r="E33" s="635" t="s">
        <v>15</v>
      </c>
      <c r="F33" s="411" t="s">
        <v>16</v>
      </c>
      <c r="G33" s="411" t="s">
        <v>17</v>
      </c>
      <c r="H33" s="412" t="s">
        <v>23</v>
      </c>
      <c r="I33" s="428"/>
      <c r="J33" s="414">
        <v>776000</v>
      </c>
      <c r="K33" s="414"/>
      <c r="L33" s="414">
        <v>558192</v>
      </c>
      <c r="M33" s="414">
        <v>776000</v>
      </c>
      <c r="N33" s="414">
        <v>776000</v>
      </c>
      <c r="O33" s="429">
        <v>187153.7094252987</v>
      </c>
      <c r="P33" s="430">
        <v>4510.0344068813374</v>
      </c>
      <c r="Q33" s="430">
        <v>312512.70046507096</v>
      </c>
      <c r="R33" s="430">
        <v>0</v>
      </c>
      <c r="S33" s="445">
        <f t="shared" si="0"/>
        <v>504176.444297251</v>
      </c>
      <c r="T33" s="417">
        <f t="shared" si="9"/>
        <v>-0.35028808724581056</v>
      </c>
      <c r="U33" s="418"/>
      <c r="V33" s="419">
        <f t="shared" si="1"/>
        <v>504176.444297251</v>
      </c>
      <c r="W33" s="434">
        <v>0</v>
      </c>
      <c r="X33" s="434">
        <v>0</v>
      </c>
      <c r="Y33" s="434">
        <v>0</v>
      </c>
      <c r="Z33" s="434">
        <v>0</v>
      </c>
      <c r="AA33" s="434">
        <v>0</v>
      </c>
      <c r="AB33" s="434">
        <v>0</v>
      </c>
      <c r="AC33" s="434">
        <v>0</v>
      </c>
      <c r="AD33" s="435">
        <v>0</v>
      </c>
      <c r="AE33" s="435">
        <v>0</v>
      </c>
      <c r="AF33" s="431" t="s">
        <v>342</v>
      </c>
      <c r="AG33" s="432">
        <v>190700.1039182388</v>
      </c>
      <c r="AH33" s="433">
        <v>4629.9297134007611</v>
      </c>
      <c r="AI33" s="433">
        <v>316469.52266533661</v>
      </c>
      <c r="AJ33" s="433">
        <v>0</v>
      </c>
      <c r="AK33" s="424">
        <f t="shared" si="2"/>
        <v>511799.55629697617</v>
      </c>
      <c r="AL33" s="417">
        <f t="shared" si="10"/>
        <v>1.511992891764446E-2</v>
      </c>
      <c r="AM33" s="418"/>
      <c r="AN33" s="424">
        <f t="shared" si="3"/>
        <v>511799.55629697617</v>
      </c>
      <c r="AO33" s="434">
        <v>0</v>
      </c>
      <c r="AP33" s="434">
        <v>0</v>
      </c>
      <c r="AQ33" s="434">
        <v>0</v>
      </c>
      <c r="AR33" s="434">
        <v>0</v>
      </c>
      <c r="AS33" s="434">
        <v>0</v>
      </c>
      <c r="AT33" s="434">
        <v>0</v>
      </c>
      <c r="AU33" s="434">
        <v>0</v>
      </c>
      <c r="AV33" s="435">
        <v>0</v>
      </c>
      <c r="AW33" s="435">
        <v>0</v>
      </c>
      <c r="AX33" s="431" t="s">
        <v>343</v>
      </c>
      <c r="AY33" s="436">
        <v>194722.92898071156</v>
      </c>
      <c r="AZ33" s="430">
        <v>4759.2688283104126</v>
      </c>
      <c r="BA33" s="430">
        <v>321719.04015626718</v>
      </c>
      <c r="BB33" s="430">
        <v>0</v>
      </c>
      <c r="BC33" s="424">
        <f t="shared" si="4"/>
        <v>521201.23796528915</v>
      </c>
      <c r="BD33" s="417">
        <f t="shared" si="11"/>
        <v>1.8369851150979857E-2</v>
      </c>
      <c r="BE33" s="418"/>
      <c r="BF33" s="424">
        <f t="shared" si="5"/>
        <v>521201.23796528915</v>
      </c>
      <c r="BG33" s="425">
        <v>0</v>
      </c>
      <c r="BH33" s="425">
        <v>0</v>
      </c>
      <c r="BI33" s="425">
        <v>0</v>
      </c>
      <c r="BJ33" s="425">
        <v>0</v>
      </c>
      <c r="BK33" s="425">
        <v>0</v>
      </c>
      <c r="BL33" s="425">
        <v>0</v>
      </c>
      <c r="BM33" s="425">
        <v>0</v>
      </c>
      <c r="BN33" s="426">
        <v>0</v>
      </c>
      <c r="BO33" s="426">
        <v>0</v>
      </c>
      <c r="BP33" s="431" t="s">
        <v>343</v>
      </c>
      <c r="BQ33" s="432">
        <v>199748.46912962288</v>
      </c>
      <c r="BR33" s="433">
        <v>4894.3563483271619</v>
      </c>
      <c r="BS33" s="433">
        <v>327598.89749122778</v>
      </c>
      <c r="BT33" s="433">
        <v>0</v>
      </c>
      <c r="BU33" s="424">
        <f t="shared" si="6"/>
        <v>532241.72296917788</v>
      </c>
      <c r="BV33" s="417">
        <f t="shared" si="12"/>
        <v>2.1182768189480002E-2</v>
      </c>
      <c r="BW33" s="418"/>
      <c r="BX33" s="424">
        <f t="shared" si="7"/>
        <v>532241.72296917788</v>
      </c>
      <c r="BY33" s="434">
        <v>0</v>
      </c>
      <c r="BZ33" s="434">
        <v>0</v>
      </c>
      <c r="CA33" s="434">
        <v>0</v>
      </c>
      <c r="CB33" s="434">
        <v>0</v>
      </c>
      <c r="CC33" s="434">
        <v>0</v>
      </c>
      <c r="CD33" s="434">
        <v>0</v>
      </c>
      <c r="CE33" s="434">
        <v>0</v>
      </c>
      <c r="CF33" s="435">
        <v>0</v>
      </c>
      <c r="CG33" s="435">
        <v>0</v>
      </c>
      <c r="CH33" s="431" t="s">
        <v>343</v>
      </c>
    </row>
    <row r="34" spans="1:86" s="365" customFormat="1">
      <c r="A34" s="407" t="str">
        <f t="shared" si="8"/>
        <v>ResidentialResource Acquisition</v>
      </c>
      <c r="B34" s="437" t="s">
        <v>384</v>
      </c>
      <c r="C34" s="409"/>
      <c r="D34" s="410" t="s">
        <v>385</v>
      </c>
      <c r="E34" s="635" t="s">
        <v>20</v>
      </c>
      <c r="F34" s="411" t="s">
        <v>16</v>
      </c>
      <c r="G34" s="411" t="s">
        <v>17</v>
      </c>
      <c r="H34" s="412" t="s">
        <v>18</v>
      </c>
      <c r="I34" s="428"/>
      <c r="J34" s="414">
        <v>11655724</v>
      </c>
      <c r="K34" s="414"/>
      <c r="L34" s="414">
        <v>16989218</v>
      </c>
      <c r="M34" s="414">
        <v>16711309</v>
      </c>
      <c r="N34" s="414">
        <v>16767864</v>
      </c>
      <c r="O34" s="429">
        <v>886703.98578606825</v>
      </c>
      <c r="P34" s="430">
        <v>1568515.8129556847</v>
      </c>
      <c r="Q34" s="430">
        <v>2135988.2449052874</v>
      </c>
      <c r="R34" s="430">
        <v>12186935</v>
      </c>
      <c r="S34" s="445">
        <f t="shared" si="0"/>
        <v>16778143.04364704</v>
      </c>
      <c r="T34" s="417">
        <f t="shared" si="9"/>
        <v>6.1302045669261638E-4</v>
      </c>
      <c r="U34" s="418"/>
      <c r="V34" s="419">
        <f t="shared" si="1"/>
        <v>16778143.04364704</v>
      </c>
      <c r="W34" s="434">
        <v>-143339</v>
      </c>
      <c r="X34" s="434">
        <v>-7</v>
      </c>
      <c r="Y34" s="434">
        <v>621089</v>
      </c>
      <c r="Z34" s="434">
        <v>-68</v>
      </c>
      <c r="AA34" s="434">
        <v>3633</v>
      </c>
      <c r="AB34" s="434">
        <v>-2258828</v>
      </c>
      <c r="AC34" s="434">
        <v>11084450</v>
      </c>
      <c r="AD34" s="435">
        <v>-3374</v>
      </c>
      <c r="AE34" s="435">
        <v>64844</v>
      </c>
      <c r="AF34" s="431" t="s">
        <v>342</v>
      </c>
      <c r="AG34" s="432">
        <v>1047180.3775055325</v>
      </c>
      <c r="AH34" s="433">
        <v>1609810.3115718118</v>
      </c>
      <c r="AI34" s="433">
        <v>2504484.7978967256</v>
      </c>
      <c r="AJ34" s="433">
        <v>12298935</v>
      </c>
      <c r="AK34" s="424">
        <f t="shared" si="2"/>
        <v>17460410.486974068</v>
      </c>
      <c r="AL34" s="417">
        <f t="shared" si="10"/>
        <v>4.0664061663568035E-2</v>
      </c>
      <c r="AM34" s="418"/>
      <c r="AN34" s="424">
        <f t="shared" si="3"/>
        <v>17460410.486974068</v>
      </c>
      <c r="AO34" s="434">
        <v>-135699.7353</v>
      </c>
      <c r="AP34" s="434">
        <v>-5.2383740660000004</v>
      </c>
      <c r="AQ34" s="434">
        <v>660409.68689999997</v>
      </c>
      <c r="AR34" s="434">
        <v>-65.967202839999999</v>
      </c>
      <c r="AS34" s="434">
        <v>3863.3966690000002</v>
      </c>
      <c r="AT34" s="434">
        <v>-2183946.8190000001</v>
      </c>
      <c r="AU34" s="434">
        <v>11865841.68</v>
      </c>
      <c r="AV34" s="435">
        <v>-3347.4747870000001</v>
      </c>
      <c r="AW34" s="435">
        <v>69415.173819999996</v>
      </c>
      <c r="AX34" s="431" t="s">
        <v>343</v>
      </c>
      <c r="AY34" s="436">
        <v>1076842.022715182</v>
      </c>
      <c r="AZ34" s="430">
        <v>1598274.4295194081</v>
      </c>
      <c r="BA34" s="430">
        <v>2533456.3803193262</v>
      </c>
      <c r="BB34" s="430">
        <v>12608885</v>
      </c>
      <c r="BC34" s="424">
        <f t="shared" si="4"/>
        <v>17817457.832553916</v>
      </c>
      <c r="BD34" s="417">
        <f t="shared" si="11"/>
        <v>2.0448966296995968E-2</v>
      </c>
      <c r="BE34" s="418"/>
      <c r="BF34" s="424">
        <f t="shared" si="5"/>
        <v>17817457.832553916</v>
      </c>
      <c r="BG34" s="434">
        <v>-136392.79029999999</v>
      </c>
      <c r="BH34" s="434">
        <v>-5.3406740660000001</v>
      </c>
      <c r="BI34" s="434">
        <v>678191.73690000002</v>
      </c>
      <c r="BJ34" s="434">
        <v>-71.225826459999993</v>
      </c>
      <c r="BK34" s="434">
        <v>3967.4216609999999</v>
      </c>
      <c r="BL34" s="434">
        <v>-2197807.9190000002</v>
      </c>
      <c r="BM34" s="434">
        <v>12213867.93</v>
      </c>
      <c r="BN34" s="435">
        <v>-3433.6165700000001</v>
      </c>
      <c r="BO34" s="435">
        <v>71451.127380000005</v>
      </c>
      <c r="BP34" s="431" t="s">
        <v>343</v>
      </c>
      <c r="BQ34" s="432">
        <v>1133791.508530491</v>
      </c>
      <c r="BR34" s="433">
        <v>1550091.8054160581</v>
      </c>
      <c r="BS34" s="433">
        <v>2595192.6952085197</v>
      </c>
      <c r="BT34" s="433">
        <v>13060270</v>
      </c>
      <c r="BU34" s="424">
        <f t="shared" si="6"/>
        <v>18339346.009155069</v>
      </c>
      <c r="BV34" s="417">
        <f t="shared" si="12"/>
        <v>2.9290832704967684E-2</v>
      </c>
      <c r="BW34" s="418"/>
      <c r="BX34" s="424">
        <f t="shared" si="7"/>
        <v>18339346.009155069</v>
      </c>
      <c r="BY34" s="434">
        <v>-138951.16159999999</v>
      </c>
      <c r="BZ34" s="434">
        <v>-4.8780094580000002</v>
      </c>
      <c r="CA34" s="434">
        <v>705588.3088</v>
      </c>
      <c r="CB34" s="434">
        <v>-70.09760369</v>
      </c>
      <c r="CC34" s="434">
        <v>4127.6916060000003</v>
      </c>
      <c r="CD34" s="434">
        <v>-2256911.7030000002</v>
      </c>
      <c r="CE34" s="434">
        <v>12704814.560000001</v>
      </c>
      <c r="CF34" s="435">
        <v>-3591.1851259999999</v>
      </c>
      <c r="CG34" s="435">
        <v>74323.165169999993</v>
      </c>
      <c r="CH34" s="431" t="s">
        <v>343</v>
      </c>
    </row>
    <row r="35" spans="1:86" s="365" customFormat="1">
      <c r="A35" s="407" t="str">
        <f t="shared" si="8"/>
        <v>ResidentialResource Acquisition</v>
      </c>
      <c r="B35" s="437" t="s">
        <v>386</v>
      </c>
      <c r="C35" s="438"/>
      <c r="D35" s="443" t="s">
        <v>387</v>
      </c>
      <c r="E35" s="635" t="s">
        <v>20</v>
      </c>
      <c r="F35" s="411" t="s">
        <v>16</v>
      </c>
      <c r="G35" s="411" t="s">
        <v>17</v>
      </c>
      <c r="H35" s="412" t="s">
        <v>18</v>
      </c>
      <c r="I35" s="444"/>
      <c r="J35" s="414">
        <v>490000</v>
      </c>
      <c r="K35" s="414"/>
      <c r="L35" s="414">
        <v>488452</v>
      </c>
      <c r="M35" s="414">
        <v>539000</v>
      </c>
      <c r="N35" s="414">
        <v>416000</v>
      </c>
      <c r="O35" s="415">
        <v>131215.11767743883</v>
      </c>
      <c r="P35" s="414">
        <v>55862.785247860367</v>
      </c>
      <c r="Q35" s="414">
        <v>345099.85926315445</v>
      </c>
      <c r="R35" s="414">
        <v>0</v>
      </c>
      <c r="S35" s="416">
        <f t="shared" si="0"/>
        <v>532177.76218845369</v>
      </c>
      <c r="T35" s="417">
        <f t="shared" si="9"/>
        <v>0.27927346679916754</v>
      </c>
      <c r="U35" s="442"/>
      <c r="V35" s="419">
        <f t="shared" si="1"/>
        <v>532177.76218845369</v>
      </c>
      <c r="W35" s="425">
        <v>0</v>
      </c>
      <c r="X35" s="425">
        <v>0</v>
      </c>
      <c r="Y35" s="425">
        <v>0</v>
      </c>
      <c r="Z35" s="425">
        <v>0</v>
      </c>
      <c r="AA35" s="425">
        <v>0</v>
      </c>
      <c r="AB35" s="425">
        <v>0</v>
      </c>
      <c r="AC35" s="425">
        <v>0</v>
      </c>
      <c r="AD35" s="426">
        <v>0</v>
      </c>
      <c r="AE35" s="426">
        <v>0</v>
      </c>
      <c r="AF35" s="421" t="s">
        <v>342</v>
      </c>
      <c r="AG35" s="422">
        <v>0</v>
      </c>
      <c r="AH35" s="423">
        <v>0</v>
      </c>
      <c r="AI35" s="423">
        <v>0</v>
      </c>
      <c r="AJ35" s="423">
        <v>0</v>
      </c>
      <c r="AK35" s="424">
        <f t="shared" si="2"/>
        <v>0</v>
      </c>
      <c r="AL35" s="417">
        <f t="shared" si="10"/>
        <v>-1</v>
      </c>
      <c r="AM35" s="442"/>
      <c r="AN35" s="424">
        <f t="shared" si="3"/>
        <v>0</v>
      </c>
      <c r="AO35" s="425">
        <v>0</v>
      </c>
      <c r="AP35" s="425">
        <v>0</v>
      </c>
      <c r="AQ35" s="425">
        <v>0</v>
      </c>
      <c r="AR35" s="425">
        <v>0</v>
      </c>
      <c r="AS35" s="425">
        <v>0</v>
      </c>
      <c r="AT35" s="425">
        <v>0</v>
      </c>
      <c r="AU35" s="425">
        <v>0</v>
      </c>
      <c r="AV35" s="426">
        <v>0</v>
      </c>
      <c r="AW35" s="426">
        <v>0</v>
      </c>
      <c r="AX35" s="421" t="s">
        <v>343</v>
      </c>
      <c r="AY35" s="427">
        <v>0</v>
      </c>
      <c r="AZ35" s="414">
        <v>0</v>
      </c>
      <c r="BA35" s="414">
        <v>0</v>
      </c>
      <c r="BB35" s="414">
        <v>0</v>
      </c>
      <c r="BC35" s="424">
        <f t="shared" si="4"/>
        <v>0</v>
      </c>
      <c r="BD35" s="417" t="e">
        <f t="shared" si="11"/>
        <v>#DIV/0!</v>
      </c>
      <c r="BE35" s="442"/>
      <c r="BF35" s="424">
        <f t="shared" si="5"/>
        <v>0</v>
      </c>
      <c r="BG35" s="425">
        <v>0</v>
      </c>
      <c r="BH35" s="425">
        <v>0</v>
      </c>
      <c r="BI35" s="425">
        <v>0</v>
      </c>
      <c r="BJ35" s="425">
        <v>0</v>
      </c>
      <c r="BK35" s="425">
        <v>0</v>
      </c>
      <c r="BL35" s="425">
        <v>0</v>
      </c>
      <c r="BM35" s="425">
        <v>0</v>
      </c>
      <c r="BN35" s="426">
        <v>0</v>
      </c>
      <c r="BO35" s="426">
        <v>0</v>
      </c>
      <c r="BP35" s="421" t="s">
        <v>343</v>
      </c>
      <c r="BQ35" s="422">
        <v>0</v>
      </c>
      <c r="BR35" s="423">
        <v>0</v>
      </c>
      <c r="BS35" s="423">
        <v>0</v>
      </c>
      <c r="BT35" s="423">
        <v>0</v>
      </c>
      <c r="BU35" s="424">
        <f t="shared" si="6"/>
        <v>0</v>
      </c>
      <c r="BV35" s="417" t="e">
        <f t="shared" si="12"/>
        <v>#DIV/0!</v>
      </c>
      <c r="BW35" s="442"/>
      <c r="BX35" s="424">
        <f t="shared" si="7"/>
        <v>0</v>
      </c>
      <c r="BY35" s="425">
        <v>0</v>
      </c>
      <c r="BZ35" s="425">
        <v>0</v>
      </c>
      <c r="CA35" s="425">
        <v>0</v>
      </c>
      <c r="CB35" s="425">
        <v>0</v>
      </c>
      <c r="CC35" s="425">
        <v>0</v>
      </c>
      <c r="CD35" s="425">
        <v>0</v>
      </c>
      <c r="CE35" s="425">
        <v>0</v>
      </c>
      <c r="CF35" s="426">
        <v>0</v>
      </c>
      <c r="CG35" s="426">
        <v>0</v>
      </c>
      <c r="CH35" s="421" t="s">
        <v>343</v>
      </c>
    </row>
    <row r="36" spans="1:86" s="365" customFormat="1">
      <c r="A36" s="407" t="str">
        <f t="shared" si="8"/>
        <v>ResidentialMarket Support</v>
      </c>
      <c r="B36" s="437" t="s">
        <v>388</v>
      </c>
      <c r="C36" s="438"/>
      <c r="D36" s="443" t="s">
        <v>389</v>
      </c>
      <c r="E36" s="635" t="s">
        <v>20</v>
      </c>
      <c r="F36" s="411" t="s">
        <v>16</v>
      </c>
      <c r="G36" s="411" t="s">
        <v>17</v>
      </c>
      <c r="H36" s="412" t="s">
        <v>23</v>
      </c>
      <c r="I36" s="444"/>
      <c r="J36" s="414"/>
      <c r="K36" s="414"/>
      <c r="L36" s="414"/>
      <c r="M36" s="414"/>
      <c r="N36" s="414">
        <v>20000</v>
      </c>
      <c r="O36" s="415">
        <v>5814.2879446409552</v>
      </c>
      <c r="P36" s="414">
        <v>755.73549520714312</v>
      </c>
      <c r="Q36" s="414">
        <v>20823.96040744775</v>
      </c>
      <c r="R36" s="414">
        <v>0</v>
      </c>
      <c r="S36" s="416">
        <f t="shared" si="0"/>
        <v>27393.983847295847</v>
      </c>
      <c r="T36" s="417">
        <f t="shared" si="9"/>
        <v>0.36969919236479237</v>
      </c>
      <c r="U36" s="442"/>
      <c r="V36" s="419">
        <f t="shared" si="1"/>
        <v>27393.983847295847</v>
      </c>
      <c r="W36" s="425">
        <v>0</v>
      </c>
      <c r="X36" s="425">
        <v>0</v>
      </c>
      <c r="Y36" s="425">
        <v>0</v>
      </c>
      <c r="Z36" s="425">
        <v>0</v>
      </c>
      <c r="AA36" s="425">
        <v>0</v>
      </c>
      <c r="AB36" s="425">
        <v>0</v>
      </c>
      <c r="AC36" s="425">
        <v>0</v>
      </c>
      <c r="AD36" s="426">
        <v>0</v>
      </c>
      <c r="AE36" s="426">
        <v>0</v>
      </c>
      <c r="AF36" s="421" t="s">
        <v>342</v>
      </c>
      <c r="AG36" s="422">
        <v>5983.5876082883187</v>
      </c>
      <c r="AH36" s="423">
        <v>775.82606008337086</v>
      </c>
      <c r="AI36" s="423">
        <v>21293.844561531278</v>
      </c>
      <c r="AJ36" s="423">
        <v>0</v>
      </c>
      <c r="AK36" s="424">
        <f t="shared" si="2"/>
        <v>28053.258229902967</v>
      </c>
      <c r="AL36" s="417">
        <f t="shared" si="10"/>
        <v>2.4066393054845845E-2</v>
      </c>
      <c r="AM36" s="442"/>
      <c r="AN36" s="424">
        <f t="shared" si="3"/>
        <v>28053.258229902967</v>
      </c>
      <c r="AO36" s="425">
        <v>0</v>
      </c>
      <c r="AP36" s="425">
        <v>0</v>
      </c>
      <c r="AQ36" s="425">
        <v>0</v>
      </c>
      <c r="AR36" s="425">
        <v>0</v>
      </c>
      <c r="AS36" s="425">
        <v>0</v>
      </c>
      <c r="AT36" s="425">
        <v>0</v>
      </c>
      <c r="AU36" s="425">
        <v>0</v>
      </c>
      <c r="AV36" s="426">
        <v>0</v>
      </c>
      <c r="AW36" s="426">
        <v>0</v>
      </c>
      <c r="AX36" s="421" t="s">
        <v>343</v>
      </c>
      <c r="AY36" s="427">
        <v>6156.2659446750358</v>
      </c>
      <c r="AZ36" s="414">
        <v>797.49910096012331</v>
      </c>
      <c r="BA36" s="414">
        <v>21819.612471955807</v>
      </c>
      <c r="BB36" s="414">
        <v>0</v>
      </c>
      <c r="BC36" s="424">
        <f t="shared" si="4"/>
        <v>28773.377517590965</v>
      </c>
      <c r="BD36" s="417">
        <f t="shared" si="11"/>
        <v>2.5669720136835904E-2</v>
      </c>
      <c r="BE36" s="442"/>
      <c r="BF36" s="424">
        <f t="shared" si="5"/>
        <v>28773.377517590965</v>
      </c>
      <c r="BG36" s="425">
        <v>0</v>
      </c>
      <c r="BH36" s="425">
        <v>0</v>
      </c>
      <c r="BI36" s="425">
        <v>0</v>
      </c>
      <c r="BJ36" s="425">
        <v>0</v>
      </c>
      <c r="BK36" s="425">
        <v>0</v>
      </c>
      <c r="BL36" s="425">
        <v>0</v>
      </c>
      <c r="BM36" s="425">
        <v>0</v>
      </c>
      <c r="BN36" s="426">
        <v>0</v>
      </c>
      <c r="BO36" s="426">
        <v>0</v>
      </c>
      <c r="BP36" s="421" t="s">
        <v>343</v>
      </c>
      <c r="BQ36" s="422">
        <v>6373.8976691498865</v>
      </c>
      <c r="BR36" s="423">
        <v>820.13538809806494</v>
      </c>
      <c r="BS36" s="423">
        <v>22376.385593936924</v>
      </c>
      <c r="BT36" s="423">
        <v>0</v>
      </c>
      <c r="BU36" s="424">
        <f t="shared" si="6"/>
        <v>29570.418651184875</v>
      </c>
      <c r="BV36" s="417">
        <f t="shared" si="12"/>
        <v>2.7700645609179134E-2</v>
      </c>
      <c r="BW36" s="442"/>
      <c r="BX36" s="424">
        <f t="shared" si="7"/>
        <v>29570.418651184875</v>
      </c>
      <c r="BY36" s="425">
        <v>0</v>
      </c>
      <c r="BZ36" s="425">
        <v>0</v>
      </c>
      <c r="CA36" s="425">
        <v>0</v>
      </c>
      <c r="CB36" s="425">
        <v>0</v>
      </c>
      <c r="CC36" s="425">
        <v>0</v>
      </c>
      <c r="CD36" s="425">
        <v>0</v>
      </c>
      <c r="CE36" s="425">
        <v>0</v>
      </c>
      <c r="CF36" s="426">
        <v>0</v>
      </c>
      <c r="CG36" s="426">
        <v>0</v>
      </c>
      <c r="CH36" s="421" t="s">
        <v>343</v>
      </c>
    </row>
    <row r="37" spans="1:86" s="365" customFormat="1">
      <c r="A37" s="407" t="str">
        <f t="shared" si="8"/>
        <v>ResidentialMarket Support</v>
      </c>
      <c r="B37" s="408" t="s">
        <v>390</v>
      </c>
      <c r="C37" s="409"/>
      <c r="D37" s="447" t="s">
        <v>391</v>
      </c>
      <c r="E37" s="635" t="s">
        <v>20</v>
      </c>
      <c r="F37" s="411" t="s">
        <v>16</v>
      </c>
      <c r="G37" s="411" t="s">
        <v>17</v>
      </c>
      <c r="H37" s="412" t="s">
        <v>23</v>
      </c>
      <c r="I37" s="448"/>
      <c r="J37" s="414"/>
      <c r="K37" s="414"/>
      <c r="L37" s="414"/>
      <c r="M37" s="414"/>
      <c r="N37" s="414"/>
      <c r="O37" s="429">
        <v>11367.107130462249</v>
      </c>
      <c r="P37" s="430">
        <v>9042.3000000000011</v>
      </c>
      <c r="Q37" s="430">
        <v>48480.985243108451</v>
      </c>
      <c r="R37" s="430">
        <v>0</v>
      </c>
      <c r="S37" s="445">
        <f t="shared" si="0"/>
        <v>68890.392373570707</v>
      </c>
      <c r="T37" s="417" t="e">
        <f t="shared" si="9"/>
        <v>#DIV/0!</v>
      </c>
      <c r="U37" s="418"/>
      <c r="V37" s="419">
        <f t="shared" si="1"/>
        <v>68890.392373570707</v>
      </c>
      <c r="W37" s="425">
        <v>0</v>
      </c>
      <c r="X37" s="425">
        <v>0</v>
      </c>
      <c r="Y37" s="425">
        <v>0</v>
      </c>
      <c r="Z37" s="425">
        <v>0</v>
      </c>
      <c r="AA37" s="425">
        <v>0</v>
      </c>
      <c r="AB37" s="425">
        <v>0</v>
      </c>
      <c r="AC37" s="425">
        <v>0</v>
      </c>
      <c r="AD37" s="426">
        <v>0</v>
      </c>
      <c r="AE37" s="426">
        <v>0</v>
      </c>
      <c r="AF37" s="431" t="s">
        <v>342</v>
      </c>
      <c r="AG37" s="432">
        <v>11617.868728812567</v>
      </c>
      <c r="AH37" s="433">
        <v>9116.25</v>
      </c>
      <c r="AI37" s="433">
        <v>49603.769681108068</v>
      </c>
      <c r="AJ37" s="433">
        <v>0</v>
      </c>
      <c r="AK37" s="424">
        <f t="shared" si="2"/>
        <v>70337.888409920633</v>
      </c>
      <c r="AL37" s="417">
        <f t="shared" si="10"/>
        <v>2.1011580664261797E-2</v>
      </c>
      <c r="AM37" s="418"/>
      <c r="AN37" s="424">
        <f t="shared" si="3"/>
        <v>70337.888409920633</v>
      </c>
      <c r="AO37" s="425">
        <v>0</v>
      </c>
      <c r="AP37" s="425">
        <v>0</v>
      </c>
      <c r="AQ37" s="425">
        <v>0</v>
      </c>
      <c r="AR37" s="425">
        <v>0</v>
      </c>
      <c r="AS37" s="425">
        <v>0</v>
      </c>
      <c r="AT37" s="425">
        <v>0</v>
      </c>
      <c r="AU37" s="425">
        <v>0</v>
      </c>
      <c r="AV37" s="426">
        <v>0</v>
      </c>
      <c r="AW37" s="426">
        <v>0</v>
      </c>
      <c r="AX37" s="431" t="s">
        <v>343</v>
      </c>
      <c r="AY37" s="436">
        <v>11883.152064471449</v>
      </c>
      <c r="AZ37" s="430">
        <v>9233.5500000000011</v>
      </c>
      <c r="BA37" s="430">
        <v>50852.429496073382</v>
      </c>
      <c r="BB37" s="430">
        <v>0</v>
      </c>
      <c r="BC37" s="424">
        <f t="shared" si="4"/>
        <v>71969.131560544833</v>
      </c>
      <c r="BD37" s="417">
        <f t="shared" si="11"/>
        <v>2.3191528598605536E-2</v>
      </c>
      <c r="BE37" s="418"/>
      <c r="BF37" s="424">
        <f t="shared" si="5"/>
        <v>71969.131560544833</v>
      </c>
      <c r="BG37" s="425">
        <v>0</v>
      </c>
      <c r="BH37" s="425">
        <v>0</v>
      </c>
      <c r="BI37" s="425">
        <v>0</v>
      </c>
      <c r="BJ37" s="425">
        <v>0</v>
      </c>
      <c r="BK37" s="425">
        <v>0</v>
      </c>
      <c r="BL37" s="425">
        <v>0</v>
      </c>
      <c r="BM37" s="425">
        <v>0</v>
      </c>
      <c r="BN37" s="426">
        <v>0</v>
      </c>
      <c r="BO37" s="426">
        <v>0</v>
      </c>
      <c r="BP37" s="431" t="s">
        <v>343</v>
      </c>
      <c r="BQ37" s="432">
        <v>12261.239803324268</v>
      </c>
      <c r="BR37" s="433">
        <v>9371.25</v>
      </c>
      <c r="BS37" s="433">
        <v>52171.736236148281</v>
      </c>
      <c r="BT37" s="433">
        <v>0</v>
      </c>
      <c r="BU37" s="424">
        <f t="shared" si="6"/>
        <v>73804.226039472545</v>
      </c>
      <c r="BV37" s="417">
        <f t="shared" si="12"/>
        <v>2.5498355185568956E-2</v>
      </c>
      <c r="BW37" s="418"/>
      <c r="BX37" s="424">
        <f t="shared" si="7"/>
        <v>73804.226039472545</v>
      </c>
      <c r="BY37" s="434">
        <v>0</v>
      </c>
      <c r="BZ37" s="434">
        <v>0</v>
      </c>
      <c r="CA37" s="434">
        <v>0</v>
      </c>
      <c r="CB37" s="434">
        <v>0</v>
      </c>
      <c r="CC37" s="434">
        <v>0</v>
      </c>
      <c r="CD37" s="434">
        <v>0</v>
      </c>
      <c r="CE37" s="434">
        <v>0</v>
      </c>
      <c r="CF37" s="435">
        <v>0</v>
      </c>
      <c r="CG37" s="435">
        <v>0</v>
      </c>
      <c r="CH37" s="431" t="s">
        <v>343</v>
      </c>
    </row>
    <row r="38" spans="1:86" s="365" customFormat="1">
      <c r="A38" s="407" t="str">
        <f t="shared" si="8"/>
        <v>ResidentialMarket Support</v>
      </c>
      <c r="B38" s="437" t="s">
        <v>392</v>
      </c>
      <c r="C38" s="438"/>
      <c r="D38" s="439" t="s">
        <v>393</v>
      </c>
      <c r="E38" s="635" t="s">
        <v>20</v>
      </c>
      <c r="F38" s="411" t="s">
        <v>16</v>
      </c>
      <c r="G38" s="411" t="s">
        <v>17</v>
      </c>
      <c r="H38" s="412" t="s">
        <v>23</v>
      </c>
      <c r="I38" s="413"/>
      <c r="J38" s="414"/>
      <c r="K38" s="414"/>
      <c r="L38" s="414"/>
      <c r="M38" s="414">
        <v>2000</v>
      </c>
      <c r="N38" s="414">
        <v>2500</v>
      </c>
      <c r="O38" s="415">
        <v>417.79280000317431</v>
      </c>
      <c r="P38" s="414">
        <v>0</v>
      </c>
      <c r="Q38" s="414">
        <v>8857.4564808593586</v>
      </c>
      <c r="R38" s="414">
        <v>0</v>
      </c>
      <c r="S38" s="416">
        <f t="shared" si="0"/>
        <v>9275.249280862532</v>
      </c>
      <c r="T38" s="417">
        <f t="shared" si="9"/>
        <v>2.7100997123450128</v>
      </c>
      <c r="U38" s="442"/>
      <c r="V38" s="419">
        <f t="shared" si="1"/>
        <v>9275.249280862532</v>
      </c>
      <c r="W38" s="425">
        <v>0</v>
      </c>
      <c r="X38" s="425">
        <v>0</v>
      </c>
      <c r="Y38" s="425">
        <v>0</v>
      </c>
      <c r="Z38" s="425">
        <v>0</v>
      </c>
      <c r="AA38" s="425">
        <v>0</v>
      </c>
      <c r="AB38" s="425">
        <v>0</v>
      </c>
      <c r="AC38" s="425">
        <v>0</v>
      </c>
      <c r="AD38" s="426">
        <v>0</v>
      </c>
      <c r="AE38" s="426">
        <v>0</v>
      </c>
      <c r="AF38" s="421" t="s">
        <v>342</v>
      </c>
      <c r="AG38" s="422">
        <v>434.47361238493414</v>
      </c>
      <c r="AH38" s="423">
        <v>0</v>
      </c>
      <c r="AI38" s="423">
        <v>9034.5752234313659</v>
      </c>
      <c r="AJ38" s="423">
        <v>0</v>
      </c>
      <c r="AK38" s="424">
        <f t="shared" si="2"/>
        <v>9469.0488358163002</v>
      </c>
      <c r="AL38" s="417">
        <f t="shared" si="10"/>
        <v>2.0894269154968326E-2</v>
      </c>
      <c r="AM38" s="442"/>
      <c r="AN38" s="424">
        <f t="shared" si="3"/>
        <v>9469.0488358163002</v>
      </c>
      <c r="AO38" s="425">
        <v>0</v>
      </c>
      <c r="AP38" s="425">
        <v>0</v>
      </c>
      <c r="AQ38" s="425">
        <v>0</v>
      </c>
      <c r="AR38" s="425">
        <v>0</v>
      </c>
      <c r="AS38" s="425">
        <v>0</v>
      </c>
      <c r="AT38" s="425">
        <v>0</v>
      </c>
      <c r="AU38" s="425">
        <v>0</v>
      </c>
      <c r="AV38" s="426">
        <v>0</v>
      </c>
      <c r="AW38" s="426">
        <v>0</v>
      </c>
      <c r="AX38" s="421" t="s">
        <v>343</v>
      </c>
      <c r="AY38" s="427">
        <v>448.94561878795878</v>
      </c>
      <c r="AZ38" s="414">
        <v>0</v>
      </c>
      <c r="BA38" s="414">
        <v>9238.8009833977449</v>
      </c>
      <c r="BB38" s="414">
        <v>0</v>
      </c>
      <c r="BC38" s="424">
        <f t="shared" si="4"/>
        <v>9687.7466021857035</v>
      </c>
      <c r="BD38" s="417">
        <f t="shared" si="11"/>
        <v>2.3096064891141729E-2</v>
      </c>
      <c r="BE38" s="442"/>
      <c r="BF38" s="424">
        <f t="shared" si="5"/>
        <v>9687.7466021857035</v>
      </c>
      <c r="BG38" s="425">
        <v>0</v>
      </c>
      <c r="BH38" s="425">
        <v>0</v>
      </c>
      <c r="BI38" s="425">
        <v>0</v>
      </c>
      <c r="BJ38" s="425">
        <v>0</v>
      </c>
      <c r="BK38" s="425">
        <v>0</v>
      </c>
      <c r="BL38" s="425">
        <v>0</v>
      </c>
      <c r="BM38" s="425">
        <v>0</v>
      </c>
      <c r="BN38" s="426">
        <v>0</v>
      </c>
      <c r="BO38" s="426">
        <v>0</v>
      </c>
      <c r="BP38" s="421" t="s">
        <v>343</v>
      </c>
      <c r="BQ38" s="422">
        <v>476.51656250196675</v>
      </c>
      <c r="BR38" s="423">
        <v>0</v>
      </c>
      <c r="BS38" s="423">
        <v>9457.4277104737394</v>
      </c>
      <c r="BT38" s="423">
        <v>0</v>
      </c>
      <c r="BU38" s="424">
        <f t="shared" si="6"/>
        <v>9933.9442729757066</v>
      </c>
      <c r="BV38" s="417">
        <f t="shared" si="12"/>
        <v>2.5413306200066904E-2</v>
      </c>
      <c r="BW38" s="442"/>
      <c r="BX38" s="424">
        <f t="shared" si="7"/>
        <v>9933.9442729757066</v>
      </c>
      <c r="BY38" s="425">
        <v>0</v>
      </c>
      <c r="BZ38" s="425">
        <v>0</v>
      </c>
      <c r="CA38" s="425">
        <v>0</v>
      </c>
      <c r="CB38" s="425">
        <v>0</v>
      </c>
      <c r="CC38" s="425">
        <v>0</v>
      </c>
      <c r="CD38" s="425">
        <v>0</v>
      </c>
      <c r="CE38" s="425">
        <v>0</v>
      </c>
      <c r="CF38" s="426">
        <v>0</v>
      </c>
      <c r="CG38" s="426">
        <v>0</v>
      </c>
      <c r="CH38" s="421" t="s">
        <v>343</v>
      </c>
    </row>
    <row r="39" spans="1:86" s="365" customFormat="1">
      <c r="A39" s="407" t="str">
        <f t="shared" si="8"/>
        <v>ResidentialResource Acquisition</v>
      </c>
      <c r="B39" s="437" t="s">
        <v>394</v>
      </c>
      <c r="C39" s="438"/>
      <c r="D39" s="439" t="s">
        <v>395</v>
      </c>
      <c r="E39" s="635" t="s">
        <v>20</v>
      </c>
      <c r="F39" s="411" t="s">
        <v>16</v>
      </c>
      <c r="G39" s="411" t="s">
        <v>17</v>
      </c>
      <c r="H39" s="412" t="s">
        <v>18</v>
      </c>
      <c r="I39" s="413"/>
      <c r="J39" s="414">
        <v>9901</v>
      </c>
      <c r="K39" s="414"/>
      <c r="L39" s="414"/>
      <c r="M39" s="414">
        <v>20000</v>
      </c>
      <c r="N39" s="414">
        <v>23000</v>
      </c>
      <c r="O39" s="415">
        <v>8972.9778463230396</v>
      </c>
      <c r="P39" s="414">
        <v>24.378564361520745</v>
      </c>
      <c r="Q39" s="414">
        <v>19456.82721394705</v>
      </c>
      <c r="R39" s="414">
        <v>0</v>
      </c>
      <c r="S39" s="416">
        <f t="shared" ref="S39:S70" si="13">SUM(O39:R39)</f>
        <v>28454.183624631609</v>
      </c>
      <c r="T39" s="417">
        <f t="shared" si="9"/>
        <v>0.23713841846224387</v>
      </c>
      <c r="U39" s="442"/>
      <c r="V39" s="419">
        <f t="shared" ref="V39:V70" si="14">S39+U39</f>
        <v>28454.183624631609</v>
      </c>
      <c r="W39" s="425">
        <v>0</v>
      </c>
      <c r="X39" s="425">
        <v>0</v>
      </c>
      <c r="Y39" s="425">
        <v>0</v>
      </c>
      <c r="Z39" s="425">
        <v>0</v>
      </c>
      <c r="AA39" s="425">
        <v>0</v>
      </c>
      <c r="AB39" s="425">
        <v>0</v>
      </c>
      <c r="AC39" s="425">
        <v>0</v>
      </c>
      <c r="AD39" s="426">
        <v>0</v>
      </c>
      <c r="AE39" s="426">
        <v>0</v>
      </c>
      <c r="AF39" s="421" t="s">
        <v>342</v>
      </c>
      <c r="AG39" s="422">
        <v>9153.4885918648088</v>
      </c>
      <c r="AH39" s="423">
        <v>25.026647099463577</v>
      </c>
      <c r="AI39" s="423">
        <v>19806.218912574241</v>
      </c>
      <c r="AJ39" s="423">
        <v>0</v>
      </c>
      <c r="AK39" s="424">
        <f t="shared" ref="AK39:AK70" si="15">SUM(AG39:AJ39)</f>
        <v>28984.734151538512</v>
      </c>
      <c r="AL39" s="417">
        <f t="shared" si="10"/>
        <v>1.8645782775072412E-2</v>
      </c>
      <c r="AM39" s="442"/>
      <c r="AN39" s="424">
        <f t="shared" ref="AN39:AN70" si="16">AK39+AM39</f>
        <v>28984.734151538512</v>
      </c>
      <c r="AO39" s="425">
        <v>0</v>
      </c>
      <c r="AP39" s="425">
        <v>0</v>
      </c>
      <c r="AQ39" s="425">
        <v>0</v>
      </c>
      <c r="AR39" s="425">
        <v>0</v>
      </c>
      <c r="AS39" s="425">
        <v>0</v>
      </c>
      <c r="AT39" s="425">
        <v>0</v>
      </c>
      <c r="AU39" s="425">
        <v>0</v>
      </c>
      <c r="AV39" s="426">
        <v>0</v>
      </c>
      <c r="AW39" s="426">
        <v>0</v>
      </c>
      <c r="AX39" s="421" t="s">
        <v>343</v>
      </c>
      <c r="AY39" s="427">
        <v>9354.3077674304586</v>
      </c>
      <c r="AZ39" s="414">
        <v>25.725777450326561</v>
      </c>
      <c r="BA39" s="414">
        <v>20220.976384749767</v>
      </c>
      <c r="BB39" s="414">
        <v>0</v>
      </c>
      <c r="BC39" s="424">
        <f t="shared" si="4"/>
        <v>29601.009929630553</v>
      </c>
      <c r="BD39" s="417">
        <f t="shared" si="11"/>
        <v>2.1262081441562167E-2</v>
      </c>
      <c r="BE39" s="442"/>
      <c r="BF39" s="424">
        <f t="shared" si="5"/>
        <v>29601.009929630553</v>
      </c>
      <c r="BG39" s="425">
        <v>0</v>
      </c>
      <c r="BH39" s="425">
        <v>0</v>
      </c>
      <c r="BI39" s="425">
        <v>0</v>
      </c>
      <c r="BJ39" s="425">
        <v>0</v>
      </c>
      <c r="BK39" s="425">
        <v>0</v>
      </c>
      <c r="BL39" s="425">
        <v>0</v>
      </c>
      <c r="BM39" s="425">
        <v>0</v>
      </c>
      <c r="BN39" s="426">
        <v>0</v>
      </c>
      <c r="BO39" s="426">
        <v>0</v>
      </c>
      <c r="BP39" s="421" t="s">
        <v>343</v>
      </c>
      <c r="BQ39" s="422">
        <v>9608.8732218950681</v>
      </c>
      <c r="BR39" s="423">
        <v>26.455980261227904</v>
      </c>
      <c r="BS39" s="423">
        <v>20669.483704417529</v>
      </c>
      <c r="BT39" s="423">
        <v>0</v>
      </c>
      <c r="BU39" s="424">
        <f t="shared" si="6"/>
        <v>30304.812906573825</v>
      </c>
      <c r="BV39" s="417">
        <f t="shared" si="12"/>
        <v>2.3776316369488695E-2</v>
      </c>
      <c r="BW39" s="442"/>
      <c r="BX39" s="424">
        <f t="shared" si="7"/>
        <v>30304.812906573825</v>
      </c>
      <c r="BY39" s="425">
        <v>0</v>
      </c>
      <c r="BZ39" s="425">
        <v>0</v>
      </c>
      <c r="CA39" s="425">
        <v>0</v>
      </c>
      <c r="CB39" s="425">
        <v>0</v>
      </c>
      <c r="CC39" s="425">
        <v>0</v>
      </c>
      <c r="CD39" s="425">
        <v>0</v>
      </c>
      <c r="CE39" s="425">
        <v>0</v>
      </c>
      <c r="CF39" s="426">
        <v>0</v>
      </c>
      <c r="CG39" s="426">
        <v>0</v>
      </c>
      <c r="CH39" s="421" t="s">
        <v>343</v>
      </c>
    </row>
    <row r="40" spans="1:86" s="365" customFormat="1">
      <c r="A40" s="407" t="str">
        <f t="shared" si="8"/>
        <v>ResidentialResource Acquisition</v>
      </c>
      <c r="B40" s="437" t="s">
        <v>396</v>
      </c>
      <c r="C40" s="409"/>
      <c r="D40" s="410" t="s">
        <v>397</v>
      </c>
      <c r="E40" s="635" t="s">
        <v>20</v>
      </c>
      <c r="F40" s="411" t="s">
        <v>16</v>
      </c>
      <c r="G40" s="411" t="s">
        <v>17</v>
      </c>
      <c r="H40" s="412" t="s">
        <v>18</v>
      </c>
      <c r="I40" s="428"/>
      <c r="J40" s="414"/>
      <c r="K40" s="414"/>
      <c r="L40" s="414"/>
      <c r="M40" s="414"/>
      <c r="N40" s="414"/>
      <c r="O40" s="429">
        <v>8789.6772478829098</v>
      </c>
      <c r="P40" s="430">
        <v>0</v>
      </c>
      <c r="Q40" s="430">
        <v>19016.854702309669</v>
      </c>
      <c r="R40" s="430">
        <v>0</v>
      </c>
      <c r="S40" s="445">
        <f t="shared" si="13"/>
        <v>27806.531950192577</v>
      </c>
      <c r="T40" s="417" t="e">
        <f t="shared" si="9"/>
        <v>#DIV/0!</v>
      </c>
      <c r="U40" s="418"/>
      <c r="V40" s="419">
        <f t="shared" si="14"/>
        <v>27806.531950192577</v>
      </c>
      <c r="W40" s="425">
        <v>0</v>
      </c>
      <c r="X40" s="425">
        <v>0</v>
      </c>
      <c r="Y40" s="425">
        <v>0</v>
      </c>
      <c r="Z40" s="425">
        <v>0</v>
      </c>
      <c r="AA40" s="425">
        <v>0</v>
      </c>
      <c r="AB40" s="425">
        <v>0</v>
      </c>
      <c r="AC40" s="425">
        <v>0</v>
      </c>
      <c r="AD40" s="426">
        <v>0</v>
      </c>
      <c r="AE40" s="426">
        <v>0</v>
      </c>
      <c r="AF40" s="431" t="s">
        <v>342</v>
      </c>
      <c r="AG40" s="432">
        <v>8965.1431323522665</v>
      </c>
      <c r="AH40" s="433">
        <v>0</v>
      </c>
      <c r="AI40" s="433">
        <v>19356.361088787678</v>
      </c>
      <c r="AJ40" s="433">
        <v>0</v>
      </c>
      <c r="AK40" s="424">
        <f t="shared" si="15"/>
        <v>28321.504221139945</v>
      </c>
      <c r="AL40" s="417">
        <f t="shared" si="10"/>
        <v>1.8519830947267828E-2</v>
      </c>
      <c r="AM40" s="418"/>
      <c r="AN40" s="424">
        <f t="shared" si="16"/>
        <v>28321.504221139945</v>
      </c>
      <c r="AO40" s="425">
        <v>0</v>
      </c>
      <c r="AP40" s="425">
        <v>0</v>
      </c>
      <c r="AQ40" s="425">
        <v>0</v>
      </c>
      <c r="AR40" s="425">
        <v>0</v>
      </c>
      <c r="AS40" s="425">
        <v>0</v>
      </c>
      <c r="AT40" s="425">
        <v>0</v>
      </c>
      <c r="AU40" s="425">
        <v>0</v>
      </c>
      <c r="AV40" s="426">
        <v>0</v>
      </c>
      <c r="AW40" s="426">
        <v>0</v>
      </c>
      <c r="AX40" s="431" t="s">
        <v>343</v>
      </c>
      <c r="AY40" s="436">
        <v>9160.7157233486523</v>
      </c>
      <c r="AZ40" s="430">
        <v>0</v>
      </c>
      <c r="BA40" s="430">
        <v>19760.046293378677</v>
      </c>
      <c r="BB40" s="430">
        <v>0</v>
      </c>
      <c r="BC40" s="424">
        <f t="shared" si="4"/>
        <v>28920.762016727327</v>
      </c>
      <c r="BD40" s="417">
        <f t="shared" si="11"/>
        <v>2.1159109025716216E-2</v>
      </c>
      <c r="BE40" s="418"/>
      <c r="BF40" s="424">
        <f t="shared" si="5"/>
        <v>28920.762016727327</v>
      </c>
      <c r="BG40" s="425">
        <v>0</v>
      </c>
      <c r="BH40" s="425">
        <v>0</v>
      </c>
      <c r="BI40" s="425">
        <v>0</v>
      </c>
      <c r="BJ40" s="425">
        <v>0</v>
      </c>
      <c r="BK40" s="425">
        <v>0</v>
      </c>
      <c r="BL40" s="425">
        <v>0</v>
      </c>
      <c r="BM40" s="425">
        <v>0</v>
      </c>
      <c r="BN40" s="426">
        <v>0</v>
      </c>
      <c r="BO40" s="426">
        <v>0</v>
      </c>
      <c r="BP40" s="431" t="s">
        <v>343</v>
      </c>
      <c r="BQ40" s="432">
        <v>9408.9040055607875</v>
      </c>
      <c r="BR40" s="433">
        <v>0</v>
      </c>
      <c r="BS40" s="433">
        <v>20196.823995951498</v>
      </c>
      <c r="BT40" s="433">
        <v>0</v>
      </c>
      <c r="BU40" s="424">
        <f t="shared" si="6"/>
        <v>29605.728001512285</v>
      </c>
      <c r="BV40" s="417">
        <f t="shared" si="12"/>
        <v>2.368423018690808E-2</v>
      </c>
      <c r="BW40" s="418"/>
      <c r="BX40" s="424">
        <f t="shared" si="7"/>
        <v>29605.728001512285</v>
      </c>
      <c r="BY40" s="434">
        <v>0</v>
      </c>
      <c r="BZ40" s="434">
        <v>0</v>
      </c>
      <c r="CA40" s="434">
        <v>0</v>
      </c>
      <c r="CB40" s="434">
        <v>0</v>
      </c>
      <c r="CC40" s="434">
        <v>0</v>
      </c>
      <c r="CD40" s="434">
        <v>0</v>
      </c>
      <c r="CE40" s="434">
        <v>0</v>
      </c>
      <c r="CF40" s="435">
        <v>0</v>
      </c>
      <c r="CG40" s="435">
        <v>0</v>
      </c>
      <c r="CH40" s="431" t="s">
        <v>343</v>
      </c>
    </row>
    <row r="41" spans="1:86" s="365" customFormat="1" ht="14.1" customHeight="1">
      <c r="A41" s="407" t="str">
        <f t="shared" si="8"/>
        <v>WE&amp;TMarket Support</v>
      </c>
      <c r="B41" s="408" t="s">
        <v>398</v>
      </c>
      <c r="C41" s="409"/>
      <c r="D41" s="410" t="s">
        <v>399</v>
      </c>
      <c r="E41" s="635" t="s">
        <v>15</v>
      </c>
      <c r="F41" s="411" t="s">
        <v>16</v>
      </c>
      <c r="G41" s="411" t="s">
        <v>32</v>
      </c>
      <c r="H41" s="412" t="s">
        <v>23</v>
      </c>
      <c r="I41" s="428"/>
      <c r="J41" s="414">
        <v>3250000</v>
      </c>
      <c r="K41" s="414"/>
      <c r="L41" s="414">
        <v>1642471</v>
      </c>
      <c r="M41" s="414">
        <v>4250000</v>
      </c>
      <c r="N41" s="414">
        <v>4350000</v>
      </c>
      <c r="O41" s="429">
        <v>428568.51826838788</v>
      </c>
      <c r="P41" s="430">
        <v>289018.13578891166</v>
      </c>
      <c r="Q41" s="430">
        <v>1904813.4967640438</v>
      </c>
      <c r="R41" s="430">
        <v>1000000</v>
      </c>
      <c r="S41" s="445">
        <f t="shared" si="13"/>
        <v>3622400.1508213431</v>
      </c>
      <c r="T41" s="417">
        <f t="shared" si="9"/>
        <v>-0.16726433314451883</v>
      </c>
      <c r="U41" s="418"/>
      <c r="V41" s="419">
        <f t="shared" si="14"/>
        <v>3622400.1508213431</v>
      </c>
      <c r="W41" s="425">
        <v>0</v>
      </c>
      <c r="X41" s="425">
        <v>0</v>
      </c>
      <c r="Y41" s="425">
        <v>0</v>
      </c>
      <c r="Z41" s="425">
        <v>0</v>
      </c>
      <c r="AA41" s="425">
        <v>0</v>
      </c>
      <c r="AB41" s="425">
        <v>0</v>
      </c>
      <c r="AC41" s="425">
        <v>0</v>
      </c>
      <c r="AD41" s="426">
        <v>0</v>
      </c>
      <c r="AE41" s="426">
        <v>0</v>
      </c>
      <c r="AF41" s="431" t="s">
        <v>342</v>
      </c>
      <c r="AG41" s="432">
        <v>440600.95817321644</v>
      </c>
      <c r="AH41" s="433">
        <v>285783.67618245527</v>
      </c>
      <c r="AI41" s="433">
        <v>1945360.1812271148</v>
      </c>
      <c r="AJ41" s="433">
        <v>1000000</v>
      </c>
      <c r="AK41" s="424">
        <f t="shared" si="15"/>
        <v>3671744.8155827867</v>
      </c>
      <c r="AL41" s="417">
        <f t="shared" si="10"/>
        <v>1.36220910741336E-2</v>
      </c>
      <c r="AM41" s="418"/>
      <c r="AN41" s="424">
        <f t="shared" si="16"/>
        <v>3671744.8155827867</v>
      </c>
      <c r="AO41" s="425">
        <v>0</v>
      </c>
      <c r="AP41" s="425">
        <v>0</v>
      </c>
      <c r="AQ41" s="425">
        <v>0</v>
      </c>
      <c r="AR41" s="425">
        <v>0</v>
      </c>
      <c r="AS41" s="425">
        <v>0</v>
      </c>
      <c r="AT41" s="425">
        <v>0</v>
      </c>
      <c r="AU41" s="425">
        <v>0</v>
      </c>
      <c r="AV41" s="426">
        <v>0</v>
      </c>
      <c r="AW41" s="426">
        <v>0</v>
      </c>
      <c r="AX41" s="431" t="s">
        <v>343</v>
      </c>
      <c r="AY41" s="436">
        <v>452353.27177877555</v>
      </c>
      <c r="AZ41" s="430">
        <v>282987.83316843153</v>
      </c>
      <c r="BA41" s="430">
        <v>1991375.8441621175</v>
      </c>
      <c r="BB41" s="430">
        <v>1000000</v>
      </c>
      <c r="BC41" s="424">
        <f t="shared" si="4"/>
        <v>3726716.9491093243</v>
      </c>
      <c r="BD41" s="417">
        <f t="shared" si="11"/>
        <v>1.4971665049607289E-2</v>
      </c>
      <c r="BE41" s="418"/>
      <c r="BF41" s="424">
        <f t="shared" si="5"/>
        <v>3726716.9491093243</v>
      </c>
      <c r="BG41" s="425">
        <v>0</v>
      </c>
      <c r="BH41" s="425">
        <v>0</v>
      </c>
      <c r="BI41" s="425">
        <v>0</v>
      </c>
      <c r="BJ41" s="425">
        <v>0</v>
      </c>
      <c r="BK41" s="425">
        <v>0</v>
      </c>
      <c r="BL41" s="425">
        <v>0</v>
      </c>
      <c r="BM41" s="425">
        <v>0</v>
      </c>
      <c r="BN41" s="426">
        <v>0</v>
      </c>
      <c r="BO41" s="426">
        <v>0</v>
      </c>
      <c r="BP41" s="431" t="s">
        <v>343</v>
      </c>
      <c r="BQ41" s="432">
        <v>469237.9302439047</v>
      </c>
      <c r="BR41" s="433">
        <v>272783.21389517223</v>
      </c>
      <c r="BS41" s="433">
        <v>2040357.4483146754</v>
      </c>
      <c r="BT41" s="433">
        <v>1000000</v>
      </c>
      <c r="BU41" s="424">
        <f t="shared" si="6"/>
        <v>3782378.5924537522</v>
      </c>
      <c r="BV41" s="417">
        <f t="shared" si="12"/>
        <v>1.493583873004654E-2</v>
      </c>
      <c r="BW41" s="418"/>
      <c r="BX41" s="424">
        <f t="shared" si="7"/>
        <v>3782378.5924537522</v>
      </c>
      <c r="BY41" s="434">
        <v>0</v>
      </c>
      <c r="BZ41" s="434">
        <v>0</v>
      </c>
      <c r="CA41" s="434">
        <v>0</v>
      </c>
      <c r="CB41" s="434">
        <v>0</v>
      </c>
      <c r="CC41" s="434">
        <v>0</v>
      </c>
      <c r="CD41" s="434">
        <v>0</v>
      </c>
      <c r="CE41" s="434">
        <v>0</v>
      </c>
      <c r="CF41" s="435">
        <v>0</v>
      </c>
      <c r="CG41" s="435">
        <v>0</v>
      </c>
      <c r="CH41" s="431" t="s">
        <v>343</v>
      </c>
    </row>
    <row r="42" spans="1:86" s="365" customFormat="1" ht="14.1" customHeight="1">
      <c r="A42" s="407" t="str">
        <f t="shared" si="8"/>
        <v>WE&amp;TEquity</v>
      </c>
      <c r="B42" s="437" t="s">
        <v>400</v>
      </c>
      <c r="C42" s="409"/>
      <c r="D42" s="410" t="s">
        <v>401</v>
      </c>
      <c r="E42" s="635" t="s">
        <v>15</v>
      </c>
      <c r="F42" s="411" t="s">
        <v>16</v>
      </c>
      <c r="G42" s="411" t="s">
        <v>32</v>
      </c>
      <c r="H42" s="412" t="s">
        <v>26</v>
      </c>
      <c r="I42" s="428"/>
      <c r="J42" s="414">
        <v>5151.2</v>
      </c>
      <c r="K42" s="414"/>
      <c r="L42" s="414" t="s">
        <v>402</v>
      </c>
      <c r="M42" s="414">
        <v>14500</v>
      </c>
      <c r="N42" s="414">
        <v>17500</v>
      </c>
      <c r="O42" s="429">
        <v>2756.1751764100127</v>
      </c>
      <c r="P42" s="430">
        <v>0</v>
      </c>
      <c r="Q42" s="430">
        <v>12750.834239146106</v>
      </c>
      <c r="R42" s="430">
        <v>0</v>
      </c>
      <c r="S42" s="445">
        <f t="shared" si="13"/>
        <v>15507.00941555612</v>
      </c>
      <c r="T42" s="417">
        <f t="shared" si="9"/>
        <v>-0.113885176253936</v>
      </c>
      <c r="U42" s="418"/>
      <c r="V42" s="419">
        <f t="shared" si="14"/>
        <v>15507.00941555612</v>
      </c>
      <c r="W42" s="425">
        <v>0</v>
      </c>
      <c r="X42" s="425">
        <v>0</v>
      </c>
      <c r="Y42" s="425">
        <v>0</v>
      </c>
      <c r="Z42" s="425">
        <v>0</v>
      </c>
      <c r="AA42" s="425">
        <v>0</v>
      </c>
      <c r="AB42" s="425">
        <v>0</v>
      </c>
      <c r="AC42" s="425">
        <v>0</v>
      </c>
      <c r="AD42" s="426">
        <v>0</v>
      </c>
      <c r="AE42" s="426">
        <v>0</v>
      </c>
      <c r="AF42" s="431" t="s">
        <v>342</v>
      </c>
      <c r="AG42" s="432">
        <v>2841.0097998934207</v>
      </c>
      <c r="AH42" s="433">
        <v>0</v>
      </c>
      <c r="AI42" s="433">
        <v>13089.803976749045</v>
      </c>
      <c r="AJ42" s="433">
        <v>0</v>
      </c>
      <c r="AK42" s="424">
        <f t="shared" si="15"/>
        <v>15930.813776642466</v>
      </c>
      <c r="AL42" s="417">
        <f t="shared" si="10"/>
        <v>2.7329857726222793E-2</v>
      </c>
      <c r="AM42" s="418"/>
      <c r="AN42" s="424">
        <f t="shared" si="16"/>
        <v>15930.813776642466</v>
      </c>
      <c r="AO42" s="425">
        <v>0</v>
      </c>
      <c r="AP42" s="425">
        <v>0</v>
      </c>
      <c r="AQ42" s="425">
        <v>0</v>
      </c>
      <c r="AR42" s="425">
        <v>0</v>
      </c>
      <c r="AS42" s="425">
        <v>0</v>
      </c>
      <c r="AT42" s="425">
        <v>0</v>
      </c>
      <c r="AU42" s="425">
        <v>0</v>
      </c>
      <c r="AV42" s="426">
        <v>0</v>
      </c>
      <c r="AW42" s="426">
        <v>0</v>
      </c>
      <c r="AX42" s="431" t="s">
        <v>343</v>
      </c>
      <c r="AY42" s="436">
        <v>2926.1967069373127</v>
      </c>
      <c r="AZ42" s="430">
        <v>0</v>
      </c>
      <c r="BA42" s="430">
        <v>13455.473385464542</v>
      </c>
      <c r="BB42" s="430">
        <v>0</v>
      </c>
      <c r="BC42" s="424">
        <f t="shared" si="4"/>
        <v>16381.670092401855</v>
      </c>
      <c r="BD42" s="417">
        <f t="shared" si="11"/>
        <v>2.8300896745176201E-2</v>
      </c>
      <c r="BE42" s="418"/>
      <c r="BF42" s="424">
        <f t="shared" si="5"/>
        <v>16381.670092401855</v>
      </c>
      <c r="BG42" s="425">
        <v>0</v>
      </c>
      <c r="BH42" s="425">
        <v>0</v>
      </c>
      <c r="BI42" s="425">
        <v>0</v>
      </c>
      <c r="BJ42" s="425">
        <v>0</v>
      </c>
      <c r="BK42" s="425">
        <v>0</v>
      </c>
      <c r="BL42" s="425">
        <v>0</v>
      </c>
      <c r="BM42" s="425">
        <v>0</v>
      </c>
      <c r="BN42" s="426">
        <v>0</v>
      </c>
      <c r="BO42" s="426">
        <v>0</v>
      </c>
      <c r="BP42" s="431" t="s">
        <v>343</v>
      </c>
      <c r="BQ42" s="432">
        <v>3036.1721698719721</v>
      </c>
      <c r="BR42" s="433">
        <v>0</v>
      </c>
      <c r="BS42" s="433">
        <v>13837.394767900727</v>
      </c>
      <c r="BT42" s="433">
        <v>0</v>
      </c>
      <c r="BU42" s="424">
        <f t="shared" si="6"/>
        <v>16873.566937772699</v>
      </c>
      <c r="BV42" s="417">
        <f t="shared" si="12"/>
        <v>3.002727088241116E-2</v>
      </c>
      <c r="BW42" s="418"/>
      <c r="BX42" s="424">
        <f t="shared" si="7"/>
        <v>16873.566937772699</v>
      </c>
      <c r="BY42" s="434">
        <v>0</v>
      </c>
      <c r="BZ42" s="434">
        <v>0</v>
      </c>
      <c r="CA42" s="434">
        <v>0</v>
      </c>
      <c r="CB42" s="434">
        <v>0</v>
      </c>
      <c r="CC42" s="434">
        <v>0</v>
      </c>
      <c r="CD42" s="434">
        <v>0</v>
      </c>
      <c r="CE42" s="434">
        <v>0</v>
      </c>
      <c r="CF42" s="435">
        <v>0</v>
      </c>
      <c r="CG42" s="435">
        <v>0</v>
      </c>
      <c r="CH42" s="431" t="s">
        <v>343</v>
      </c>
    </row>
    <row r="43" spans="1:86" s="365" customFormat="1">
      <c r="A43" s="407" t="str">
        <f t="shared" si="8"/>
        <v>WE&amp;TMarket Support</v>
      </c>
      <c r="B43" s="437" t="s">
        <v>403</v>
      </c>
      <c r="C43" s="438"/>
      <c r="D43" s="446" t="s">
        <v>404</v>
      </c>
      <c r="E43" s="635" t="s">
        <v>15</v>
      </c>
      <c r="F43" s="411" t="s">
        <v>16</v>
      </c>
      <c r="G43" s="411" t="s">
        <v>32</v>
      </c>
      <c r="H43" s="412" t="s">
        <v>23</v>
      </c>
      <c r="I43" s="413"/>
      <c r="J43" s="414">
        <v>2438.6799999999998</v>
      </c>
      <c r="K43" s="414"/>
      <c r="L43" s="414">
        <v>597</v>
      </c>
      <c r="M43" s="414">
        <v>14500</v>
      </c>
      <c r="N43" s="414">
        <v>17500</v>
      </c>
      <c r="O43" s="415">
        <v>2756.1751764100127</v>
      </c>
      <c r="P43" s="414">
        <v>0</v>
      </c>
      <c r="Q43" s="414">
        <v>12750.834239146106</v>
      </c>
      <c r="R43" s="414">
        <v>0</v>
      </c>
      <c r="S43" s="416">
        <f t="shared" si="13"/>
        <v>15507.00941555612</v>
      </c>
      <c r="T43" s="417">
        <f t="shared" si="9"/>
        <v>-0.113885176253936</v>
      </c>
      <c r="U43" s="442"/>
      <c r="V43" s="419">
        <f t="shared" si="14"/>
        <v>15507.00941555612</v>
      </c>
      <c r="W43" s="425">
        <v>0</v>
      </c>
      <c r="X43" s="425">
        <v>0</v>
      </c>
      <c r="Y43" s="425">
        <v>0</v>
      </c>
      <c r="Z43" s="425">
        <v>0</v>
      </c>
      <c r="AA43" s="425">
        <v>0</v>
      </c>
      <c r="AB43" s="425">
        <v>0</v>
      </c>
      <c r="AC43" s="425">
        <v>0</v>
      </c>
      <c r="AD43" s="426">
        <v>0</v>
      </c>
      <c r="AE43" s="426">
        <v>0</v>
      </c>
      <c r="AF43" s="421" t="s">
        <v>342</v>
      </c>
      <c r="AG43" s="422">
        <v>2841.0097998934207</v>
      </c>
      <c r="AH43" s="423">
        <v>0</v>
      </c>
      <c r="AI43" s="423">
        <v>13089.803976749045</v>
      </c>
      <c r="AJ43" s="423">
        <v>0</v>
      </c>
      <c r="AK43" s="424">
        <f t="shared" si="15"/>
        <v>15930.813776642466</v>
      </c>
      <c r="AL43" s="417">
        <f t="shared" si="10"/>
        <v>2.7329857726222793E-2</v>
      </c>
      <c r="AM43" s="442"/>
      <c r="AN43" s="424">
        <f t="shared" si="16"/>
        <v>15930.813776642466</v>
      </c>
      <c r="AO43" s="425">
        <v>0</v>
      </c>
      <c r="AP43" s="425">
        <v>0</v>
      </c>
      <c r="AQ43" s="425">
        <v>0</v>
      </c>
      <c r="AR43" s="425">
        <v>0</v>
      </c>
      <c r="AS43" s="425">
        <v>0</v>
      </c>
      <c r="AT43" s="425">
        <v>0</v>
      </c>
      <c r="AU43" s="425">
        <v>0</v>
      </c>
      <c r="AV43" s="426">
        <v>0</v>
      </c>
      <c r="AW43" s="426">
        <v>0</v>
      </c>
      <c r="AX43" s="421" t="s">
        <v>343</v>
      </c>
      <c r="AY43" s="427">
        <v>2926.1967069373127</v>
      </c>
      <c r="AZ43" s="414">
        <v>0</v>
      </c>
      <c r="BA43" s="414">
        <v>13455.473385464542</v>
      </c>
      <c r="BB43" s="414">
        <v>0</v>
      </c>
      <c r="BC43" s="424">
        <f t="shared" si="4"/>
        <v>16381.670092401855</v>
      </c>
      <c r="BD43" s="417">
        <f t="shared" si="11"/>
        <v>2.8300896745176201E-2</v>
      </c>
      <c r="BE43" s="442"/>
      <c r="BF43" s="424">
        <f t="shared" si="5"/>
        <v>16381.670092401855</v>
      </c>
      <c r="BG43" s="425">
        <v>0</v>
      </c>
      <c r="BH43" s="425">
        <v>0</v>
      </c>
      <c r="BI43" s="425">
        <v>0</v>
      </c>
      <c r="BJ43" s="425">
        <v>0</v>
      </c>
      <c r="BK43" s="425">
        <v>0</v>
      </c>
      <c r="BL43" s="425">
        <v>0</v>
      </c>
      <c r="BM43" s="425">
        <v>0</v>
      </c>
      <c r="BN43" s="426">
        <v>0</v>
      </c>
      <c r="BO43" s="426">
        <v>0</v>
      </c>
      <c r="BP43" s="421" t="s">
        <v>343</v>
      </c>
      <c r="BQ43" s="422">
        <v>3036.1721698719721</v>
      </c>
      <c r="BR43" s="423">
        <v>0</v>
      </c>
      <c r="BS43" s="423">
        <v>13837.394767900727</v>
      </c>
      <c r="BT43" s="423">
        <v>0</v>
      </c>
      <c r="BU43" s="424">
        <f t="shared" si="6"/>
        <v>16873.566937772699</v>
      </c>
      <c r="BV43" s="417">
        <f t="shared" si="12"/>
        <v>3.002727088241116E-2</v>
      </c>
      <c r="BW43" s="442"/>
      <c r="BX43" s="424">
        <f t="shared" si="7"/>
        <v>16873.566937772699</v>
      </c>
      <c r="BY43" s="425">
        <v>0</v>
      </c>
      <c r="BZ43" s="425">
        <v>0</v>
      </c>
      <c r="CA43" s="425">
        <v>0</v>
      </c>
      <c r="CB43" s="425">
        <v>0</v>
      </c>
      <c r="CC43" s="425">
        <v>0</v>
      </c>
      <c r="CD43" s="425">
        <v>0</v>
      </c>
      <c r="CE43" s="425">
        <v>0</v>
      </c>
      <c r="CF43" s="426">
        <v>0</v>
      </c>
      <c r="CG43" s="426">
        <v>0</v>
      </c>
      <c r="CH43" s="421" t="s">
        <v>343</v>
      </c>
    </row>
    <row r="44" spans="1:86" s="365" customFormat="1">
      <c r="A44" s="407" t="str">
        <f t="shared" si="8"/>
        <v>AgriculturalResource Acquisition</v>
      </c>
      <c r="B44" s="408" t="s">
        <v>405</v>
      </c>
      <c r="C44" s="409"/>
      <c r="D44" s="449" t="s">
        <v>406</v>
      </c>
      <c r="E44" s="635" t="s">
        <v>20</v>
      </c>
      <c r="F44" s="411" t="s">
        <v>21</v>
      </c>
      <c r="G44" s="411" t="s">
        <v>27</v>
      </c>
      <c r="H44" s="412" t="s">
        <v>18</v>
      </c>
      <c r="I44" s="428"/>
      <c r="J44" s="414"/>
      <c r="K44" s="414"/>
      <c r="L44" s="414">
        <v>44870</v>
      </c>
      <c r="M44" s="414">
        <v>3679282</v>
      </c>
      <c r="N44" s="414">
        <v>4323008</v>
      </c>
      <c r="O44" s="429">
        <v>354155.64340726868</v>
      </c>
      <c r="P44" s="430">
        <v>83695.192367511292</v>
      </c>
      <c r="Q44" s="430">
        <v>1620647.9456845801</v>
      </c>
      <c r="R44" s="430">
        <v>1400001</v>
      </c>
      <c r="S44" s="445">
        <f t="shared" si="13"/>
        <v>3458499.7814593604</v>
      </c>
      <c r="T44" s="417">
        <f t="shared" si="9"/>
        <v>-0.19997839896216699</v>
      </c>
      <c r="U44" s="418"/>
      <c r="V44" s="419">
        <f t="shared" si="14"/>
        <v>3458499.7814593604</v>
      </c>
      <c r="W44" s="434">
        <v>34278.379999999997</v>
      </c>
      <c r="X44" s="420">
        <v>0</v>
      </c>
      <c r="Y44" s="434">
        <v>360825</v>
      </c>
      <c r="Z44" s="434">
        <v>2.4300000000000002</v>
      </c>
      <c r="AA44" s="434">
        <v>2110.83</v>
      </c>
      <c r="AB44" s="434">
        <v>411340.5</v>
      </c>
      <c r="AC44" s="434">
        <v>4329900</v>
      </c>
      <c r="AD44" s="435">
        <v>44.53</v>
      </c>
      <c r="AE44" s="435">
        <v>25329.919999999998</v>
      </c>
      <c r="AF44" s="431" t="s">
        <v>342</v>
      </c>
      <c r="AG44" s="432">
        <v>358564.84251110337</v>
      </c>
      <c r="AH44" s="433">
        <v>83869.955479976081</v>
      </c>
      <c r="AI44" s="433">
        <v>1627808.8389546981</v>
      </c>
      <c r="AJ44" s="433">
        <v>1400001</v>
      </c>
      <c r="AK44" s="424">
        <f t="shared" si="15"/>
        <v>3470244.6369457776</v>
      </c>
      <c r="AL44" s="417">
        <f t="shared" si="10"/>
        <v>3.3959393461234482E-3</v>
      </c>
      <c r="AM44" s="418"/>
      <c r="AN44" s="424">
        <f t="shared" si="16"/>
        <v>3470244.6369457776</v>
      </c>
      <c r="AO44" s="434">
        <v>34278.375</v>
      </c>
      <c r="AP44" s="434">
        <v>0</v>
      </c>
      <c r="AQ44" s="434">
        <v>360825</v>
      </c>
      <c r="AR44" s="434">
        <v>3.4833427399999999</v>
      </c>
      <c r="AS44" s="434">
        <v>2110.8262500000001</v>
      </c>
      <c r="AT44" s="434">
        <v>411340.5</v>
      </c>
      <c r="AU44" s="434">
        <v>4329900</v>
      </c>
      <c r="AV44" s="435">
        <v>46.464378600000003</v>
      </c>
      <c r="AW44" s="435">
        <v>25329.915000000001</v>
      </c>
      <c r="AX44" s="431" t="s">
        <v>343</v>
      </c>
      <c r="AY44" s="436">
        <v>362981.41572093329</v>
      </c>
      <c r="AZ44" s="430">
        <v>85009.761791025434</v>
      </c>
      <c r="BA44" s="430">
        <v>1673907.2510268758</v>
      </c>
      <c r="BB44" s="430">
        <v>1400001</v>
      </c>
      <c r="BC44" s="424">
        <f t="shared" si="4"/>
        <v>3521899.4285388347</v>
      </c>
      <c r="BD44" s="417">
        <f t="shared" si="11"/>
        <v>1.4885057682423042E-2</v>
      </c>
      <c r="BE44" s="418"/>
      <c r="BF44" s="424">
        <f t="shared" si="5"/>
        <v>3521899.4285388347</v>
      </c>
      <c r="BG44" s="434">
        <v>34278.375</v>
      </c>
      <c r="BH44" s="434">
        <v>0</v>
      </c>
      <c r="BI44" s="434">
        <v>360825</v>
      </c>
      <c r="BJ44" s="434">
        <v>3.772463696</v>
      </c>
      <c r="BK44" s="434">
        <v>2110.8262500000001</v>
      </c>
      <c r="BL44" s="434">
        <v>411340.5</v>
      </c>
      <c r="BM44" s="434">
        <v>4329900</v>
      </c>
      <c r="BN44" s="435">
        <v>47.522047039999997</v>
      </c>
      <c r="BO44" s="435">
        <v>25329.915000000001</v>
      </c>
      <c r="BP44" s="431" t="s">
        <v>343</v>
      </c>
      <c r="BQ44" s="432">
        <v>370830.18372920557</v>
      </c>
      <c r="BR44" s="433">
        <v>85239.091440343647</v>
      </c>
      <c r="BS44" s="433">
        <v>1678986.7128237546</v>
      </c>
      <c r="BT44" s="433">
        <v>1400001</v>
      </c>
      <c r="BU44" s="424">
        <f t="shared" si="6"/>
        <v>3535056.9879933037</v>
      </c>
      <c r="BV44" s="417">
        <f t="shared" si="12"/>
        <v>3.7359270818042118E-3</v>
      </c>
      <c r="BW44" s="418"/>
      <c r="BX44" s="424">
        <f t="shared" si="7"/>
        <v>3535056.9879933037</v>
      </c>
      <c r="BY44" s="434">
        <v>34278.375</v>
      </c>
      <c r="BZ44" s="434">
        <v>0</v>
      </c>
      <c r="CA44" s="434">
        <v>360825</v>
      </c>
      <c r="CB44" s="434">
        <v>4.6388612069999997</v>
      </c>
      <c r="CC44" s="434">
        <v>2110.8262500000001</v>
      </c>
      <c r="CD44" s="434">
        <v>411340.5</v>
      </c>
      <c r="CE44" s="434">
        <v>4329900</v>
      </c>
      <c r="CF44" s="435">
        <v>48.473941019999998</v>
      </c>
      <c r="CG44" s="435">
        <v>25329.915000000001</v>
      </c>
      <c r="CH44" s="431" t="s">
        <v>343</v>
      </c>
    </row>
    <row r="45" spans="1:86" s="365" customFormat="1">
      <c r="A45" s="407" t="str">
        <f t="shared" si="8"/>
        <v>WE&amp;TEquity</v>
      </c>
      <c r="B45" s="437" t="s">
        <v>407</v>
      </c>
      <c r="C45" s="438"/>
      <c r="D45" s="446" t="s">
        <v>408</v>
      </c>
      <c r="E45" s="635" t="s">
        <v>15</v>
      </c>
      <c r="F45" s="411" t="s">
        <v>21</v>
      </c>
      <c r="G45" s="411" t="s">
        <v>32</v>
      </c>
      <c r="H45" s="412" t="s">
        <v>26</v>
      </c>
      <c r="I45" s="413"/>
      <c r="J45" s="414"/>
      <c r="K45" s="414"/>
      <c r="L45" s="414"/>
      <c r="M45" s="414">
        <v>1050000</v>
      </c>
      <c r="N45" s="414">
        <v>1050000</v>
      </c>
      <c r="O45" s="415">
        <v>100025.53283814214</v>
      </c>
      <c r="P45" s="414">
        <v>40000</v>
      </c>
      <c r="Q45" s="414">
        <v>897750.83423914609</v>
      </c>
      <c r="R45" s="414">
        <v>0</v>
      </c>
      <c r="S45" s="416">
        <f t="shared" si="13"/>
        <v>1037776.3670772882</v>
      </c>
      <c r="T45" s="417">
        <f t="shared" si="9"/>
        <v>-1.1641555164487411E-2</v>
      </c>
      <c r="U45" s="442"/>
      <c r="V45" s="419">
        <f t="shared" si="14"/>
        <v>1037776.3670772882</v>
      </c>
      <c r="W45" s="425">
        <v>0</v>
      </c>
      <c r="X45" s="425">
        <v>0</v>
      </c>
      <c r="Y45" s="425">
        <v>0</v>
      </c>
      <c r="Z45" s="425">
        <v>0</v>
      </c>
      <c r="AA45" s="425">
        <v>0</v>
      </c>
      <c r="AB45" s="425">
        <v>0</v>
      </c>
      <c r="AC45" s="425">
        <v>0</v>
      </c>
      <c r="AD45" s="425">
        <v>0</v>
      </c>
      <c r="AE45" s="425">
        <v>0</v>
      </c>
      <c r="AF45" s="421" t="s">
        <v>342</v>
      </c>
      <c r="AG45" s="422">
        <v>100852.96847932907</v>
      </c>
      <c r="AH45" s="423">
        <v>40000</v>
      </c>
      <c r="AI45" s="423">
        <v>898089.80397674907</v>
      </c>
      <c r="AJ45" s="423">
        <v>0</v>
      </c>
      <c r="AK45" s="424">
        <f t="shared" si="15"/>
        <v>1038942.7724560781</v>
      </c>
      <c r="AL45" s="417">
        <f t="shared" si="10"/>
        <v>1.1239467536487135E-3</v>
      </c>
      <c r="AM45" s="442"/>
      <c r="AN45" s="424">
        <f t="shared" si="16"/>
        <v>1038942.7724560781</v>
      </c>
      <c r="AO45" s="425">
        <v>0</v>
      </c>
      <c r="AP45" s="425">
        <v>0</v>
      </c>
      <c r="AQ45" s="425">
        <v>0</v>
      </c>
      <c r="AR45" s="425">
        <v>0</v>
      </c>
      <c r="AS45" s="425">
        <v>0</v>
      </c>
      <c r="AT45" s="425">
        <v>0</v>
      </c>
      <c r="AU45" s="425">
        <v>0</v>
      </c>
      <c r="AV45" s="426">
        <v>0</v>
      </c>
      <c r="AW45" s="426">
        <v>0</v>
      </c>
      <c r="AX45" s="421" t="s">
        <v>343</v>
      </c>
      <c r="AY45" s="427">
        <v>101301.86360381209</v>
      </c>
      <c r="AZ45" s="414">
        <v>40000</v>
      </c>
      <c r="BA45" s="414">
        <v>898455.47338546452</v>
      </c>
      <c r="BB45" s="414">
        <v>0</v>
      </c>
      <c r="BC45" s="424">
        <f t="shared" si="4"/>
        <v>1039757.3369892766</v>
      </c>
      <c r="BD45" s="417">
        <f t="shared" si="11"/>
        <v>7.8403214767339005E-4</v>
      </c>
      <c r="BE45" s="442"/>
      <c r="BF45" s="424">
        <f t="shared" si="5"/>
        <v>1039757.3369892766</v>
      </c>
      <c r="BG45" s="425">
        <v>0</v>
      </c>
      <c r="BH45" s="425">
        <v>0</v>
      </c>
      <c r="BI45" s="425">
        <v>0</v>
      </c>
      <c r="BJ45" s="425">
        <v>0</v>
      </c>
      <c r="BK45" s="425">
        <v>0</v>
      </c>
      <c r="BL45" s="425">
        <v>0</v>
      </c>
      <c r="BM45" s="425">
        <v>0</v>
      </c>
      <c r="BN45" s="426">
        <v>0</v>
      </c>
      <c r="BO45" s="426">
        <v>0</v>
      </c>
      <c r="BP45" s="421" t="s">
        <v>343</v>
      </c>
      <c r="BQ45" s="422">
        <v>103047.01624900058</v>
      </c>
      <c r="BR45" s="423">
        <v>40000</v>
      </c>
      <c r="BS45" s="423">
        <v>898837.3947679007</v>
      </c>
      <c r="BT45" s="423">
        <v>0</v>
      </c>
      <c r="BU45" s="424">
        <f t="shared" si="6"/>
        <v>1041884.4110169013</v>
      </c>
      <c r="BV45" s="417">
        <f t="shared" si="12"/>
        <v>2.0457408204339672E-3</v>
      </c>
      <c r="BW45" s="442"/>
      <c r="BX45" s="424">
        <f t="shared" si="7"/>
        <v>1041884.4110169013</v>
      </c>
      <c r="BY45" s="425">
        <v>0</v>
      </c>
      <c r="BZ45" s="425">
        <v>0</v>
      </c>
      <c r="CA45" s="425">
        <v>0</v>
      </c>
      <c r="CB45" s="425">
        <v>0</v>
      </c>
      <c r="CC45" s="425">
        <v>0</v>
      </c>
      <c r="CD45" s="425">
        <v>0</v>
      </c>
      <c r="CE45" s="425">
        <v>0</v>
      </c>
      <c r="CF45" s="426">
        <v>0</v>
      </c>
      <c r="CG45" s="426">
        <v>0</v>
      </c>
      <c r="CH45" s="421" t="s">
        <v>343</v>
      </c>
    </row>
    <row r="46" spans="1:86" s="365" customFormat="1">
      <c r="A46" s="407" t="str">
        <f t="shared" si="8"/>
        <v>CommercialMarket Support</v>
      </c>
      <c r="B46" s="437" t="s">
        <v>409</v>
      </c>
      <c r="C46" s="438"/>
      <c r="D46" s="446" t="s">
        <v>410</v>
      </c>
      <c r="E46" s="635" t="s">
        <v>15</v>
      </c>
      <c r="F46" s="411" t="s">
        <v>21</v>
      </c>
      <c r="G46" s="411" t="s">
        <v>22</v>
      </c>
      <c r="H46" s="412" t="s">
        <v>23</v>
      </c>
      <c r="I46" s="413"/>
      <c r="J46" s="414"/>
      <c r="K46" s="414"/>
      <c r="L46" s="414"/>
      <c r="M46" s="414">
        <v>251600</v>
      </c>
      <c r="N46" s="414">
        <v>271600</v>
      </c>
      <c r="O46" s="415">
        <v>37574.451325695998</v>
      </c>
      <c r="P46" s="414">
        <v>745.1885585073735</v>
      </c>
      <c r="Q46" s="414">
        <v>313462.66848363611</v>
      </c>
      <c r="R46" s="414">
        <v>0</v>
      </c>
      <c r="S46" s="416">
        <f t="shared" si="13"/>
        <v>351782.30836783949</v>
      </c>
      <c r="T46" s="417">
        <f t="shared" si="9"/>
        <v>0.29522204848247235</v>
      </c>
      <c r="U46" s="442"/>
      <c r="V46" s="419">
        <f t="shared" si="14"/>
        <v>351782.30836783949</v>
      </c>
      <c r="W46" s="425">
        <v>0</v>
      </c>
      <c r="X46" s="425">
        <v>0</v>
      </c>
      <c r="Y46" s="425">
        <v>0</v>
      </c>
      <c r="Z46" s="425">
        <v>0</v>
      </c>
      <c r="AA46" s="425">
        <v>0</v>
      </c>
      <c r="AB46" s="425">
        <v>0</v>
      </c>
      <c r="AC46" s="425">
        <v>0</v>
      </c>
      <c r="AD46" s="425">
        <v>0</v>
      </c>
      <c r="AE46" s="425">
        <v>0</v>
      </c>
      <c r="AF46" s="421" t="s">
        <v>342</v>
      </c>
      <c r="AG46" s="422">
        <v>38031.658562968434</v>
      </c>
      <c r="AH46" s="423">
        <v>759.35964779034452</v>
      </c>
      <c r="AI46" s="423">
        <v>314249.05227834755</v>
      </c>
      <c r="AJ46" s="423">
        <v>0</v>
      </c>
      <c r="AK46" s="424">
        <f t="shared" si="15"/>
        <v>353040.07048910635</v>
      </c>
      <c r="AL46" s="417">
        <f t="shared" si="10"/>
        <v>3.5753990219192238E-3</v>
      </c>
      <c r="AM46" s="442"/>
      <c r="AN46" s="424">
        <f t="shared" si="16"/>
        <v>353040.07048910635</v>
      </c>
      <c r="AO46" s="425">
        <v>0</v>
      </c>
      <c r="AP46" s="425">
        <v>0</v>
      </c>
      <c r="AQ46" s="425">
        <v>0</v>
      </c>
      <c r="AR46" s="425">
        <v>0</v>
      </c>
      <c r="AS46" s="425">
        <v>0</v>
      </c>
      <c r="AT46" s="425">
        <v>0</v>
      </c>
      <c r="AU46" s="425">
        <v>0</v>
      </c>
      <c r="AV46" s="426">
        <v>0</v>
      </c>
      <c r="AW46" s="426">
        <v>0</v>
      </c>
      <c r="AX46" s="421" t="s">
        <v>343</v>
      </c>
      <c r="AY46" s="427">
        <v>38381.632533198819</v>
      </c>
      <c r="AZ46" s="414">
        <v>775.91839410587818</v>
      </c>
      <c r="BA46" s="414">
        <v>314804.98113819468</v>
      </c>
      <c r="BB46" s="414">
        <v>0</v>
      </c>
      <c r="BC46" s="424">
        <f t="shared" si="4"/>
        <v>353962.5320654994</v>
      </c>
      <c r="BD46" s="417">
        <f t="shared" si="11"/>
        <v>2.6129089967466251E-3</v>
      </c>
      <c r="BE46" s="442"/>
      <c r="BF46" s="424">
        <f t="shared" si="5"/>
        <v>353962.5320654994</v>
      </c>
      <c r="BG46" s="425">
        <v>0</v>
      </c>
      <c r="BH46" s="425">
        <v>0</v>
      </c>
      <c r="BI46" s="425">
        <v>0</v>
      </c>
      <c r="BJ46" s="425">
        <v>0</v>
      </c>
      <c r="BK46" s="425">
        <v>0</v>
      </c>
      <c r="BL46" s="425">
        <v>0</v>
      </c>
      <c r="BM46" s="425">
        <v>0</v>
      </c>
      <c r="BN46" s="426">
        <v>0</v>
      </c>
      <c r="BO46" s="426">
        <v>0</v>
      </c>
      <c r="BP46" s="421" t="s">
        <v>343</v>
      </c>
      <c r="BQ46" s="422">
        <v>39188.58171189751</v>
      </c>
      <c r="BR46" s="423">
        <v>793.72764470210234</v>
      </c>
      <c r="BS46" s="423">
        <v>315393.49582622445</v>
      </c>
      <c r="BT46" s="423">
        <v>0</v>
      </c>
      <c r="BU46" s="424">
        <f t="shared" si="6"/>
        <v>355375.80518282403</v>
      </c>
      <c r="BV46" s="417">
        <f t="shared" si="12"/>
        <v>3.9927195375105626E-3</v>
      </c>
      <c r="BW46" s="442"/>
      <c r="BX46" s="424">
        <f t="shared" si="7"/>
        <v>355375.80518282403</v>
      </c>
      <c r="BY46" s="425">
        <v>0</v>
      </c>
      <c r="BZ46" s="425">
        <v>0</v>
      </c>
      <c r="CA46" s="425">
        <v>0</v>
      </c>
      <c r="CB46" s="425">
        <v>0</v>
      </c>
      <c r="CC46" s="425">
        <v>0</v>
      </c>
      <c r="CD46" s="425">
        <v>0</v>
      </c>
      <c r="CE46" s="425">
        <v>0</v>
      </c>
      <c r="CF46" s="426">
        <v>0</v>
      </c>
      <c r="CG46" s="426">
        <v>0</v>
      </c>
      <c r="CH46" s="421" t="s">
        <v>343</v>
      </c>
    </row>
    <row r="47" spans="1:86" s="365" customFormat="1">
      <c r="A47" s="407" t="str">
        <f t="shared" si="8"/>
        <v>PublicMarket Support</v>
      </c>
      <c r="B47" s="437" t="s">
        <v>409</v>
      </c>
      <c r="C47" s="438"/>
      <c r="D47" s="446" t="s">
        <v>410</v>
      </c>
      <c r="E47" s="635" t="s">
        <v>15</v>
      </c>
      <c r="F47" s="411" t="s">
        <v>21</v>
      </c>
      <c r="G47" s="411" t="s">
        <v>30</v>
      </c>
      <c r="H47" s="412" t="s">
        <v>23</v>
      </c>
      <c r="I47" s="413"/>
      <c r="J47" s="414"/>
      <c r="K47" s="414"/>
      <c r="L47" s="414"/>
      <c r="M47" s="414">
        <v>188700</v>
      </c>
      <c r="N47" s="414">
        <v>203700</v>
      </c>
      <c r="O47" s="429">
        <v>29836.626871719098</v>
      </c>
      <c r="P47" s="430">
        <v>635.48501888053011</v>
      </c>
      <c r="Q47" s="430">
        <v>240350.2986201543</v>
      </c>
      <c r="R47" s="430">
        <v>0</v>
      </c>
      <c r="S47" s="445">
        <f t="shared" si="13"/>
        <v>270822.41051075392</v>
      </c>
      <c r="T47" s="417">
        <f t="shared" si="9"/>
        <v>0.32951600643472717</v>
      </c>
      <c r="U47" s="442"/>
      <c r="V47" s="419">
        <f t="shared" si="14"/>
        <v>270822.41051075392</v>
      </c>
      <c r="W47" s="425">
        <v>0</v>
      </c>
      <c r="X47" s="425">
        <v>0</v>
      </c>
      <c r="Y47" s="425">
        <v>0</v>
      </c>
      <c r="Z47" s="425">
        <v>0</v>
      </c>
      <c r="AA47" s="425">
        <v>0</v>
      </c>
      <c r="AB47" s="425">
        <v>0</v>
      </c>
      <c r="AC47" s="425">
        <v>0</v>
      </c>
      <c r="AD47" s="425">
        <v>0</v>
      </c>
      <c r="AE47" s="425">
        <v>0</v>
      </c>
      <c r="AF47" s="431" t="s">
        <v>342</v>
      </c>
      <c r="AG47" s="432">
        <v>30213.993882046158</v>
      </c>
      <c r="AH47" s="433">
        <v>646.73973584275825</v>
      </c>
      <c r="AI47" s="433">
        <v>241059.37247128334</v>
      </c>
      <c r="AJ47" s="433">
        <v>0</v>
      </c>
      <c r="AK47" s="424">
        <f t="shared" si="15"/>
        <v>271920.10608917224</v>
      </c>
      <c r="AL47" s="417">
        <f t="shared" si="10"/>
        <v>4.0531932950014678E-3</v>
      </c>
      <c r="AM47" s="442"/>
      <c r="AN47" s="424">
        <f t="shared" si="16"/>
        <v>271920.10608917224</v>
      </c>
      <c r="AO47" s="434">
        <v>0</v>
      </c>
      <c r="AP47" s="434">
        <v>0</v>
      </c>
      <c r="AQ47" s="434">
        <v>0</v>
      </c>
      <c r="AR47" s="434">
        <v>0</v>
      </c>
      <c r="AS47" s="434">
        <v>0</v>
      </c>
      <c r="AT47" s="434">
        <v>0</v>
      </c>
      <c r="AU47" s="434">
        <v>0</v>
      </c>
      <c r="AV47" s="435">
        <v>0</v>
      </c>
      <c r="AW47" s="435">
        <v>0</v>
      </c>
      <c r="AX47" s="431" t="s">
        <v>343</v>
      </c>
      <c r="AY47" s="436">
        <v>30512.224221987763</v>
      </c>
      <c r="AZ47" s="430">
        <v>660.15239557940856</v>
      </c>
      <c r="BA47" s="430">
        <v>241529.17920762688</v>
      </c>
      <c r="BB47" s="430">
        <v>0</v>
      </c>
      <c r="BC47" s="424">
        <f t="shared" si="4"/>
        <v>272701.55582519405</v>
      </c>
      <c r="BD47" s="417">
        <f t="shared" si="11"/>
        <v>2.8738210912787128E-3</v>
      </c>
      <c r="BE47" s="442"/>
      <c r="BF47" s="424">
        <f t="shared" si="5"/>
        <v>272701.55582519405</v>
      </c>
      <c r="BG47" s="434">
        <v>0</v>
      </c>
      <c r="BH47" s="434">
        <v>0</v>
      </c>
      <c r="BI47" s="434">
        <v>0</v>
      </c>
      <c r="BJ47" s="434">
        <v>0</v>
      </c>
      <c r="BK47" s="434">
        <v>0</v>
      </c>
      <c r="BL47" s="434">
        <v>0</v>
      </c>
      <c r="BM47" s="434">
        <v>0</v>
      </c>
      <c r="BN47" s="435">
        <v>0</v>
      </c>
      <c r="BO47" s="435">
        <v>0</v>
      </c>
      <c r="BP47" s="431" t="s">
        <v>343</v>
      </c>
      <c r="BQ47" s="432">
        <v>31165.149655314712</v>
      </c>
      <c r="BR47" s="433">
        <v>674.67573352657666</v>
      </c>
      <c r="BS47" s="433">
        <v>242026.64222963466</v>
      </c>
      <c r="BT47" s="433">
        <v>0</v>
      </c>
      <c r="BU47" s="424">
        <f t="shared" si="6"/>
        <v>273866.46761847596</v>
      </c>
      <c r="BV47" s="417">
        <f t="shared" si="12"/>
        <v>4.2717460476413014E-3</v>
      </c>
      <c r="BW47" s="442"/>
      <c r="BX47" s="424">
        <f t="shared" si="7"/>
        <v>273866.46761847596</v>
      </c>
      <c r="BY47" s="434">
        <v>0</v>
      </c>
      <c r="BZ47" s="434">
        <v>0</v>
      </c>
      <c r="CA47" s="434">
        <v>0</v>
      </c>
      <c r="CB47" s="434">
        <v>0</v>
      </c>
      <c r="CC47" s="434">
        <v>0</v>
      </c>
      <c r="CD47" s="434">
        <v>0</v>
      </c>
      <c r="CE47" s="434">
        <v>0</v>
      </c>
      <c r="CF47" s="435">
        <v>0</v>
      </c>
      <c r="CG47" s="435">
        <v>0</v>
      </c>
      <c r="CH47" s="431" t="s">
        <v>343</v>
      </c>
    </row>
    <row r="48" spans="1:86" s="365" customFormat="1">
      <c r="A48" s="407" t="str">
        <f t="shared" si="8"/>
        <v>IndustrialMarket Support</v>
      </c>
      <c r="B48" s="437" t="s">
        <v>409</v>
      </c>
      <c r="C48" s="438"/>
      <c r="D48" s="439" t="s">
        <v>410</v>
      </c>
      <c r="E48" s="635" t="s">
        <v>15</v>
      </c>
      <c r="F48" s="411" t="s">
        <v>21</v>
      </c>
      <c r="G48" s="411" t="s">
        <v>25</v>
      </c>
      <c r="H48" s="412" t="s">
        <v>23</v>
      </c>
      <c r="I48" s="413"/>
      <c r="J48" s="414"/>
      <c r="K48" s="414"/>
      <c r="L48" s="414"/>
      <c r="M48" s="414">
        <v>125800</v>
      </c>
      <c r="N48" s="414">
        <v>135800</v>
      </c>
      <c r="O48" s="415">
        <v>22098.802417742198</v>
      </c>
      <c r="P48" s="414">
        <v>525.78147925368671</v>
      </c>
      <c r="Q48" s="414">
        <v>167237.92875667251</v>
      </c>
      <c r="R48" s="414">
        <v>0</v>
      </c>
      <c r="S48" s="416">
        <f t="shared" si="13"/>
        <v>189862.51265366841</v>
      </c>
      <c r="T48" s="417">
        <f t="shared" si="9"/>
        <v>0.39810392233923719</v>
      </c>
      <c r="U48" s="442"/>
      <c r="V48" s="419">
        <f t="shared" si="14"/>
        <v>189862.51265366841</v>
      </c>
      <c r="W48" s="425">
        <v>0</v>
      </c>
      <c r="X48" s="425">
        <v>0</v>
      </c>
      <c r="Y48" s="425">
        <v>0</v>
      </c>
      <c r="Z48" s="425">
        <v>0</v>
      </c>
      <c r="AA48" s="425">
        <v>0</v>
      </c>
      <c r="AB48" s="425">
        <v>0</v>
      </c>
      <c r="AC48" s="425">
        <v>0</v>
      </c>
      <c r="AD48" s="425">
        <v>0</v>
      </c>
      <c r="AE48" s="425">
        <v>0</v>
      </c>
      <c r="AF48" s="421" t="s">
        <v>342</v>
      </c>
      <c r="AG48" s="422">
        <v>22396.329201123888</v>
      </c>
      <c r="AH48" s="423">
        <v>534.1198238951722</v>
      </c>
      <c r="AI48" s="423">
        <v>167869.69266421918</v>
      </c>
      <c r="AJ48" s="423">
        <v>0</v>
      </c>
      <c r="AK48" s="424">
        <f t="shared" si="15"/>
        <v>190800.14168923825</v>
      </c>
      <c r="AL48" s="417">
        <f t="shared" si="10"/>
        <v>4.9384632198573586E-3</v>
      </c>
      <c r="AM48" s="442"/>
      <c r="AN48" s="424">
        <f t="shared" si="16"/>
        <v>190800.14168923825</v>
      </c>
      <c r="AO48" s="425">
        <v>0</v>
      </c>
      <c r="AP48" s="425">
        <v>0</v>
      </c>
      <c r="AQ48" s="425">
        <v>0</v>
      </c>
      <c r="AR48" s="425">
        <v>0</v>
      </c>
      <c r="AS48" s="425">
        <v>0</v>
      </c>
      <c r="AT48" s="425">
        <v>0</v>
      </c>
      <c r="AU48" s="425">
        <v>0</v>
      </c>
      <c r="AV48" s="426">
        <v>0</v>
      </c>
      <c r="AW48" s="426">
        <v>0</v>
      </c>
      <c r="AX48" s="421" t="s">
        <v>343</v>
      </c>
      <c r="AY48" s="427">
        <v>22642.815910776713</v>
      </c>
      <c r="AZ48" s="414">
        <v>544.38639705293917</v>
      </c>
      <c r="BA48" s="414">
        <v>168253.37727705907</v>
      </c>
      <c r="BB48" s="414">
        <v>0</v>
      </c>
      <c r="BC48" s="424">
        <f t="shared" si="4"/>
        <v>191440.57958488874</v>
      </c>
      <c r="BD48" s="417">
        <f t="shared" si="11"/>
        <v>3.3565902518750772E-3</v>
      </c>
      <c r="BE48" s="442"/>
      <c r="BF48" s="424">
        <f t="shared" si="5"/>
        <v>191440.57958488874</v>
      </c>
      <c r="BG48" s="425">
        <v>0</v>
      </c>
      <c r="BH48" s="425">
        <v>0</v>
      </c>
      <c r="BI48" s="425">
        <v>0</v>
      </c>
      <c r="BJ48" s="425">
        <v>0</v>
      </c>
      <c r="BK48" s="425">
        <v>0</v>
      </c>
      <c r="BL48" s="425">
        <v>0</v>
      </c>
      <c r="BM48" s="425">
        <v>0</v>
      </c>
      <c r="BN48" s="426">
        <v>0</v>
      </c>
      <c r="BO48" s="426">
        <v>0</v>
      </c>
      <c r="BP48" s="421" t="s">
        <v>343</v>
      </c>
      <c r="BQ48" s="422">
        <v>23141.717598731913</v>
      </c>
      <c r="BR48" s="423">
        <v>555.6238223510511</v>
      </c>
      <c r="BS48" s="423">
        <v>168659.78863304487</v>
      </c>
      <c r="BT48" s="423">
        <v>0</v>
      </c>
      <c r="BU48" s="424">
        <f t="shared" si="6"/>
        <v>192357.13005412783</v>
      </c>
      <c r="BV48" s="417">
        <f t="shared" si="12"/>
        <v>4.7876498871164321E-3</v>
      </c>
      <c r="BW48" s="442"/>
      <c r="BX48" s="424">
        <f t="shared" si="7"/>
        <v>192357.13005412783</v>
      </c>
      <c r="BY48" s="425">
        <v>0</v>
      </c>
      <c r="BZ48" s="425">
        <v>0</v>
      </c>
      <c r="CA48" s="425">
        <v>0</v>
      </c>
      <c r="CB48" s="425">
        <v>0</v>
      </c>
      <c r="CC48" s="425">
        <v>0</v>
      </c>
      <c r="CD48" s="425">
        <v>0</v>
      </c>
      <c r="CE48" s="425">
        <v>0</v>
      </c>
      <c r="CF48" s="426">
        <v>0</v>
      </c>
      <c r="CG48" s="426">
        <v>0</v>
      </c>
      <c r="CH48" s="421" t="s">
        <v>343</v>
      </c>
    </row>
    <row r="49" spans="1:86" s="365" customFormat="1">
      <c r="A49" s="407" t="str">
        <f t="shared" si="8"/>
        <v>AgriculturalMarket Support</v>
      </c>
      <c r="B49" s="437" t="s">
        <v>409</v>
      </c>
      <c r="C49" s="438"/>
      <c r="D49" s="439" t="s">
        <v>410</v>
      </c>
      <c r="E49" s="635" t="s">
        <v>15</v>
      </c>
      <c r="F49" s="411" t="s">
        <v>21</v>
      </c>
      <c r="G49" s="411" t="s">
        <v>27</v>
      </c>
      <c r="H49" s="412" t="s">
        <v>23</v>
      </c>
      <c r="I49" s="413"/>
      <c r="J49" s="414"/>
      <c r="K49" s="414"/>
      <c r="L49" s="414"/>
      <c r="M49" s="414">
        <v>62900</v>
      </c>
      <c r="N49" s="414">
        <v>67900</v>
      </c>
      <c r="O49" s="415">
        <v>14360.977963765294</v>
      </c>
      <c r="P49" s="414">
        <v>416.07793962684343</v>
      </c>
      <c r="Q49" s="414">
        <v>94125.558893190697</v>
      </c>
      <c r="R49" s="414">
        <v>0</v>
      </c>
      <c r="S49" s="416">
        <f t="shared" si="13"/>
        <v>108902.61479658283</v>
      </c>
      <c r="T49" s="417">
        <f t="shared" si="9"/>
        <v>0.6038676700527662</v>
      </c>
      <c r="U49" s="442"/>
      <c r="V49" s="419">
        <f t="shared" si="14"/>
        <v>108902.61479658283</v>
      </c>
      <c r="W49" s="425">
        <v>0</v>
      </c>
      <c r="X49" s="425">
        <v>0</v>
      </c>
      <c r="Y49" s="425">
        <v>0</v>
      </c>
      <c r="Z49" s="425">
        <v>0</v>
      </c>
      <c r="AA49" s="425">
        <v>0</v>
      </c>
      <c r="AB49" s="425">
        <v>0</v>
      </c>
      <c r="AC49" s="425">
        <v>0</v>
      </c>
      <c r="AD49" s="425">
        <v>0</v>
      </c>
      <c r="AE49" s="425">
        <v>0</v>
      </c>
      <c r="AF49" s="421" t="s">
        <v>342</v>
      </c>
      <c r="AG49" s="422">
        <v>14578.664520201617</v>
      </c>
      <c r="AH49" s="423">
        <v>421.4999119475861</v>
      </c>
      <c r="AI49" s="423">
        <v>94680.012857155001</v>
      </c>
      <c r="AJ49" s="423">
        <v>0</v>
      </c>
      <c r="AK49" s="424">
        <f t="shared" si="15"/>
        <v>109680.17728930421</v>
      </c>
      <c r="AL49" s="417">
        <f t="shared" si="10"/>
        <v>7.139980010340192E-3</v>
      </c>
      <c r="AM49" s="442"/>
      <c r="AN49" s="424">
        <f t="shared" si="16"/>
        <v>109680.17728930421</v>
      </c>
      <c r="AO49" s="425">
        <v>0</v>
      </c>
      <c r="AP49" s="425">
        <v>0</v>
      </c>
      <c r="AQ49" s="425">
        <v>0</v>
      </c>
      <c r="AR49" s="425">
        <v>0</v>
      </c>
      <c r="AS49" s="425">
        <v>0</v>
      </c>
      <c r="AT49" s="425">
        <v>0</v>
      </c>
      <c r="AU49" s="425">
        <v>0</v>
      </c>
      <c r="AV49" s="426">
        <v>0</v>
      </c>
      <c r="AW49" s="426">
        <v>0</v>
      </c>
      <c r="AX49" s="421" t="s">
        <v>343</v>
      </c>
      <c r="AY49" s="427">
        <v>14773.407599565662</v>
      </c>
      <c r="AZ49" s="414">
        <v>428.62039852646956</v>
      </c>
      <c r="BA49" s="414">
        <v>94977.5753464913</v>
      </c>
      <c r="BB49" s="414">
        <v>0</v>
      </c>
      <c r="BC49" s="424">
        <f t="shared" si="4"/>
        <v>110179.60334458343</v>
      </c>
      <c r="BD49" s="417">
        <f t="shared" si="11"/>
        <v>4.5534760028868842E-3</v>
      </c>
      <c r="BE49" s="442"/>
      <c r="BF49" s="424">
        <f t="shared" si="5"/>
        <v>110179.60334458343</v>
      </c>
      <c r="BG49" s="425">
        <v>0</v>
      </c>
      <c r="BH49" s="425">
        <v>0</v>
      </c>
      <c r="BI49" s="425">
        <v>0</v>
      </c>
      <c r="BJ49" s="425">
        <v>0</v>
      </c>
      <c r="BK49" s="425">
        <v>0</v>
      </c>
      <c r="BL49" s="425">
        <v>0</v>
      </c>
      <c r="BM49" s="425">
        <v>0</v>
      </c>
      <c r="BN49" s="426">
        <v>0</v>
      </c>
      <c r="BO49" s="426">
        <v>0</v>
      </c>
      <c r="BP49" s="421" t="s">
        <v>343</v>
      </c>
      <c r="BQ49" s="422">
        <v>15118.285542149122</v>
      </c>
      <c r="BR49" s="423">
        <v>436.57191117552554</v>
      </c>
      <c r="BS49" s="423">
        <v>95292.935036455077</v>
      </c>
      <c r="BT49" s="423">
        <v>0</v>
      </c>
      <c r="BU49" s="424">
        <f t="shared" si="6"/>
        <v>110847.79248977972</v>
      </c>
      <c r="BV49" s="417">
        <f t="shared" si="12"/>
        <v>6.0645448423565819E-3</v>
      </c>
      <c r="BW49" s="442"/>
      <c r="BX49" s="424">
        <f t="shared" si="7"/>
        <v>110847.79248977972</v>
      </c>
      <c r="BY49" s="425">
        <v>0</v>
      </c>
      <c r="BZ49" s="425">
        <v>0</v>
      </c>
      <c r="CA49" s="425">
        <v>0</v>
      </c>
      <c r="CB49" s="425">
        <v>0</v>
      </c>
      <c r="CC49" s="425">
        <v>0</v>
      </c>
      <c r="CD49" s="425">
        <v>0</v>
      </c>
      <c r="CE49" s="425">
        <v>0</v>
      </c>
      <c r="CF49" s="426">
        <v>0</v>
      </c>
      <c r="CG49" s="426">
        <v>0</v>
      </c>
      <c r="CH49" s="421" t="s">
        <v>343</v>
      </c>
    </row>
    <row r="50" spans="1:86" s="365" customFormat="1">
      <c r="A50" s="407" t="str">
        <f t="shared" si="8"/>
        <v>CommercialResource Acquisition</v>
      </c>
      <c r="B50" s="437" t="s">
        <v>411</v>
      </c>
      <c r="C50" s="438"/>
      <c r="D50" s="439" t="s">
        <v>412</v>
      </c>
      <c r="E50" s="635" t="s">
        <v>20</v>
      </c>
      <c r="F50" s="411" t="s">
        <v>21</v>
      </c>
      <c r="G50" s="411" t="s">
        <v>22</v>
      </c>
      <c r="H50" s="412" t="s">
        <v>18</v>
      </c>
      <c r="I50" s="413"/>
      <c r="J50" s="414"/>
      <c r="K50" s="414"/>
      <c r="L50" s="414">
        <v>222937</v>
      </c>
      <c r="M50" s="414">
        <v>2802649</v>
      </c>
      <c r="N50" s="414">
        <v>2198719</v>
      </c>
      <c r="O50" s="415">
        <v>206321.95884221862</v>
      </c>
      <c r="P50" s="414">
        <v>92873.039471790558</v>
      </c>
      <c r="Q50" s="414">
        <v>621106.33883182507</v>
      </c>
      <c r="R50" s="414">
        <v>999999.5</v>
      </c>
      <c r="S50" s="416">
        <f t="shared" si="13"/>
        <v>1920300.8371458342</v>
      </c>
      <c r="T50" s="417">
        <f t="shared" si="9"/>
        <v>-0.12662744209431298</v>
      </c>
      <c r="U50" s="442"/>
      <c r="V50" s="419">
        <f t="shared" si="14"/>
        <v>1920300.8371458342</v>
      </c>
      <c r="W50" s="425">
        <v>130588.17</v>
      </c>
      <c r="X50" s="425">
        <v>0</v>
      </c>
      <c r="Y50" s="425">
        <v>352941</v>
      </c>
      <c r="Z50" s="425">
        <v>19.07</v>
      </c>
      <c r="AA50" s="425">
        <v>2064.6999999999998</v>
      </c>
      <c r="AB50" s="425">
        <v>1527881.59</v>
      </c>
      <c r="AC50" s="425">
        <v>4129409.7</v>
      </c>
      <c r="AD50" s="426">
        <v>286.29000000000002</v>
      </c>
      <c r="AE50" s="426">
        <v>24157.05</v>
      </c>
      <c r="AF50" s="421" t="s">
        <v>342</v>
      </c>
      <c r="AG50" s="422">
        <v>208434.02919262782</v>
      </c>
      <c r="AH50" s="423">
        <v>92940.958062846898</v>
      </c>
      <c r="AI50" s="423">
        <v>623299.72979240969</v>
      </c>
      <c r="AJ50" s="423">
        <v>999999.5</v>
      </c>
      <c r="AK50" s="424">
        <f t="shared" si="15"/>
        <v>1924674.2170478844</v>
      </c>
      <c r="AL50" s="417">
        <f t="shared" si="10"/>
        <v>2.2774451885103262E-3</v>
      </c>
      <c r="AM50" s="442"/>
      <c r="AN50" s="424">
        <f t="shared" si="16"/>
        <v>1924674.2170478844</v>
      </c>
      <c r="AO50" s="425">
        <v>130588.17</v>
      </c>
      <c r="AP50" s="425">
        <v>0</v>
      </c>
      <c r="AQ50" s="425">
        <v>352941</v>
      </c>
      <c r="AR50" s="425">
        <v>21.619633719999999</v>
      </c>
      <c r="AS50" s="425">
        <v>2064.7048500000001</v>
      </c>
      <c r="AT50" s="425">
        <v>1527881.5889999999</v>
      </c>
      <c r="AU50" s="425">
        <v>4129409.7</v>
      </c>
      <c r="AV50" s="426">
        <v>296.09152519999998</v>
      </c>
      <c r="AW50" s="426">
        <v>24157.046750000001</v>
      </c>
      <c r="AX50" s="421" t="s">
        <v>343</v>
      </c>
      <c r="AY50" s="427">
        <v>210284.77257749226</v>
      </c>
      <c r="AZ50" s="414">
        <v>93328.987967582332</v>
      </c>
      <c r="BA50" s="414">
        <v>639075.75208509318</v>
      </c>
      <c r="BB50" s="414">
        <v>999999.5</v>
      </c>
      <c r="BC50" s="424">
        <f t="shared" si="4"/>
        <v>1942689.0126301679</v>
      </c>
      <c r="BD50" s="417">
        <f t="shared" si="11"/>
        <v>9.3599194205007258E-3</v>
      </c>
      <c r="BE50" s="442"/>
      <c r="BF50" s="424">
        <f t="shared" si="5"/>
        <v>1942689.0126301679</v>
      </c>
      <c r="BG50" s="425">
        <v>130588.17</v>
      </c>
      <c r="BH50" s="425">
        <v>0</v>
      </c>
      <c r="BI50" s="425">
        <v>352941</v>
      </c>
      <c r="BJ50" s="425">
        <v>22.935264839999999</v>
      </c>
      <c r="BK50" s="425">
        <v>2064.7048500000001</v>
      </c>
      <c r="BL50" s="425">
        <v>1527881.5889999999</v>
      </c>
      <c r="BM50" s="425">
        <v>4129409.7</v>
      </c>
      <c r="BN50" s="426">
        <v>304.04861570000003</v>
      </c>
      <c r="BO50" s="426">
        <v>24157.046750000001</v>
      </c>
      <c r="BP50" s="421" t="s">
        <v>343</v>
      </c>
      <c r="BQ50" s="422">
        <v>214240.72268342687</v>
      </c>
      <c r="BR50" s="423">
        <v>93412.942045861564</v>
      </c>
      <c r="BS50" s="423">
        <v>641216.01265052776</v>
      </c>
      <c r="BT50" s="423">
        <v>999999.5</v>
      </c>
      <c r="BU50" s="424">
        <f t="shared" si="6"/>
        <v>1948869.1773798163</v>
      </c>
      <c r="BV50" s="417">
        <f t="shared" si="12"/>
        <v>3.1812424476943021E-3</v>
      </c>
      <c r="BW50" s="442"/>
      <c r="BX50" s="424">
        <f t="shared" si="7"/>
        <v>1948869.1773798163</v>
      </c>
      <c r="BY50" s="425">
        <v>130588.17</v>
      </c>
      <c r="BZ50" s="425">
        <v>0</v>
      </c>
      <c r="CA50" s="425">
        <v>352941</v>
      </c>
      <c r="CB50" s="425">
        <v>23.962373549999999</v>
      </c>
      <c r="CC50" s="425">
        <v>2064.7048500000001</v>
      </c>
      <c r="CD50" s="425">
        <v>1527881.5889999999</v>
      </c>
      <c r="CE50" s="425">
        <v>4129409.7</v>
      </c>
      <c r="CF50" s="426">
        <v>311.39097609999999</v>
      </c>
      <c r="CG50" s="426">
        <v>24157.046750000001</v>
      </c>
      <c r="CH50" s="421" t="s">
        <v>343</v>
      </c>
    </row>
    <row r="51" spans="1:86" s="365" customFormat="1">
      <c r="A51" s="407" t="str">
        <f t="shared" si="8"/>
        <v>CommercialResource Acquisition</v>
      </c>
      <c r="B51" s="437" t="s">
        <v>413</v>
      </c>
      <c r="C51" s="438"/>
      <c r="D51" s="439" t="s">
        <v>414</v>
      </c>
      <c r="E51" s="635" t="s">
        <v>20</v>
      </c>
      <c r="F51" s="411" t="s">
        <v>21</v>
      </c>
      <c r="G51" s="411" t="s">
        <v>22</v>
      </c>
      <c r="H51" s="412" t="s">
        <v>18</v>
      </c>
      <c r="I51" s="413"/>
      <c r="J51" s="414">
        <v>76810</v>
      </c>
      <c r="K51" s="414"/>
      <c r="L51" s="414">
        <v>4018</v>
      </c>
      <c r="M51" s="414">
        <v>76812</v>
      </c>
      <c r="N51" s="414">
        <v>76812</v>
      </c>
      <c r="O51" s="415">
        <v>24357.026588574889</v>
      </c>
      <c r="P51" s="414">
        <v>5121.8928218076035</v>
      </c>
      <c r="Q51" s="414">
        <v>32519.43502143566</v>
      </c>
      <c r="R51" s="414">
        <v>56112</v>
      </c>
      <c r="S51" s="416">
        <f t="shared" si="13"/>
        <v>118110.35443181815</v>
      </c>
      <c r="T51" s="417">
        <f t="shared" si="9"/>
        <v>0.53765498140678736</v>
      </c>
      <c r="U51" s="442"/>
      <c r="V51" s="419">
        <f t="shared" si="14"/>
        <v>118110.35443181815</v>
      </c>
      <c r="W51" s="425">
        <v>0</v>
      </c>
      <c r="X51" s="425">
        <v>0</v>
      </c>
      <c r="Y51" s="425">
        <v>22487.81</v>
      </c>
      <c r="Z51" s="425">
        <v>0</v>
      </c>
      <c r="AA51" s="425">
        <v>131.55000000000001</v>
      </c>
      <c r="AB51" s="425">
        <v>0</v>
      </c>
      <c r="AC51" s="425">
        <v>243436.95</v>
      </c>
      <c r="AD51" s="426">
        <v>0</v>
      </c>
      <c r="AE51" s="426">
        <v>1424.11</v>
      </c>
      <c r="AF51" s="421" t="s">
        <v>342</v>
      </c>
      <c r="AG51" s="422">
        <v>24737.814056149768</v>
      </c>
      <c r="AH51" s="423">
        <v>5125.1332354973183</v>
      </c>
      <c r="AI51" s="423">
        <v>32950.08121232751</v>
      </c>
      <c r="AJ51" s="423">
        <v>56112</v>
      </c>
      <c r="AK51" s="424">
        <f t="shared" si="15"/>
        <v>118925.02850397459</v>
      </c>
      <c r="AL51" s="417">
        <f t="shared" si="10"/>
        <v>6.897566907452901E-3</v>
      </c>
      <c r="AM51" s="442"/>
      <c r="AN51" s="424">
        <f t="shared" si="16"/>
        <v>118925.02850397459</v>
      </c>
      <c r="AO51" s="425">
        <v>0</v>
      </c>
      <c r="AP51" s="425">
        <v>0</v>
      </c>
      <c r="AQ51" s="425">
        <v>22487.806140000001</v>
      </c>
      <c r="AR51" s="425">
        <v>0</v>
      </c>
      <c r="AS51" s="425">
        <v>131.5536659</v>
      </c>
      <c r="AT51" s="425">
        <v>0</v>
      </c>
      <c r="AU51" s="425">
        <v>243436.9535</v>
      </c>
      <c r="AV51" s="426">
        <v>0</v>
      </c>
      <c r="AW51" s="426">
        <v>1424.106178</v>
      </c>
      <c r="AX51" s="421" t="s">
        <v>343</v>
      </c>
      <c r="AY51" s="427">
        <v>25133.976070428762</v>
      </c>
      <c r="AZ51" s="414">
        <v>5128.6288872516325</v>
      </c>
      <c r="BA51" s="414">
        <v>33452.416057349139</v>
      </c>
      <c r="BB51" s="414">
        <v>56112</v>
      </c>
      <c r="BC51" s="424">
        <f t="shared" si="4"/>
        <v>119827.02101502953</v>
      </c>
      <c r="BD51" s="417">
        <f t="shared" si="11"/>
        <v>7.5845473606490832E-3</v>
      </c>
      <c r="BE51" s="442"/>
      <c r="BF51" s="424">
        <f t="shared" si="5"/>
        <v>119827.02101502953</v>
      </c>
      <c r="BG51" s="425">
        <v>0</v>
      </c>
      <c r="BH51" s="425">
        <v>0</v>
      </c>
      <c r="BI51" s="425">
        <v>22487.806140000001</v>
      </c>
      <c r="BJ51" s="425">
        <v>0</v>
      </c>
      <c r="BK51" s="425">
        <v>131.5536659</v>
      </c>
      <c r="BL51" s="425">
        <v>0</v>
      </c>
      <c r="BM51" s="425">
        <v>243436.9535</v>
      </c>
      <c r="BN51" s="426">
        <v>0</v>
      </c>
      <c r="BO51" s="426">
        <v>1424.106178</v>
      </c>
      <c r="BP51" s="421" t="s">
        <v>343</v>
      </c>
      <c r="BQ51" s="422">
        <v>25710.847115723511</v>
      </c>
      <c r="BR51" s="423">
        <v>5132.2799013061394</v>
      </c>
      <c r="BS51" s="423">
        <v>33992.361792940603</v>
      </c>
      <c r="BT51" s="423">
        <v>56112</v>
      </c>
      <c r="BU51" s="424">
        <f t="shared" si="6"/>
        <v>120947.48880997025</v>
      </c>
      <c r="BV51" s="417">
        <f t="shared" si="12"/>
        <v>9.3507105947345792E-3</v>
      </c>
      <c r="BW51" s="442"/>
      <c r="BX51" s="424">
        <f t="shared" si="7"/>
        <v>120947.48880997025</v>
      </c>
      <c r="BY51" s="425">
        <v>0</v>
      </c>
      <c r="BZ51" s="425">
        <v>0</v>
      </c>
      <c r="CA51" s="425">
        <v>22487.806140000001</v>
      </c>
      <c r="CB51" s="425">
        <v>0</v>
      </c>
      <c r="CC51" s="425">
        <v>131.5536659</v>
      </c>
      <c r="CD51" s="425">
        <v>0</v>
      </c>
      <c r="CE51" s="425">
        <v>243436.9535</v>
      </c>
      <c r="CF51" s="426">
        <v>0</v>
      </c>
      <c r="CG51" s="426">
        <v>1424.106178</v>
      </c>
      <c r="CH51" s="421" t="s">
        <v>343</v>
      </c>
    </row>
    <row r="52" spans="1:86" s="365" customFormat="1">
      <c r="A52" s="407" t="str">
        <f t="shared" si="8"/>
        <v>CommercialResource Acquisition</v>
      </c>
      <c r="B52" s="437" t="s">
        <v>415</v>
      </c>
      <c r="C52" s="438"/>
      <c r="D52" s="439" t="s">
        <v>416</v>
      </c>
      <c r="E52" s="635" t="s">
        <v>20</v>
      </c>
      <c r="F52" s="411" t="s">
        <v>21</v>
      </c>
      <c r="G52" s="411" t="s">
        <v>22</v>
      </c>
      <c r="H52" s="412" t="s">
        <v>18</v>
      </c>
      <c r="I52" s="413"/>
      <c r="J52" s="414"/>
      <c r="K52" s="414"/>
      <c r="L52" s="414">
        <v>3333</v>
      </c>
      <c r="M52" s="414">
        <v>4420588</v>
      </c>
      <c r="N52" s="414">
        <v>5892284</v>
      </c>
      <c r="O52" s="415">
        <v>569212.63791983842</v>
      </c>
      <c r="P52" s="414">
        <v>219044.23464515599</v>
      </c>
      <c r="Q52" s="414">
        <v>2201070.6332790772</v>
      </c>
      <c r="R52" s="414">
        <v>1708470.12</v>
      </c>
      <c r="S52" s="416">
        <f t="shared" si="13"/>
        <v>4697797.6258440716</v>
      </c>
      <c r="T52" s="417">
        <f t="shared" si="9"/>
        <v>-0.20272043475092652</v>
      </c>
      <c r="U52" s="442"/>
      <c r="V52" s="419">
        <f t="shared" si="14"/>
        <v>4697797.6258440716</v>
      </c>
      <c r="W52" s="425">
        <v>10790337.6</v>
      </c>
      <c r="X52" s="425">
        <v>2312.2199999999998</v>
      </c>
      <c r="Y52" s="425">
        <v>770738.4</v>
      </c>
      <c r="Z52" s="425">
        <v>3225.23</v>
      </c>
      <c r="AA52" s="425">
        <v>4508.82</v>
      </c>
      <c r="AB52" s="425">
        <v>64742025.600000001</v>
      </c>
      <c r="AC52" s="425">
        <v>4624430.4000000004</v>
      </c>
      <c r="AD52" s="426">
        <v>15867.45</v>
      </c>
      <c r="AE52" s="426">
        <v>27052.92</v>
      </c>
      <c r="AF52" s="421" t="s">
        <v>342</v>
      </c>
      <c r="AG52" s="422">
        <v>574889.03985538369</v>
      </c>
      <c r="AH52" s="423">
        <v>219272.14054213211</v>
      </c>
      <c r="AI52" s="423">
        <v>2208994.6470488594</v>
      </c>
      <c r="AJ52" s="423">
        <v>1708470.12</v>
      </c>
      <c r="AK52" s="424">
        <f t="shared" si="15"/>
        <v>4711625.9474463752</v>
      </c>
      <c r="AL52" s="417">
        <f t="shared" si="10"/>
        <v>2.9435754163247819E-3</v>
      </c>
      <c r="AM52" s="442"/>
      <c r="AN52" s="424">
        <f t="shared" si="16"/>
        <v>4711625.9474463752</v>
      </c>
      <c r="AO52" s="425">
        <v>10790337.6</v>
      </c>
      <c r="AP52" s="425">
        <v>2312.2152000000001</v>
      </c>
      <c r="AQ52" s="425">
        <v>770738.4</v>
      </c>
      <c r="AR52" s="425">
        <v>2925.484962</v>
      </c>
      <c r="AS52" s="425">
        <v>4508.8196399999997</v>
      </c>
      <c r="AT52" s="425">
        <v>64742025.600000001</v>
      </c>
      <c r="AU52" s="425">
        <v>4624430.4000000004</v>
      </c>
      <c r="AV52" s="426">
        <v>14824.584779999999</v>
      </c>
      <c r="AW52" s="426">
        <v>27052.917839999998</v>
      </c>
      <c r="AX52" s="421" t="s">
        <v>343</v>
      </c>
      <c r="AY52" s="427">
        <v>580144.87842204352</v>
      </c>
      <c r="AZ52" s="414">
        <v>220469.27554195223</v>
      </c>
      <c r="BA52" s="414">
        <v>2255925.679737376</v>
      </c>
      <c r="BB52" s="414">
        <v>1708470.12</v>
      </c>
      <c r="BC52" s="424">
        <f t="shared" si="4"/>
        <v>4765009.9537013713</v>
      </c>
      <c r="BD52" s="417">
        <f t="shared" si="11"/>
        <v>1.1330272574784812E-2</v>
      </c>
      <c r="BE52" s="442"/>
      <c r="BF52" s="424">
        <f t="shared" si="5"/>
        <v>4765009.9537013713</v>
      </c>
      <c r="BG52" s="425">
        <v>10790337.6</v>
      </c>
      <c r="BH52" s="425">
        <v>2312.2152000000001</v>
      </c>
      <c r="BI52" s="425">
        <v>770738.4</v>
      </c>
      <c r="BJ52" s="425">
        <v>2644.0859059999998</v>
      </c>
      <c r="BK52" s="425">
        <v>4508.8196399999997</v>
      </c>
      <c r="BL52" s="425">
        <v>64742025.600000001</v>
      </c>
      <c r="BM52" s="425">
        <v>4624430.4000000004</v>
      </c>
      <c r="BN52" s="426">
        <v>14151.93132</v>
      </c>
      <c r="BO52" s="426">
        <v>27052.917839999998</v>
      </c>
      <c r="BP52" s="421" t="s">
        <v>343</v>
      </c>
      <c r="BQ52" s="422">
        <v>590398.33888864215</v>
      </c>
      <c r="BR52" s="423">
        <v>220758.48182176435</v>
      </c>
      <c r="BS52" s="423">
        <v>2261878.5682320842</v>
      </c>
      <c r="BT52" s="423">
        <v>1708470.12</v>
      </c>
      <c r="BU52" s="424">
        <f t="shared" si="6"/>
        <v>4781505.5089424904</v>
      </c>
      <c r="BV52" s="417">
        <f t="shared" si="12"/>
        <v>3.4618091885213536E-3</v>
      </c>
      <c r="BW52" s="442"/>
      <c r="BX52" s="424">
        <f t="shared" si="7"/>
        <v>4781505.5089424904</v>
      </c>
      <c r="BY52" s="425">
        <v>10790337.6</v>
      </c>
      <c r="BZ52" s="425">
        <v>2312.2152000000001</v>
      </c>
      <c r="CA52" s="425">
        <v>770738.4</v>
      </c>
      <c r="CB52" s="425">
        <v>2469.7561329999999</v>
      </c>
      <c r="CC52" s="425">
        <v>4508.8196399999997</v>
      </c>
      <c r="CD52" s="425">
        <v>64742025.600000001</v>
      </c>
      <c r="CE52" s="425">
        <v>4624430.4000000004</v>
      </c>
      <c r="CF52" s="426">
        <v>13823.32022</v>
      </c>
      <c r="CG52" s="426">
        <v>27052.917839999998</v>
      </c>
      <c r="CH52" s="421" t="s">
        <v>343</v>
      </c>
    </row>
    <row r="53" spans="1:86" s="365" customFormat="1">
      <c r="A53" s="407" t="str">
        <f t="shared" si="8"/>
        <v>CommercialResource Acquisition</v>
      </c>
      <c r="B53" s="437" t="s">
        <v>417</v>
      </c>
      <c r="C53" s="438"/>
      <c r="D53" s="439" t="s">
        <v>418</v>
      </c>
      <c r="E53" s="635" t="s">
        <v>20</v>
      </c>
      <c r="F53" s="411" t="s">
        <v>21</v>
      </c>
      <c r="G53" s="411" t="s">
        <v>22</v>
      </c>
      <c r="H53" s="412" t="s">
        <v>18</v>
      </c>
      <c r="I53" s="413"/>
      <c r="J53" s="414"/>
      <c r="K53" s="414"/>
      <c r="L53" s="414"/>
      <c r="M53" s="414">
        <v>1200000</v>
      </c>
      <c r="N53" s="414">
        <v>1100000</v>
      </c>
      <c r="O53" s="415">
        <v>190213.62221137458</v>
      </c>
      <c r="P53" s="414">
        <v>6972.2694073949333</v>
      </c>
      <c r="Q53" s="414">
        <v>1104809.7993696851</v>
      </c>
      <c r="R53" s="414">
        <v>0</v>
      </c>
      <c r="S53" s="416">
        <f t="shared" si="13"/>
        <v>1301995.6909884545</v>
      </c>
      <c r="T53" s="417">
        <f t="shared" si="9"/>
        <v>0.18363244635314047</v>
      </c>
      <c r="U53" s="442"/>
      <c r="V53" s="419">
        <f t="shared" si="14"/>
        <v>1301995.6909884545</v>
      </c>
      <c r="W53" s="425">
        <v>0</v>
      </c>
      <c r="X53" s="425">
        <v>0</v>
      </c>
      <c r="Y53" s="425">
        <v>950000</v>
      </c>
      <c r="Z53" s="425">
        <v>0</v>
      </c>
      <c r="AA53" s="425">
        <v>5557.5</v>
      </c>
      <c r="AB53" s="425">
        <v>0</v>
      </c>
      <c r="AC53" s="425">
        <v>950000</v>
      </c>
      <c r="AD53" s="426">
        <v>0</v>
      </c>
      <c r="AE53" s="426">
        <v>5557.5</v>
      </c>
      <c r="AF53" s="421" t="s">
        <v>342</v>
      </c>
      <c r="AG53" s="422">
        <v>193213.7545123602</v>
      </c>
      <c r="AH53" s="423">
        <v>7157.6210704465821</v>
      </c>
      <c r="AI53" s="423">
        <v>1108910.9628489537</v>
      </c>
      <c r="AJ53" s="423">
        <v>0</v>
      </c>
      <c r="AK53" s="424">
        <f t="shared" si="15"/>
        <v>1309282.3384317604</v>
      </c>
      <c r="AL53" s="417">
        <f t="shared" si="10"/>
        <v>5.5965219345495889E-3</v>
      </c>
      <c r="AM53" s="442"/>
      <c r="AN53" s="424">
        <f t="shared" si="16"/>
        <v>1309282.3384317604</v>
      </c>
      <c r="AO53" s="425">
        <v>0</v>
      </c>
      <c r="AP53" s="425">
        <v>0</v>
      </c>
      <c r="AQ53" s="425">
        <v>950000</v>
      </c>
      <c r="AR53" s="425">
        <v>0</v>
      </c>
      <c r="AS53" s="425">
        <v>5557.5</v>
      </c>
      <c r="AT53" s="425">
        <v>0</v>
      </c>
      <c r="AU53" s="425">
        <v>950000</v>
      </c>
      <c r="AV53" s="426">
        <v>0</v>
      </c>
      <c r="AW53" s="426">
        <v>5557.5</v>
      </c>
      <c r="AX53" s="421" t="s">
        <v>343</v>
      </c>
      <c r="AY53" s="427">
        <v>195993.03295156523</v>
      </c>
      <c r="AZ53" s="414">
        <v>7357.5723507933953</v>
      </c>
      <c r="BA53" s="414">
        <v>1113488.2391043808</v>
      </c>
      <c r="BB53" s="414">
        <v>0</v>
      </c>
      <c r="BC53" s="424">
        <f t="shared" si="4"/>
        <v>1316838.8444067393</v>
      </c>
      <c r="BD53" s="417">
        <f t="shared" si="11"/>
        <v>5.7714869842588586E-3</v>
      </c>
      <c r="BE53" s="442"/>
      <c r="BF53" s="424">
        <f t="shared" si="5"/>
        <v>1316838.8444067393</v>
      </c>
      <c r="BG53" s="425">
        <v>0</v>
      </c>
      <c r="BH53" s="425">
        <v>0</v>
      </c>
      <c r="BI53" s="425">
        <v>950000</v>
      </c>
      <c r="BJ53" s="425">
        <v>0</v>
      </c>
      <c r="BK53" s="425">
        <v>5557.5</v>
      </c>
      <c r="BL53" s="425">
        <v>0</v>
      </c>
      <c r="BM53" s="425">
        <v>950000</v>
      </c>
      <c r="BN53" s="426">
        <v>0</v>
      </c>
      <c r="BO53" s="426">
        <v>5557.5</v>
      </c>
      <c r="BP53" s="421" t="s">
        <v>343</v>
      </c>
      <c r="BQ53" s="422">
        <v>200564.27117581485</v>
      </c>
      <c r="BR53" s="423">
        <v>7566.4103547111799</v>
      </c>
      <c r="BS53" s="423">
        <v>1118330.9006253108</v>
      </c>
      <c r="BT53" s="423">
        <v>0</v>
      </c>
      <c r="BU53" s="424">
        <f t="shared" si="6"/>
        <v>1326461.5821558367</v>
      </c>
      <c r="BV53" s="417">
        <f t="shared" si="12"/>
        <v>7.3074528367460386E-3</v>
      </c>
      <c r="BW53" s="442"/>
      <c r="BX53" s="424">
        <f t="shared" si="7"/>
        <v>1326461.5821558367</v>
      </c>
      <c r="BY53" s="425">
        <v>0</v>
      </c>
      <c r="BZ53" s="425">
        <v>0</v>
      </c>
      <c r="CA53" s="425">
        <v>950000</v>
      </c>
      <c r="CB53" s="425">
        <v>0</v>
      </c>
      <c r="CC53" s="425">
        <v>5557.5</v>
      </c>
      <c r="CD53" s="425">
        <v>0</v>
      </c>
      <c r="CE53" s="425">
        <v>950000</v>
      </c>
      <c r="CF53" s="426">
        <v>0</v>
      </c>
      <c r="CG53" s="426">
        <v>5557.5</v>
      </c>
      <c r="CH53" s="421" t="s">
        <v>343</v>
      </c>
    </row>
    <row r="54" spans="1:86" s="365" customFormat="1">
      <c r="A54" s="407" t="str">
        <f t="shared" si="8"/>
        <v>CommercialResource Acquisition</v>
      </c>
      <c r="B54" s="437" t="s">
        <v>419</v>
      </c>
      <c r="C54" s="438"/>
      <c r="D54" s="439" t="s">
        <v>420</v>
      </c>
      <c r="E54" s="635" t="s">
        <v>20</v>
      </c>
      <c r="F54" s="411" t="s">
        <v>21</v>
      </c>
      <c r="G54" s="411" t="s">
        <v>22</v>
      </c>
      <c r="H54" s="412" t="s">
        <v>18</v>
      </c>
      <c r="I54" s="413"/>
      <c r="J54" s="414"/>
      <c r="K54" s="414"/>
      <c r="L54" s="414">
        <v>15242</v>
      </c>
      <c r="M54" s="414">
        <v>914331</v>
      </c>
      <c r="N54" s="414">
        <v>915441</v>
      </c>
      <c r="O54" s="415">
        <v>92712.525650992553</v>
      </c>
      <c r="P54" s="414">
        <v>1584.6066834988483</v>
      </c>
      <c r="Q54" s="414">
        <v>876326.96506588615</v>
      </c>
      <c r="R54" s="414">
        <v>0</v>
      </c>
      <c r="S54" s="416">
        <f t="shared" si="13"/>
        <v>970624.0974003775</v>
      </c>
      <c r="T54" s="417">
        <f t="shared" si="9"/>
        <v>6.0280342917104983E-2</v>
      </c>
      <c r="U54" s="442"/>
      <c r="V54" s="419">
        <f t="shared" si="14"/>
        <v>970624.0974003775</v>
      </c>
      <c r="W54" s="425">
        <v>0</v>
      </c>
      <c r="X54" s="425">
        <v>0</v>
      </c>
      <c r="Y54" s="425">
        <v>346275</v>
      </c>
      <c r="Z54" s="425">
        <v>0</v>
      </c>
      <c r="AA54" s="425">
        <v>2025.71</v>
      </c>
      <c r="AB54" s="425">
        <v>0</v>
      </c>
      <c r="AC54" s="425">
        <v>1038825</v>
      </c>
      <c r="AD54" s="426">
        <v>0</v>
      </c>
      <c r="AE54" s="426">
        <v>6077.13</v>
      </c>
      <c r="AF54" s="421" t="s">
        <v>342</v>
      </c>
      <c r="AG54" s="422">
        <v>94190.114791133106</v>
      </c>
      <c r="AH54" s="423">
        <v>1626.7320614651323</v>
      </c>
      <c r="AI54" s="423">
        <v>878033.76603185455</v>
      </c>
      <c r="AJ54" s="423">
        <v>0</v>
      </c>
      <c r="AK54" s="424">
        <f t="shared" si="15"/>
        <v>973850.6128844528</v>
      </c>
      <c r="AL54" s="417">
        <f t="shared" si="10"/>
        <v>3.3241658565008546E-3</v>
      </c>
      <c r="AM54" s="442"/>
      <c r="AN54" s="424">
        <f t="shared" si="16"/>
        <v>973850.6128844528</v>
      </c>
      <c r="AO54" s="425">
        <v>0</v>
      </c>
      <c r="AP54" s="425">
        <v>0</v>
      </c>
      <c r="AQ54" s="425">
        <v>346275</v>
      </c>
      <c r="AR54" s="425">
        <v>0</v>
      </c>
      <c r="AS54" s="425">
        <v>2025.70875</v>
      </c>
      <c r="AT54" s="425">
        <v>0</v>
      </c>
      <c r="AU54" s="425">
        <v>1038825</v>
      </c>
      <c r="AV54" s="426">
        <v>0</v>
      </c>
      <c r="AW54" s="426">
        <v>6077.1262500000003</v>
      </c>
      <c r="AX54" s="421" t="s">
        <v>343</v>
      </c>
      <c r="AY54" s="427">
        <v>95425.378382971001</v>
      </c>
      <c r="AZ54" s="414">
        <v>1672.1755342712263</v>
      </c>
      <c r="BA54" s="414">
        <v>879947.67194930429</v>
      </c>
      <c r="BB54" s="414">
        <v>0</v>
      </c>
      <c r="BC54" s="424">
        <f t="shared" si="4"/>
        <v>977045.22586654651</v>
      </c>
      <c r="BD54" s="417">
        <f t="shared" si="11"/>
        <v>3.2803932552155678E-3</v>
      </c>
      <c r="BE54" s="442"/>
      <c r="BF54" s="424">
        <f t="shared" si="5"/>
        <v>977045.22586654651</v>
      </c>
      <c r="BG54" s="425">
        <v>0</v>
      </c>
      <c r="BH54" s="425">
        <v>0</v>
      </c>
      <c r="BI54" s="425">
        <v>346275</v>
      </c>
      <c r="BJ54" s="425">
        <v>0</v>
      </c>
      <c r="BK54" s="425">
        <v>2025.70875</v>
      </c>
      <c r="BL54" s="425">
        <v>0</v>
      </c>
      <c r="BM54" s="425">
        <v>1038825</v>
      </c>
      <c r="BN54" s="426">
        <v>0</v>
      </c>
      <c r="BO54" s="426">
        <v>6077.1262500000003</v>
      </c>
      <c r="BP54" s="421" t="s">
        <v>343</v>
      </c>
      <c r="BQ54" s="422">
        <v>97942.052683738963</v>
      </c>
      <c r="BR54" s="423">
        <v>1719.6387169798136</v>
      </c>
      <c r="BS54" s="423">
        <v>881976.04838304943</v>
      </c>
      <c r="BT54" s="423">
        <v>0</v>
      </c>
      <c r="BU54" s="424">
        <f t="shared" si="6"/>
        <v>981637.73978376819</v>
      </c>
      <c r="BV54" s="417">
        <f t="shared" si="12"/>
        <v>4.700410785128767E-3</v>
      </c>
      <c r="BW54" s="442"/>
      <c r="BX54" s="424">
        <f t="shared" si="7"/>
        <v>981637.73978376819</v>
      </c>
      <c r="BY54" s="425">
        <v>0</v>
      </c>
      <c r="BZ54" s="425">
        <v>0</v>
      </c>
      <c r="CA54" s="425">
        <v>346275</v>
      </c>
      <c r="CB54" s="425">
        <v>0</v>
      </c>
      <c r="CC54" s="425">
        <v>2025.70875</v>
      </c>
      <c r="CD54" s="425">
        <v>0</v>
      </c>
      <c r="CE54" s="425">
        <v>1038825</v>
      </c>
      <c r="CF54" s="426">
        <v>0</v>
      </c>
      <c r="CG54" s="426">
        <v>6077.1262500000003</v>
      </c>
      <c r="CH54" s="421" t="s">
        <v>343</v>
      </c>
    </row>
    <row r="55" spans="1:86" s="365" customFormat="1" ht="15.75">
      <c r="A55" s="407" t="str">
        <f t="shared" si="8"/>
        <v>CommercialResource Acquisition</v>
      </c>
      <c r="B55" s="437" t="s">
        <v>421</v>
      </c>
      <c r="C55" s="438"/>
      <c r="D55" s="439" t="s">
        <v>422</v>
      </c>
      <c r="E55" s="635" t="s">
        <v>20</v>
      </c>
      <c r="F55" s="411" t="s">
        <v>21</v>
      </c>
      <c r="G55" s="411" t="s">
        <v>22</v>
      </c>
      <c r="H55" s="412" t="s">
        <v>18</v>
      </c>
      <c r="I55" s="413"/>
      <c r="J55" s="414"/>
      <c r="K55" s="414"/>
      <c r="L55" s="414"/>
      <c r="M55" s="414"/>
      <c r="N55" s="414"/>
      <c r="O55" s="415">
        <v>277343.75495025527</v>
      </c>
      <c r="P55" s="414">
        <v>113216.44247552213</v>
      </c>
      <c r="Q55" s="414">
        <v>635497.63370305696</v>
      </c>
      <c r="R55" s="414">
        <v>1243100.18</v>
      </c>
      <c r="S55" s="416">
        <f t="shared" si="13"/>
        <v>2269158.0111288344</v>
      </c>
      <c r="T55" s="417" t="e">
        <f t="shared" si="9"/>
        <v>#DIV/0!</v>
      </c>
      <c r="U55" s="442"/>
      <c r="V55" s="419">
        <f t="shared" si="14"/>
        <v>2269158.0111288344</v>
      </c>
      <c r="W55" s="425">
        <v>87017.01</v>
      </c>
      <c r="X55" s="425">
        <v>0</v>
      </c>
      <c r="Y55" s="425">
        <v>443964.35</v>
      </c>
      <c r="Z55" s="425">
        <v>12.71</v>
      </c>
      <c r="AA55" s="425">
        <v>2597.19</v>
      </c>
      <c r="AB55" s="425">
        <v>687434.4</v>
      </c>
      <c r="AC55" s="425">
        <v>3507318.37</v>
      </c>
      <c r="AD55" s="426">
        <v>121.72</v>
      </c>
      <c r="AE55" s="426">
        <v>20517.810000000001</v>
      </c>
      <c r="AF55" s="421" t="s">
        <v>342</v>
      </c>
      <c r="AG55" s="422">
        <v>279935.46441341017</v>
      </c>
      <c r="AH55" s="423">
        <v>113251.43894337103</v>
      </c>
      <c r="AI55" s="423">
        <v>636528.91561121948</v>
      </c>
      <c r="AJ55" s="423">
        <v>1243100.18</v>
      </c>
      <c r="AK55" s="424">
        <f t="shared" si="15"/>
        <v>2272815.9989680005</v>
      </c>
      <c r="AL55" s="417">
        <f t="shared" si="10"/>
        <v>1.6120463278563584E-3</v>
      </c>
      <c r="AM55" s="442"/>
      <c r="AN55" s="424">
        <f t="shared" si="16"/>
        <v>2272815.9989680005</v>
      </c>
      <c r="AO55" s="425">
        <v>87017.012600000002</v>
      </c>
      <c r="AP55" s="425">
        <v>0</v>
      </c>
      <c r="AQ55" s="425">
        <v>443964.35</v>
      </c>
      <c r="AR55" s="425">
        <v>14.406174310000001</v>
      </c>
      <c r="AS55" s="425">
        <v>2597.191448</v>
      </c>
      <c r="AT55" s="425">
        <v>687434.39950000006</v>
      </c>
      <c r="AU55" s="425">
        <v>3507318.3650000002</v>
      </c>
      <c r="AV55" s="426">
        <v>126.3534999</v>
      </c>
      <c r="AW55" s="426">
        <v>20517.812440000002</v>
      </c>
      <c r="AX55" s="421" t="s">
        <v>343</v>
      </c>
      <c r="AY55" s="427">
        <v>281850.92231279763</v>
      </c>
      <c r="AZ55" s="414">
        <v>113289.19198231763</v>
      </c>
      <c r="BA55" s="414">
        <v>637741.55355113628</v>
      </c>
      <c r="BB55" s="414">
        <v>1243100.18</v>
      </c>
      <c r="BC55" s="424">
        <f t="shared" si="4"/>
        <v>2275981.8478462514</v>
      </c>
      <c r="BD55" s="417">
        <f t="shared" si="11"/>
        <v>1.392919127500165E-3</v>
      </c>
      <c r="BE55" s="442"/>
      <c r="BF55" s="424">
        <f t="shared" si="5"/>
        <v>2275981.8478462514</v>
      </c>
      <c r="BG55" s="425">
        <v>87017.012600000002</v>
      </c>
      <c r="BH55" s="425">
        <v>0</v>
      </c>
      <c r="BI55" s="425">
        <v>443964.35</v>
      </c>
      <c r="BJ55" s="425">
        <v>15.282840930000001</v>
      </c>
      <c r="BK55" s="425">
        <v>2597.191448</v>
      </c>
      <c r="BL55" s="425">
        <v>687434.39950000006</v>
      </c>
      <c r="BM55" s="425">
        <v>3507318.3650000002</v>
      </c>
      <c r="BN55" s="426">
        <v>129.80784130000001</v>
      </c>
      <c r="BO55" s="426">
        <v>20517.812440000002</v>
      </c>
      <c r="BP55" s="421" t="s">
        <v>343</v>
      </c>
      <c r="BQ55" s="422">
        <v>286684.25129569176</v>
      </c>
      <c r="BR55" s="423">
        <v>113328.6229341063</v>
      </c>
      <c r="BS55" s="423">
        <v>639048.60768009815</v>
      </c>
      <c r="BT55" s="423">
        <v>1243100.18</v>
      </c>
      <c r="BU55" s="424">
        <f t="shared" si="6"/>
        <v>2282161.6619098959</v>
      </c>
      <c r="BV55" s="417">
        <f t="shared" si="12"/>
        <v>2.7152299432846639E-3</v>
      </c>
      <c r="BW55" s="442"/>
      <c r="BX55" s="424">
        <f t="shared" si="7"/>
        <v>2282161.6619098959</v>
      </c>
      <c r="BY55" s="425">
        <v>87017.012600000002</v>
      </c>
      <c r="BZ55" s="425">
        <v>0</v>
      </c>
      <c r="CA55" s="425">
        <v>443964.35</v>
      </c>
      <c r="CB55" s="425">
        <v>15.967251559999999</v>
      </c>
      <c r="CC55" s="425">
        <v>2597.191448</v>
      </c>
      <c r="CD55" s="425">
        <v>687434.39950000006</v>
      </c>
      <c r="CE55" s="425">
        <v>3507318.3650000002</v>
      </c>
      <c r="CF55" s="426">
        <v>132.88952879999999</v>
      </c>
      <c r="CG55" s="426">
        <v>20517.812440000002</v>
      </c>
      <c r="CH55" s="421" t="s">
        <v>343</v>
      </c>
    </row>
    <row r="56" spans="1:86" s="365" customFormat="1" ht="28.5">
      <c r="A56" s="407" t="str">
        <f t="shared" si="8"/>
        <v>CommercialResource Acquisition</v>
      </c>
      <c r="B56" s="437" t="s">
        <v>423</v>
      </c>
      <c r="C56" s="438"/>
      <c r="D56" s="439" t="s">
        <v>424</v>
      </c>
      <c r="E56" s="635" t="s">
        <v>20</v>
      </c>
      <c r="F56" s="411" t="s">
        <v>21</v>
      </c>
      <c r="G56" s="411" t="s">
        <v>22</v>
      </c>
      <c r="H56" s="412" t="s">
        <v>18</v>
      </c>
      <c r="I56" s="413"/>
      <c r="J56" s="414"/>
      <c r="K56" s="414"/>
      <c r="L56" s="414">
        <v>250400</v>
      </c>
      <c r="M56" s="414">
        <v>1519235</v>
      </c>
      <c r="N56" s="414">
        <v>1500026</v>
      </c>
      <c r="O56" s="415">
        <v>228757.56549704378</v>
      </c>
      <c r="P56" s="414">
        <v>87735.565675522113</v>
      </c>
      <c r="Q56" s="414">
        <v>575827.32988958166</v>
      </c>
      <c r="R56" s="414">
        <v>1008749.42</v>
      </c>
      <c r="S56" s="416">
        <f t="shared" si="13"/>
        <v>1901069.8810621477</v>
      </c>
      <c r="T56" s="417">
        <f t="shared" si="9"/>
        <v>0.26735795317024352</v>
      </c>
      <c r="U56" s="442"/>
      <c r="V56" s="419">
        <f t="shared" si="14"/>
        <v>1901069.8810621477</v>
      </c>
      <c r="W56" s="425">
        <v>54282.48</v>
      </c>
      <c r="X56" s="425">
        <v>0</v>
      </c>
      <c r="Y56" s="425">
        <v>271412.40000000002</v>
      </c>
      <c r="Z56" s="425">
        <v>5.93</v>
      </c>
      <c r="AA56" s="425">
        <v>1587.76</v>
      </c>
      <c r="AB56" s="425">
        <v>428831.59</v>
      </c>
      <c r="AC56" s="425">
        <v>2144157.96</v>
      </c>
      <c r="AD56" s="426">
        <v>60.96</v>
      </c>
      <c r="AE56" s="426">
        <v>12543.32</v>
      </c>
      <c r="AF56" s="421" t="s">
        <v>342</v>
      </c>
      <c r="AG56" s="422">
        <v>231177.87694732903</v>
      </c>
      <c r="AH56" s="423">
        <v>87778.078943371031</v>
      </c>
      <c r="AI56" s="423">
        <v>578821.0555480005</v>
      </c>
      <c r="AJ56" s="423">
        <v>1008749.42</v>
      </c>
      <c r="AK56" s="424">
        <f t="shared" si="15"/>
        <v>1906526.4314387008</v>
      </c>
      <c r="AL56" s="417">
        <f t="shared" si="10"/>
        <v>2.8702523936176699E-3</v>
      </c>
      <c r="AM56" s="442"/>
      <c r="AN56" s="424">
        <f t="shared" si="16"/>
        <v>1906526.4314387008</v>
      </c>
      <c r="AO56" s="425">
        <v>54282.48</v>
      </c>
      <c r="AP56" s="425">
        <v>0</v>
      </c>
      <c r="AQ56" s="425">
        <v>271412.40000000002</v>
      </c>
      <c r="AR56" s="425">
        <v>7.2803545999999999</v>
      </c>
      <c r="AS56" s="425">
        <v>1587.7625399999999</v>
      </c>
      <c r="AT56" s="425">
        <v>428831.592</v>
      </c>
      <c r="AU56" s="425">
        <v>2144157.96</v>
      </c>
      <c r="AV56" s="426">
        <v>63.45484879</v>
      </c>
      <c r="AW56" s="426">
        <v>12543.324070000001</v>
      </c>
      <c r="AX56" s="421" t="s">
        <v>343</v>
      </c>
      <c r="AY56" s="427">
        <v>233786.21199274194</v>
      </c>
      <c r="AZ56" s="414">
        <v>88453.46398231764</v>
      </c>
      <c r="BA56" s="414">
        <v>608826.95979394228</v>
      </c>
      <c r="BB56" s="414">
        <v>1008749.42</v>
      </c>
      <c r="BC56" s="424">
        <f t="shared" si="4"/>
        <v>1939816.0557690021</v>
      </c>
      <c r="BD56" s="417">
        <f t="shared" si="11"/>
        <v>1.7460877426797763E-2</v>
      </c>
      <c r="BE56" s="442"/>
      <c r="BF56" s="424">
        <f t="shared" si="5"/>
        <v>1939816.0557690021</v>
      </c>
      <c r="BG56" s="425">
        <v>54282.48</v>
      </c>
      <c r="BH56" s="425">
        <v>0</v>
      </c>
      <c r="BI56" s="425">
        <v>271412.40000000002</v>
      </c>
      <c r="BJ56" s="425">
        <v>7.8547683509999997</v>
      </c>
      <c r="BK56" s="425">
        <v>1587.7625399999999</v>
      </c>
      <c r="BL56" s="425">
        <v>428831.592</v>
      </c>
      <c r="BM56" s="425">
        <v>2144157.96</v>
      </c>
      <c r="BN56" s="426">
        <v>64.930034210000002</v>
      </c>
      <c r="BO56" s="426">
        <v>12543.324070000001</v>
      </c>
      <c r="BP56" s="421" t="s">
        <v>343</v>
      </c>
      <c r="BQ56" s="422">
        <v>238175.53424136277</v>
      </c>
      <c r="BR56" s="423">
        <v>88516.222934106307</v>
      </c>
      <c r="BS56" s="423">
        <v>611475.07637636364</v>
      </c>
      <c r="BT56" s="423">
        <v>1008749.42</v>
      </c>
      <c r="BU56" s="424">
        <f t="shared" si="6"/>
        <v>1946916.2535518329</v>
      </c>
      <c r="BV56" s="417">
        <f t="shared" si="12"/>
        <v>3.6602428161757153E-3</v>
      </c>
      <c r="BW56" s="442"/>
      <c r="BX56" s="424">
        <f t="shared" si="7"/>
        <v>1946916.2535518329</v>
      </c>
      <c r="BY56" s="425">
        <v>54282.48</v>
      </c>
      <c r="BZ56" s="425">
        <v>0</v>
      </c>
      <c r="CA56" s="425">
        <v>271412.40000000002</v>
      </c>
      <c r="CB56" s="425">
        <v>8.6733027800000002</v>
      </c>
      <c r="CC56" s="425">
        <v>1587.7625399999999</v>
      </c>
      <c r="CD56" s="425">
        <v>428831.592</v>
      </c>
      <c r="CE56" s="425">
        <v>2144157.96</v>
      </c>
      <c r="CF56" s="426">
        <v>66.145254269999995</v>
      </c>
      <c r="CG56" s="426">
        <v>12543.324070000001</v>
      </c>
      <c r="CH56" s="421" t="s">
        <v>343</v>
      </c>
    </row>
    <row r="57" spans="1:86" s="365" customFormat="1">
      <c r="A57" s="407" t="str">
        <f t="shared" si="8"/>
        <v>IndustrialResource Acquisition</v>
      </c>
      <c r="B57" s="437" t="s">
        <v>425</v>
      </c>
      <c r="C57" s="438"/>
      <c r="D57" s="439" t="s">
        <v>426</v>
      </c>
      <c r="E57" s="635" t="s">
        <v>20</v>
      </c>
      <c r="F57" s="411" t="s">
        <v>21</v>
      </c>
      <c r="G57" s="411" t="s">
        <v>25</v>
      </c>
      <c r="H57" s="412" t="s">
        <v>18</v>
      </c>
      <c r="I57" s="413"/>
      <c r="J57" s="414"/>
      <c r="K57" s="414"/>
      <c r="L57" s="414"/>
      <c r="M57" s="414">
        <v>6600000</v>
      </c>
      <c r="N57" s="414">
        <v>12130000</v>
      </c>
      <c r="O57" s="415">
        <v>1379766.1687601092</v>
      </c>
      <c r="P57" s="414">
        <v>540496.81182437553</v>
      </c>
      <c r="Q57" s="414">
        <v>4458603.6593277622</v>
      </c>
      <c r="R57" s="414">
        <v>6500000</v>
      </c>
      <c r="S57" s="416">
        <f t="shared" si="13"/>
        <v>12878866.639912248</v>
      </c>
      <c r="T57" s="417">
        <f t="shared" si="9"/>
        <v>6.173673865723394E-2</v>
      </c>
      <c r="U57" s="442"/>
      <c r="V57" s="419">
        <f t="shared" si="14"/>
        <v>12878866.639912248</v>
      </c>
      <c r="W57" s="425">
        <v>0</v>
      </c>
      <c r="X57" s="425">
        <v>0</v>
      </c>
      <c r="Y57" s="425">
        <v>3510000</v>
      </c>
      <c r="Z57" s="425">
        <v>0</v>
      </c>
      <c r="AA57" s="425">
        <v>20533.5</v>
      </c>
      <c r="AB57" s="425">
        <v>0</v>
      </c>
      <c r="AC57" s="425">
        <v>35100000</v>
      </c>
      <c r="AD57" s="426">
        <v>0</v>
      </c>
      <c r="AE57" s="426">
        <v>205335</v>
      </c>
      <c r="AF57" s="421" t="s">
        <v>342</v>
      </c>
      <c r="AG57" s="422">
        <v>1392302.6813854123</v>
      </c>
      <c r="AH57" s="423">
        <v>540852.39002072648</v>
      </c>
      <c r="AI57" s="423">
        <v>4468908.0684069339</v>
      </c>
      <c r="AJ57" s="423">
        <v>6500000</v>
      </c>
      <c r="AK57" s="424">
        <f t="shared" si="15"/>
        <v>12902063.139813073</v>
      </c>
      <c r="AL57" s="417">
        <f t="shared" si="10"/>
        <v>1.8011289773696558E-3</v>
      </c>
      <c r="AM57" s="442"/>
      <c r="AN57" s="424">
        <f t="shared" si="16"/>
        <v>12902063.139813073</v>
      </c>
      <c r="AO57" s="425">
        <v>0</v>
      </c>
      <c r="AP57" s="425">
        <v>0</v>
      </c>
      <c r="AQ57" s="425">
        <v>3510000</v>
      </c>
      <c r="AR57" s="425">
        <v>0</v>
      </c>
      <c r="AS57" s="425">
        <v>20533.5</v>
      </c>
      <c r="AT57" s="425">
        <v>0</v>
      </c>
      <c r="AU57" s="425">
        <v>35100000</v>
      </c>
      <c r="AV57" s="426">
        <v>0</v>
      </c>
      <c r="AW57" s="426">
        <v>205335</v>
      </c>
      <c r="AX57" s="421" t="s">
        <v>343</v>
      </c>
      <c r="AY57" s="427">
        <v>1401837.8721118302</v>
      </c>
      <c r="AZ57" s="414">
        <v>542500.10809966654</v>
      </c>
      <c r="BA57" s="414">
        <v>4532296.5987107763</v>
      </c>
      <c r="BB57" s="414">
        <v>6500000</v>
      </c>
      <c r="BC57" s="424">
        <f t="shared" si="4"/>
        <v>12976634.578922274</v>
      </c>
      <c r="BD57" s="417">
        <f t="shared" si="11"/>
        <v>5.7798073301229417E-3</v>
      </c>
      <c r="BE57" s="442"/>
      <c r="BF57" s="424">
        <f t="shared" si="5"/>
        <v>12976634.578922274</v>
      </c>
      <c r="BG57" s="425">
        <v>0</v>
      </c>
      <c r="BH57" s="425">
        <v>0</v>
      </c>
      <c r="BI57" s="425">
        <v>3510000</v>
      </c>
      <c r="BJ57" s="425">
        <v>0</v>
      </c>
      <c r="BK57" s="425">
        <v>20533.5</v>
      </c>
      <c r="BL57" s="425">
        <v>0</v>
      </c>
      <c r="BM57" s="425">
        <v>35100000</v>
      </c>
      <c r="BN57" s="426">
        <v>0</v>
      </c>
      <c r="BO57" s="426">
        <v>205335</v>
      </c>
      <c r="BP57" s="421" t="s">
        <v>343</v>
      </c>
      <c r="BQ57" s="422">
        <v>1426264.9061833343</v>
      </c>
      <c r="BR57" s="423">
        <v>542937.82993322622</v>
      </c>
      <c r="BS57" s="423">
        <v>4541106.3465075092</v>
      </c>
      <c r="BT57" s="423">
        <v>6500000</v>
      </c>
      <c r="BU57" s="424">
        <f t="shared" si="6"/>
        <v>13010309.08262407</v>
      </c>
      <c r="BV57" s="417">
        <f t="shared" si="12"/>
        <v>2.5950105550859603E-3</v>
      </c>
      <c r="BW57" s="442"/>
      <c r="BX57" s="424">
        <f t="shared" si="7"/>
        <v>13010309.08262407</v>
      </c>
      <c r="BY57" s="425">
        <v>0</v>
      </c>
      <c r="BZ57" s="425">
        <v>0</v>
      </c>
      <c r="CA57" s="425">
        <v>3510000</v>
      </c>
      <c r="CB57" s="425">
        <v>0</v>
      </c>
      <c r="CC57" s="425">
        <v>20533.5</v>
      </c>
      <c r="CD57" s="425">
        <v>0</v>
      </c>
      <c r="CE57" s="425">
        <v>35100000</v>
      </c>
      <c r="CF57" s="426">
        <v>0</v>
      </c>
      <c r="CG57" s="426">
        <v>205335</v>
      </c>
      <c r="CH57" s="421" t="s">
        <v>343</v>
      </c>
    </row>
    <row r="58" spans="1:86" s="365" customFormat="1">
      <c r="A58" s="407" t="str">
        <f t="shared" si="8"/>
        <v>PublicResource Acquisition</v>
      </c>
      <c r="B58" s="408" t="s">
        <v>427</v>
      </c>
      <c r="C58" s="409"/>
      <c r="D58" s="410" t="s">
        <v>428</v>
      </c>
      <c r="E58" s="635" t="s">
        <v>20</v>
      </c>
      <c r="F58" s="411" t="s">
        <v>21</v>
      </c>
      <c r="G58" s="411" t="s">
        <v>30</v>
      </c>
      <c r="H58" s="412" t="s">
        <v>18</v>
      </c>
      <c r="I58" s="428"/>
      <c r="J58" s="414"/>
      <c r="K58" s="414"/>
      <c r="L58" s="414"/>
      <c r="M58" s="414">
        <v>1750000</v>
      </c>
      <c r="N58" s="414">
        <v>1750000</v>
      </c>
      <c r="O58" s="429">
        <v>237830.08611287936</v>
      </c>
      <c r="P58" s="430">
        <v>94554.813980828578</v>
      </c>
      <c r="Q58" s="430">
        <v>842112.79646481434</v>
      </c>
      <c r="R58" s="430">
        <v>750000</v>
      </c>
      <c r="S58" s="445">
        <f t="shared" si="13"/>
        <v>1924497.6965585223</v>
      </c>
      <c r="T58" s="417">
        <f t="shared" si="9"/>
        <v>9.9712969462012732E-2</v>
      </c>
      <c r="U58" s="418"/>
      <c r="V58" s="419">
        <f t="shared" si="14"/>
        <v>1924497.6965585223</v>
      </c>
      <c r="W58" s="434">
        <v>0</v>
      </c>
      <c r="X58" s="434">
        <v>0</v>
      </c>
      <c r="Y58" s="434">
        <v>405000</v>
      </c>
      <c r="Z58" s="434">
        <v>0</v>
      </c>
      <c r="AA58" s="434">
        <v>2369.25</v>
      </c>
      <c r="AB58" s="434">
        <v>0</v>
      </c>
      <c r="AC58" s="434">
        <v>4050000</v>
      </c>
      <c r="AD58" s="435">
        <v>0</v>
      </c>
      <c r="AE58" s="435">
        <v>23692.5</v>
      </c>
      <c r="AF58" s="431" t="s">
        <v>342</v>
      </c>
      <c r="AG58" s="432">
        <v>240334.8485905049</v>
      </c>
      <c r="AH58" s="433">
        <v>94647.704240333478</v>
      </c>
      <c r="AI58" s="433">
        <v>846443.36670508608</v>
      </c>
      <c r="AJ58" s="433">
        <v>750000</v>
      </c>
      <c r="AK58" s="424">
        <f t="shared" si="15"/>
        <v>1931425.9195359244</v>
      </c>
      <c r="AL58" s="417">
        <f t="shared" si="10"/>
        <v>3.6000162482872958E-3</v>
      </c>
      <c r="AM58" s="418"/>
      <c r="AN58" s="424">
        <f t="shared" si="16"/>
        <v>1931425.9195359244</v>
      </c>
      <c r="AO58" s="434">
        <v>0</v>
      </c>
      <c r="AP58" s="434">
        <v>0</v>
      </c>
      <c r="AQ58" s="434">
        <v>405000</v>
      </c>
      <c r="AR58" s="434">
        <v>0</v>
      </c>
      <c r="AS58" s="434">
        <v>2369.25</v>
      </c>
      <c r="AT58" s="434">
        <v>0</v>
      </c>
      <c r="AU58" s="434">
        <v>4050000</v>
      </c>
      <c r="AV58" s="435">
        <v>0</v>
      </c>
      <c r="AW58" s="435">
        <v>23692.5</v>
      </c>
      <c r="AX58" s="431" t="s">
        <v>343</v>
      </c>
      <c r="AY58" s="436">
        <v>242607.91852586929</v>
      </c>
      <c r="AZ58" s="430">
        <v>95067.122803840495</v>
      </c>
      <c r="BA58" s="430">
        <v>863432.75571665727</v>
      </c>
      <c r="BB58" s="430">
        <v>750000</v>
      </c>
      <c r="BC58" s="424">
        <f t="shared" si="4"/>
        <v>1951107.7970463671</v>
      </c>
      <c r="BD58" s="417">
        <f t="shared" si="11"/>
        <v>1.0190335187782774E-2</v>
      </c>
      <c r="BE58" s="418"/>
      <c r="BF58" s="424">
        <f t="shared" si="5"/>
        <v>1951107.7970463671</v>
      </c>
      <c r="BG58" s="434">
        <v>0</v>
      </c>
      <c r="BH58" s="434">
        <v>0</v>
      </c>
      <c r="BI58" s="434">
        <v>405000</v>
      </c>
      <c r="BJ58" s="434">
        <v>0</v>
      </c>
      <c r="BK58" s="434">
        <v>2369.25</v>
      </c>
      <c r="BL58" s="434">
        <v>0</v>
      </c>
      <c r="BM58" s="434">
        <v>4050000</v>
      </c>
      <c r="BN58" s="435">
        <v>0</v>
      </c>
      <c r="BO58" s="435">
        <v>23692.5</v>
      </c>
      <c r="BP58" s="431" t="s">
        <v>343</v>
      </c>
      <c r="BQ58" s="432">
        <v>247028.47076187778</v>
      </c>
      <c r="BR58" s="433">
        <v>95185.661552392266</v>
      </c>
      <c r="BS58" s="433">
        <v>866840.05313119176</v>
      </c>
      <c r="BT58" s="433">
        <v>750000</v>
      </c>
      <c r="BU58" s="424">
        <f t="shared" si="6"/>
        <v>1959054.1854454619</v>
      </c>
      <c r="BV58" s="417">
        <f t="shared" si="12"/>
        <v>4.0727572362348396E-3</v>
      </c>
      <c r="BW58" s="418"/>
      <c r="BX58" s="424">
        <f t="shared" si="7"/>
        <v>1959054.1854454619</v>
      </c>
      <c r="BY58" s="434">
        <v>0</v>
      </c>
      <c r="BZ58" s="434">
        <v>0</v>
      </c>
      <c r="CA58" s="434">
        <v>405000</v>
      </c>
      <c r="CB58" s="434">
        <v>0</v>
      </c>
      <c r="CC58" s="434">
        <v>2369.25</v>
      </c>
      <c r="CD58" s="434">
        <v>0</v>
      </c>
      <c r="CE58" s="434">
        <v>4050000</v>
      </c>
      <c r="CF58" s="435">
        <v>0</v>
      </c>
      <c r="CG58" s="435">
        <v>23692.5</v>
      </c>
      <c r="CH58" s="431" t="s">
        <v>343</v>
      </c>
    </row>
    <row r="59" spans="1:86" s="365" customFormat="1">
      <c r="A59" s="407" t="str">
        <f t="shared" si="8"/>
        <v>PublicResource Acquisition</v>
      </c>
      <c r="B59" s="437" t="s">
        <v>429</v>
      </c>
      <c r="C59" s="438"/>
      <c r="D59" s="439" t="s">
        <v>430</v>
      </c>
      <c r="E59" s="635" t="s">
        <v>20</v>
      </c>
      <c r="F59" s="411" t="s">
        <v>21</v>
      </c>
      <c r="G59" s="411" t="s">
        <v>30</v>
      </c>
      <c r="H59" s="412" t="s">
        <v>18</v>
      </c>
      <c r="I59" s="413"/>
      <c r="J59" s="414"/>
      <c r="K59" s="414"/>
      <c r="L59" s="414">
        <v>428609</v>
      </c>
      <c r="M59" s="414">
        <v>2101168</v>
      </c>
      <c r="N59" s="414">
        <v>2101168</v>
      </c>
      <c r="O59" s="415">
        <v>175714.85696843013</v>
      </c>
      <c r="P59" s="414">
        <v>65164.278089866595</v>
      </c>
      <c r="Q59" s="414">
        <v>435848.89496089262</v>
      </c>
      <c r="R59" s="414">
        <v>1641150</v>
      </c>
      <c r="S59" s="416">
        <f t="shared" si="13"/>
        <v>2317878.0300191892</v>
      </c>
      <c r="T59" s="417">
        <f t="shared" si="9"/>
        <v>0.10313788807900617</v>
      </c>
      <c r="U59" s="442"/>
      <c r="V59" s="419">
        <f t="shared" si="14"/>
        <v>2317878.0300191892</v>
      </c>
      <c r="W59" s="425">
        <v>4923.45</v>
      </c>
      <c r="X59" s="425">
        <v>0</v>
      </c>
      <c r="Y59" s="425">
        <v>1094100</v>
      </c>
      <c r="Z59" s="425">
        <v>0.35</v>
      </c>
      <c r="AA59" s="425">
        <v>6400.49</v>
      </c>
      <c r="AB59" s="425">
        <v>27078.98</v>
      </c>
      <c r="AC59" s="425">
        <v>6017550</v>
      </c>
      <c r="AD59" s="426">
        <v>2.92</v>
      </c>
      <c r="AE59" s="426">
        <v>35202.67</v>
      </c>
      <c r="AF59" s="421" t="s">
        <v>342</v>
      </c>
      <c r="AG59" s="422">
        <v>190388.14782107688</v>
      </c>
      <c r="AH59" s="423">
        <v>65273.370417820071</v>
      </c>
      <c r="AI59" s="423">
        <v>690448.98006508814</v>
      </c>
      <c r="AJ59" s="423">
        <v>1891150.2</v>
      </c>
      <c r="AK59" s="424">
        <f t="shared" si="15"/>
        <v>2837260.6983039849</v>
      </c>
      <c r="AL59" s="417">
        <f t="shared" si="10"/>
        <v>0.22407678987340668</v>
      </c>
      <c r="AM59" s="442"/>
      <c r="AN59" s="424">
        <f t="shared" si="16"/>
        <v>2837260.6983039849</v>
      </c>
      <c r="AO59" s="425">
        <v>5673.4506000000001</v>
      </c>
      <c r="AP59" s="425">
        <v>0</v>
      </c>
      <c r="AQ59" s="425">
        <v>1260766.8</v>
      </c>
      <c r="AR59" s="425">
        <v>0.57653179200000004</v>
      </c>
      <c r="AS59" s="425">
        <v>7375.48578</v>
      </c>
      <c r="AT59" s="425">
        <v>31203.978299999999</v>
      </c>
      <c r="AU59" s="425">
        <v>6934217.4000000004</v>
      </c>
      <c r="AV59" s="426">
        <v>3.5059257380000002</v>
      </c>
      <c r="AW59" s="426">
        <v>40565.17179</v>
      </c>
      <c r="AX59" s="421" t="s">
        <v>343</v>
      </c>
      <c r="AY59" s="427">
        <v>193425.46602473024</v>
      </c>
      <c r="AZ59" s="414">
        <v>65710.267240098663</v>
      </c>
      <c r="BA59" s="414">
        <v>707750.67834451189</v>
      </c>
      <c r="BB59" s="414">
        <v>1891150.2</v>
      </c>
      <c r="BC59" s="424">
        <f t="shared" si="4"/>
        <v>2858036.6116093406</v>
      </c>
      <c r="BD59" s="417">
        <f t="shared" si="11"/>
        <v>7.3225253209106989E-3</v>
      </c>
      <c r="BE59" s="442"/>
      <c r="BF59" s="424">
        <f t="shared" si="5"/>
        <v>2858036.6116093406</v>
      </c>
      <c r="BG59" s="425">
        <v>5673.4506000000001</v>
      </c>
      <c r="BH59" s="425">
        <v>0</v>
      </c>
      <c r="BI59" s="425">
        <v>1260766.8</v>
      </c>
      <c r="BJ59" s="425">
        <v>0.62438451100000003</v>
      </c>
      <c r="BK59" s="425">
        <v>7375.48578</v>
      </c>
      <c r="BL59" s="425">
        <v>31203.978299999999</v>
      </c>
      <c r="BM59" s="425">
        <v>6934217.4000000004</v>
      </c>
      <c r="BN59" s="426">
        <v>3.458517906</v>
      </c>
      <c r="BO59" s="426">
        <v>40565.17179</v>
      </c>
      <c r="BP59" s="421" t="s">
        <v>343</v>
      </c>
      <c r="BQ59" s="422">
        <v>199772.67231231634</v>
      </c>
      <c r="BR59" s="423">
        <v>65847.061058922962</v>
      </c>
      <c r="BS59" s="423">
        <v>711492.89312609215</v>
      </c>
      <c r="BT59" s="423">
        <v>1891150.2</v>
      </c>
      <c r="BU59" s="424">
        <f t="shared" si="6"/>
        <v>2868262.8264973313</v>
      </c>
      <c r="BV59" s="417">
        <f t="shared" si="12"/>
        <v>3.5780559445780877E-3</v>
      </c>
      <c r="BW59" s="442"/>
      <c r="BX59" s="424">
        <f t="shared" si="7"/>
        <v>2868262.8264973313</v>
      </c>
      <c r="BY59" s="425">
        <v>5673.4506000000001</v>
      </c>
      <c r="BZ59" s="425">
        <v>0</v>
      </c>
      <c r="CA59" s="425">
        <v>1260766.8</v>
      </c>
      <c r="CB59" s="425">
        <v>0.76778289200000005</v>
      </c>
      <c r="CC59" s="425">
        <v>7375.48578</v>
      </c>
      <c r="CD59" s="425">
        <v>31203.978299999999</v>
      </c>
      <c r="CE59" s="425">
        <v>6934217.4000000004</v>
      </c>
      <c r="CF59" s="426">
        <v>3.3996644740000002</v>
      </c>
      <c r="CG59" s="426">
        <v>40565.17179</v>
      </c>
      <c r="CH59" s="421" t="s">
        <v>343</v>
      </c>
    </row>
    <row r="60" spans="1:86" s="365" customFormat="1">
      <c r="A60" s="407" t="str">
        <f t="shared" si="8"/>
        <v>ResidentialResource Acquisition</v>
      </c>
      <c r="B60" s="408" t="s">
        <v>431</v>
      </c>
      <c r="C60" s="409"/>
      <c r="D60" s="410" t="s">
        <v>432</v>
      </c>
      <c r="E60" s="635" t="s">
        <v>20</v>
      </c>
      <c r="F60" s="411" t="s">
        <v>21</v>
      </c>
      <c r="G60" s="411" t="s">
        <v>17</v>
      </c>
      <c r="H60" s="412" t="s">
        <v>18</v>
      </c>
      <c r="I60" s="428"/>
      <c r="J60" s="414">
        <v>374525</v>
      </c>
      <c r="K60" s="414"/>
      <c r="L60" s="414">
        <v>6783</v>
      </c>
      <c r="M60" s="414">
        <v>374525</v>
      </c>
      <c r="N60" s="414">
        <v>374525</v>
      </c>
      <c r="O60" s="429">
        <v>38370.155254536396</v>
      </c>
      <c r="P60" s="430">
        <v>609.46410903801859</v>
      </c>
      <c r="Q60" s="430">
        <v>65724.356214825602</v>
      </c>
      <c r="R60" s="430">
        <v>300000</v>
      </c>
      <c r="S60" s="445">
        <f t="shared" si="13"/>
        <v>404703.97557840002</v>
      </c>
      <c r="T60" s="417">
        <f t="shared" si="9"/>
        <v>8.0579335367198496E-2</v>
      </c>
      <c r="U60" s="418"/>
      <c r="V60" s="419">
        <f t="shared" si="14"/>
        <v>404703.97557840002</v>
      </c>
      <c r="W60" s="434">
        <v>0</v>
      </c>
      <c r="X60" s="434">
        <v>0</v>
      </c>
      <c r="Y60" s="434">
        <v>42000</v>
      </c>
      <c r="Z60" s="434">
        <v>0</v>
      </c>
      <c r="AA60" s="434">
        <v>245.7</v>
      </c>
      <c r="AB60" s="434">
        <v>0</v>
      </c>
      <c r="AC60" s="434">
        <v>693000</v>
      </c>
      <c r="AD60" s="435">
        <v>0</v>
      </c>
      <c r="AE60" s="435">
        <v>4054.05</v>
      </c>
      <c r="AF60" s="431" t="s">
        <v>342</v>
      </c>
      <c r="AG60" s="432">
        <v>39110.005500854131</v>
      </c>
      <c r="AH60" s="433">
        <v>625.66617748658939</v>
      </c>
      <c r="AI60" s="433">
        <v>66883.013002765234</v>
      </c>
      <c r="AJ60" s="433">
        <v>300000</v>
      </c>
      <c r="AK60" s="424">
        <f t="shared" si="15"/>
        <v>406618.68468110595</v>
      </c>
      <c r="AL60" s="417">
        <f t="shared" si="10"/>
        <v>4.7311348992049003E-3</v>
      </c>
      <c r="AM60" s="418"/>
      <c r="AN60" s="424">
        <f t="shared" si="16"/>
        <v>406618.68468110595</v>
      </c>
      <c r="AO60" s="434">
        <v>0</v>
      </c>
      <c r="AP60" s="434">
        <v>0</v>
      </c>
      <c r="AQ60" s="434">
        <v>42000</v>
      </c>
      <c r="AR60" s="434">
        <v>0</v>
      </c>
      <c r="AS60" s="434">
        <v>245.7</v>
      </c>
      <c r="AT60" s="434">
        <v>0</v>
      </c>
      <c r="AU60" s="434">
        <v>693000</v>
      </c>
      <c r="AV60" s="435">
        <v>0</v>
      </c>
      <c r="AW60" s="435">
        <v>4054.05</v>
      </c>
      <c r="AX60" s="431" t="s">
        <v>343</v>
      </c>
      <c r="AY60" s="436">
        <v>39771.410023634737</v>
      </c>
      <c r="AZ60" s="430">
        <v>643.14443625816398</v>
      </c>
      <c r="BA60" s="430">
        <v>68169.885109617942</v>
      </c>
      <c r="BB60" s="430">
        <v>300000</v>
      </c>
      <c r="BC60" s="424">
        <f t="shared" si="4"/>
        <v>408584.43956951087</v>
      </c>
      <c r="BD60" s="417">
        <f t="shared" si="11"/>
        <v>4.8343938989094341E-3</v>
      </c>
      <c r="BE60" s="418"/>
      <c r="BF60" s="424">
        <f t="shared" si="5"/>
        <v>408584.43956951087</v>
      </c>
      <c r="BG60" s="434">
        <v>0</v>
      </c>
      <c r="BH60" s="434">
        <v>0</v>
      </c>
      <c r="BI60" s="434">
        <v>42000</v>
      </c>
      <c r="BJ60" s="434">
        <v>0</v>
      </c>
      <c r="BK60" s="434">
        <v>245.7</v>
      </c>
      <c r="BL60" s="434">
        <v>0</v>
      </c>
      <c r="BM60" s="434">
        <v>693000</v>
      </c>
      <c r="BN60" s="435">
        <v>0</v>
      </c>
      <c r="BO60" s="435">
        <v>4054.05</v>
      </c>
      <c r="BP60" s="431" t="s">
        <v>343</v>
      </c>
      <c r="BQ60" s="432">
        <v>40981.414829382367</v>
      </c>
      <c r="BR60" s="433">
        <v>661.39950653069752</v>
      </c>
      <c r="BS60" s="433">
        <v>69528.905932330759</v>
      </c>
      <c r="BT60" s="433">
        <v>300000</v>
      </c>
      <c r="BU60" s="424">
        <f t="shared" si="6"/>
        <v>411171.72026824381</v>
      </c>
      <c r="BV60" s="417">
        <f t="shared" si="12"/>
        <v>6.3323035538478322E-3</v>
      </c>
      <c r="BW60" s="418"/>
      <c r="BX60" s="424">
        <f t="shared" si="7"/>
        <v>411171.72026824381</v>
      </c>
      <c r="BY60" s="434">
        <v>0</v>
      </c>
      <c r="BZ60" s="434">
        <v>0</v>
      </c>
      <c r="CA60" s="434">
        <v>42000</v>
      </c>
      <c r="CB60" s="434">
        <v>0</v>
      </c>
      <c r="CC60" s="434">
        <v>245.7</v>
      </c>
      <c r="CD60" s="434">
        <v>0</v>
      </c>
      <c r="CE60" s="434">
        <v>693000</v>
      </c>
      <c r="CF60" s="435">
        <v>0</v>
      </c>
      <c r="CG60" s="435">
        <v>4054.05</v>
      </c>
      <c r="CH60" s="431" t="s">
        <v>343</v>
      </c>
    </row>
    <row r="61" spans="1:86" s="365" customFormat="1">
      <c r="A61" s="407" t="str">
        <f t="shared" si="8"/>
        <v>ResidentialEquity</v>
      </c>
      <c r="B61" s="437" t="s">
        <v>433</v>
      </c>
      <c r="C61" s="438"/>
      <c r="D61" s="439" t="s">
        <v>434</v>
      </c>
      <c r="E61" s="635" t="s">
        <v>20</v>
      </c>
      <c r="F61" s="411" t="s">
        <v>21</v>
      </c>
      <c r="G61" s="411" t="s">
        <v>17</v>
      </c>
      <c r="H61" s="412" t="s">
        <v>26</v>
      </c>
      <c r="I61" s="413"/>
      <c r="J61" s="414">
        <v>1166123</v>
      </c>
      <c r="K61" s="414"/>
      <c r="L61" s="414">
        <v>445754</v>
      </c>
      <c r="M61" s="414">
        <v>3316158</v>
      </c>
      <c r="N61" s="414">
        <v>3316158</v>
      </c>
      <c r="O61" s="415">
        <v>246426.42952701682</v>
      </c>
      <c r="P61" s="414">
        <v>128329.46410903802</v>
      </c>
      <c r="Q61" s="414">
        <v>1345391.4818860784</v>
      </c>
      <c r="R61" s="414">
        <v>3087898.08</v>
      </c>
      <c r="S61" s="416">
        <f t="shared" si="13"/>
        <v>4808045.455522133</v>
      </c>
      <c r="T61" s="417">
        <f t="shared" si="9"/>
        <v>0.44988431055520667</v>
      </c>
      <c r="U61" s="442"/>
      <c r="V61" s="419">
        <f t="shared" si="14"/>
        <v>4808045.455522133</v>
      </c>
      <c r="W61" s="425">
        <v>80512.679999999993</v>
      </c>
      <c r="X61" s="425">
        <v>0</v>
      </c>
      <c r="Y61" s="425">
        <v>134187.79999999999</v>
      </c>
      <c r="Z61" s="425">
        <v>32.229999999999997</v>
      </c>
      <c r="AA61" s="425">
        <v>785</v>
      </c>
      <c r="AB61" s="425">
        <v>1368715.56</v>
      </c>
      <c r="AC61" s="425">
        <v>2281192.6</v>
      </c>
      <c r="AD61" s="426">
        <v>689.9</v>
      </c>
      <c r="AE61" s="426">
        <v>13344.98</v>
      </c>
      <c r="AF61" s="421" t="s">
        <v>342</v>
      </c>
      <c r="AG61" s="422">
        <v>250738.51675211411</v>
      </c>
      <c r="AH61" s="423">
        <v>128345.66617748659</v>
      </c>
      <c r="AI61" s="423">
        <v>1346489.2946732901</v>
      </c>
      <c r="AJ61" s="423">
        <v>3087898.08</v>
      </c>
      <c r="AK61" s="424">
        <f t="shared" si="15"/>
        <v>4813471.5576028908</v>
      </c>
      <c r="AL61" s="417">
        <f t="shared" si="10"/>
        <v>1.1285463357102307E-3</v>
      </c>
      <c r="AM61" s="442"/>
      <c r="AN61" s="424">
        <f t="shared" si="16"/>
        <v>4813471.5576028908</v>
      </c>
      <c r="AO61" s="425">
        <v>80512.679999999993</v>
      </c>
      <c r="AP61" s="425">
        <v>0</v>
      </c>
      <c r="AQ61" s="425">
        <v>134187.79999999999</v>
      </c>
      <c r="AR61" s="425">
        <v>35.584623190000002</v>
      </c>
      <c r="AS61" s="425">
        <v>784.99863000000005</v>
      </c>
      <c r="AT61" s="425">
        <v>1368715.56</v>
      </c>
      <c r="AU61" s="425">
        <v>2281192.6</v>
      </c>
      <c r="AV61" s="426">
        <v>705.83907829999998</v>
      </c>
      <c r="AW61" s="426">
        <v>13344.976710000001</v>
      </c>
      <c r="AX61" s="421" t="s">
        <v>343</v>
      </c>
      <c r="AY61" s="427">
        <v>253422.29204302083</v>
      </c>
      <c r="AZ61" s="414">
        <v>128363.14443625817</v>
      </c>
      <c r="BA61" s="414">
        <v>1347783.3732519606</v>
      </c>
      <c r="BB61" s="414">
        <v>3087898.08</v>
      </c>
      <c r="BC61" s="424">
        <f t="shared" si="4"/>
        <v>4817466.8897312395</v>
      </c>
      <c r="BD61" s="417">
        <f t="shared" si="11"/>
        <v>8.3003131534830049E-4</v>
      </c>
      <c r="BE61" s="442"/>
      <c r="BF61" s="424">
        <f t="shared" si="5"/>
        <v>4817466.8897312395</v>
      </c>
      <c r="BG61" s="425">
        <v>80512.679999999993</v>
      </c>
      <c r="BH61" s="425">
        <v>0</v>
      </c>
      <c r="BI61" s="425">
        <v>134187.79999999999</v>
      </c>
      <c r="BJ61" s="425">
        <v>37.019898329999997</v>
      </c>
      <c r="BK61" s="425">
        <v>784.99863000000005</v>
      </c>
      <c r="BL61" s="425">
        <v>1368715.56</v>
      </c>
      <c r="BM61" s="425">
        <v>2281192.6</v>
      </c>
      <c r="BN61" s="426">
        <v>719.28120390000004</v>
      </c>
      <c r="BO61" s="426">
        <v>13344.976710000001</v>
      </c>
      <c r="BP61" s="421" t="s">
        <v>343</v>
      </c>
      <c r="BQ61" s="422">
        <v>262174.90616411931</v>
      </c>
      <c r="BR61" s="423">
        <v>128381.3995065307</v>
      </c>
      <c r="BS61" s="423">
        <v>1349179.4008341273</v>
      </c>
      <c r="BT61" s="423">
        <v>3087898.08</v>
      </c>
      <c r="BU61" s="424">
        <f t="shared" si="6"/>
        <v>4827633.7865047771</v>
      </c>
      <c r="BV61" s="417">
        <f t="shared" si="12"/>
        <v>2.1104237986999054E-3</v>
      </c>
      <c r="BW61" s="442"/>
      <c r="BX61" s="424">
        <f t="shared" si="7"/>
        <v>4827633.7865047771</v>
      </c>
      <c r="BY61" s="425">
        <v>80512.679999999993</v>
      </c>
      <c r="BZ61" s="425">
        <v>0</v>
      </c>
      <c r="CA61" s="425">
        <v>134187.79999999999</v>
      </c>
      <c r="CB61" s="425">
        <v>37.996400129999998</v>
      </c>
      <c r="CC61" s="425">
        <v>784.99863000000005</v>
      </c>
      <c r="CD61" s="425">
        <v>1368715.56</v>
      </c>
      <c r="CE61" s="425">
        <v>2281192.6</v>
      </c>
      <c r="CF61" s="426">
        <v>732.15887320000002</v>
      </c>
      <c r="CG61" s="426">
        <v>13344.976710000001</v>
      </c>
      <c r="CH61" s="421" t="s">
        <v>343</v>
      </c>
    </row>
    <row r="62" spans="1:86" s="365" customFormat="1">
      <c r="A62" s="407" t="str">
        <f t="shared" si="8"/>
        <v>ResidentialEquity</v>
      </c>
      <c r="B62" s="437" t="s">
        <v>435</v>
      </c>
      <c r="C62" s="438"/>
      <c r="D62" s="439" t="s">
        <v>436</v>
      </c>
      <c r="E62" s="635" t="s">
        <v>20</v>
      </c>
      <c r="F62" s="411" t="s">
        <v>21</v>
      </c>
      <c r="G62" s="411" t="s">
        <v>17</v>
      </c>
      <c r="H62" s="412" t="s">
        <v>26</v>
      </c>
      <c r="I62" s="413"/>
      <c r="J62" s="414"/>
      <c r="K62" s="414"/>
      <c r="L62" s="414">
        <v>852664</v>
      </c>
      <c r="M62" s="414">
        <v>1699958</v>
      </c>
      <c r="N62" s="414">
        <v>1699958</v>
      </c>
      <c r="O62" s="429">
        <v>174824.29653946569</v>
      </c>
      <c r="P62" s="430">
        <v>63609.464109038017</v>
      </c>
      <c r="Q62" s="430">
        <v>445988.45354700106</v>
      </c>
      <c r="R62" s="430">
        <v>1971994.78</v>
      </c>
      <c r="S62" s="445">
        <f t="shared" si="13"/>
        <v>2656416.994195505</v>
      </c>
      <c r="T62" s="417">
        <f t="shared" si="9"/>
        <v>0.56263683820159383</v>
      </c>
      <c r="U62" s="442"/>
      <c r="V62" s="419">
        <f t="shared" si="14"/>
        <v>2656416.994195505</v>
      </c>
      <c r="W62" s="434">
        <v>238202.81</v>
      </c>
      <c r="X62" s="434">
        <v>75.22</v>
      </c>
      <c r="Y62" s="434">
        <v>125369.9</v>
      </c>
      <c r="Z62" s="434">
        <v>95.35</v>
      </c>
      <c r="AA62" s="434">
        <v>733.41</v>
      </c>
      <c r="AB62" s="434">
        <v>2620230.91</v>
      </c>
      <c r="AC62" s="434">
        <v>1379068.9</v>
      </c>
      <c r="AD62" s="435">
        <v>1239.6199999999999</v>
      </c>
      <c r="AE62" s="435">
        <v>8067.55</v>
      </c>
      <c r="AF62" s="431" t="s">
        <v>342</v>
      </c>
      <c r="AG62" s="432">
        <v>177417.83046652609</v>
      </c>
      <c r="AH62" s="433">
        <v>63625.666177486586</v>
      </c>
      <c r="AI62" s="433">
        <v>447390.69180079969</v>
      </c>
      <c r="AJ62" s="433">
        <v>1971994.78</v>
      </c>
      <c r="AK62" s="424">
        <f t="shared" si="15"/>
        <v>2660428.9684448121</v>
      </c>
      <c r="AL62" s="417">
        <f t="shared" si="10"/>
        <v>1.5102953557643878E-3</v>
      </c>
      <c r="AM62" s="442"/>
      <c r="AN62" s="424">
        <f t="shared" si="16"/>
        <v>2660428.9684448121</v>
      </c>
      <c r="AO62" s="434">
        <v>238202.81</v>
      </c>
      <c r="AP62" s="434">
        <v>75.221940000000004</v>
      </c>
      <c r="AQ62" s="434">
        <v>125369.9</v>
      </c>
      <c r="AR62" s="434">
        <v>105.27978</v>
      </c>
      <c r="AS62" s="434">
        <v>733.41391499999997</v>
      </c>
      <c r="AT62" s="434">
        <v>2620230.91</v>
      </c>
      <c r="AU62" s="434">
        <v>1379068.9</v>
      </c>
      <c r="AV62" s="435">
        <v>1271.415704</v>
      </c>
      <c r="AW62" s="435">
        <v>8067.5530650000001</v>
      </c>
      <c r="AX62" s="431" t="s">
        <v>343</v>
      </c>
      <c r="AY62" s="436">
        <v>179142.12210197325</v>
      </c>
      <c r="AZ62" s="430">
        <v>63643.144436258161</v>
      </c>
      <c r="BA62" s="430">
        <v>448976.75307458936</v>
      </c>
      <c r="BB62" s="430">
        <v>1971994.78</v>
      </c>
      <c r="BC62" s="424">
        <f t="shared" si="4"/>
        <v>2663756.7996128211</v>
      </c>
      <c r="BD62" s="417">
        <f t="shared" si="11"/>
        <v>1.2508626268470887E-3</v>
      </c>
      <c r="BE62" s="442"/>
      <c r="BF62" s="424">
        <f t="shared" si="5"/>
        <v>2663756.7996128211</v>
      </c>
      <c r="BG62" s="434">
        <v>238202.81</v>
      </c>
      <c r="BH62" s="434">
        <v>75.221940000000004</v>
      </c>
      <c r="BI62" s="434">
        <v>125369.9</v>
      </c>
      <c r="BJ62" s="434">
        <v>109.5261493</v>
      </c>
      <c r="BK62" s="434">
        <v>733.41391499999997</v>
      </c>
      <c r="BL62" s="434">
        <v>2620230.91</v>
      </c>
      <c r="BM62" s="434">
        <v>1379068.9</v>
      </c>
      <c r="BN62" s="435">
        <v>1295.8974350000001</v>
      </c>
      <c r="BO62" s="435">
        <v>8067.5530650000001</v>
      </c>
      <c r="BP62" s="431" t="s">
        <v>343</v>
      </c>
      <c r="BQ62" s="432">
        <v>184240.3314604068</v>
      </c>
      <c r="BR62" s="433">
        <v>63661.399506530695</v>
      </c>
      <c r="BS62" s="433">
        <v>450663.00036054739</v>
      </c>
      <c r="BT62" s="433">
        <v>1971994.78</v>
      </c>
      <c r="BU62" s="424">
        <f t="shared" si="6"/>
        <v>2670559.5113274846</v>
      </c>
      <c r="BV62" s="417">
        <f t="shared" si="12"/>
        <v>2.553803603862155E-3</v>
      </c>
      <c r="BW62" s="442"/>
      <c r="BX62" s="424">
        <f t="shared" si="7"/>
        <v>2670559.5113274846</v>
      </c>
      <c r="BY62" s="434">
        <v>238202.81</v>
      </c>
      <c r="BZ62" s="434">
        <v>75.221940000000004</v>
      </c>
      <c r="CA62" s="434">
        <v>125369.9</v>
      </c>
      <c r="CB62" s="434">
        <v>112.41520319999999</v>
      </c>
      <c r="CC62" s="434">
        <v>733.41391499999997</v>
      </c>
      <c r="CD62" s="434">
        <v>2620230.91</v>
      </c>
      <c r="CE62" s="434">
        <v>1379068.9</v>
      </c>
      <c r="CF62" s="435">
        <v>1318.7093589999999</v>
      </c>
      <c r="CG62" s="435">
        <v>8067.5530650000001</v>
      </c>
      <c r="CH62" s="431" t="s">
        <v>343</v>
      </c>
    </row>
    <row r="63" spans="1:86" s="365" customFormat="1">
      <c r="A63" s="407" t="str">
        <f t="shared" si="8"/>
        <v>WE&amp;TResource Acquisition</v>
      </c>
      <c r="B63" s="450" t="s">
        <v>437</v>
      </c>
      <c r="C63" s="451"/>
      <c r="D63" s="446" t="s">
        <v>438</v>
      </c>
      <c r="E63" s="635" t="s">
        <v>20</v>
      </c>
      <c r="F63" s="411" t="s">
        <v>21</v>
      </c>
      <c r="G63" s="411" t="s">
        <v>32</v>
      </c>
      <c r="H63" s="412" t="s">
        <v>18</v>
      </c>
      <c r="I63" s="413"/>
      <c r="J63" s="414">
        <v>2503015.1800000002</v>
      </c>
      <c r="K63" s="414"/>
      <c r="L63" s="414">
        <v>151493</v>
      </c>
      <c r="M63" s="414">
        <v>1702415</v>
      </c>
      <c r="N63" s="414">
        <v>1702415</v>
      </c>
      <c r="O63" s="415">
        <v>152902.38983771505</v>
      </c>
      <c r="P63" s="414">
        <v>43420.80628774401</v>
      </c>
      <c r="Q63" s="414">
        <v>463417.68816633284</v>
      </c>
      <c r="R63" s="414">
        <v>1110200</v>
      </c>
      <c r="S63" s="416">
        <f t="shared" si="13"/>
        <v>1769940.8842917918</v>
      </c>
      <c r="T63" s="417">
        <f t="shared" si="9"/>
        <v>3.9664761113942147E-2</v>
      </c>
      <c r="U63" s="442"/>
      <c r="V63" s="419">
        <f t="shared" si="14"/>
        <v>1769940.8842917918</v>
      </c>
      <c r="W63" s="425">
        <v>0</v>
      </c>
      <c r="X63" s="425">
        <v>0</v>
      </c>
      <c r="Y63" s="425">
        <v>1330133</v>
      </c>
      <c r="Z63" s="425">
        <v>0</v>
      </c>
      <c r="AA63" s="425">
        <v>7781.28</v>
      </c>
      <c r="AB63" s="425">
        <v>0</v>
      </c>
      <c r="AC63" s="425">
        <v>10382360.32</v>
      </c>
      <c r="AD63" s="426">
        <v>0</v>
      </c>
      <c r="AE63" s="426">
        <v>60736.81</v>
      </c>
      <c r="AF63" s="421" t="s">
        <v>342</v>
      </c>
      <c r="AG63" s="422">
        <v>155204.33049827427</v>
      </c>
      <c r="AH63" s="423">
        <v>43499.224299035093</v>
      </c>
      <c r="AI63" s="423">
        <v>465303.13578962948</v>
      </c>
      <c r="AJ63" s="423">
        <v>1110200</v>
      </c>
      <c r="AK63" s="424">
        <f t="shared" si="15"/>
        <v>1774206.690586939</v>
      </c>
      <c r="AL63" s="417">
        <f t="shared" si="10"/>
        <v>2.410140549329164E-3</v>
      </c>
      <c r="AM63" s="442"/>
      <c r="AN63" s="424">
        <f t="shared" si="16"/>
        <v>1774206.690586939</v>
      </c>
      <c r="AO63" s="425">
        <v>0</v>
      </c>
      <c r="AP63" s="425">
        <v>0</v>
      </c>
      <c r="AQ63" s="425">
        <v>1330133.077</v>
      </c>
      <c r="AR63" s="425">
        <v>0</v>
      </c>
      <c r="AS63" s="425">
        <v>7781.2785000000003</v>
      </c>
      <c r="AT63" s="425">
        <v>0</v>
      </c>
      <c r="AU63" s="425">
        <v>10382360.32</v>
      </c>
      <c r="AV63" s="426">
        <v>0</v>
      </c>
      <c r="AW63" s="426">
        <v>60736.807849999997</v>
      </c>
      <c r="AX63" s="421" t="s">
        <v>343</v>
      </c>
      <c r="AY63" s="427">
        <v>156988.45479122078</v>
      </c>
      <c r="AZ63" s="414">
        <v>43583.819071489517</v>
      </c>
      <c r="BA63" s="414">
        <v>467400.09053393867</v>
      </c>
      <c r="BB63" s="414">
        <v>1110200</v>
      </c>
      <c r="BC63" s="424">
        <f t="shared" si="4"/>
        <v>1778172.3643966489</v>
      </c>
      <c r="BD63" s="417">
        <f t="shared" si="11"/>
        <v>2.2351814085415514E-3</v>
      </c>
      <c r="BE63" s="442"/>
      <c r="BF63" s="424">
        <f t="shared" si="5"/>
        <v>1778172.3643966489</v>
      </c>
      <c r="BG63" s="425">
        <v>0</v>
      </c>
      <c r="BH63" s="425">
        <v>0</v>
      </c>
      <c r="BI63" s="425">
        <v>1330133.077</v>
      </c>
      <c r="BJ63" s="425">
        <v>0</v>
      </c>
      <c r="BK63" s="425">
        <v>7781.2785000000003</v>
      </c>
      <c r="BL63" s="425">
        <v>0</v>
      </c>
      <c r="BM63" s="425">
        <v>10382360.32</v>
      </c>
      <c r="BN63" s="426">
        <v>0</v>
      </c>
      <c r="BO63" s="426">
        <v>60736.807849999997</v>
      </c>
      <c r="BP63" s="421" t="s">
        <v>343</v>
      </c>
      <c r="BQ63" s="422">
        <v>161062.55645959947</v>
      </c>
      <c r="BR63" s="423">
        <v>43672.173611608574</v>
      </c>
      <c r="BS63" s="423">
        <v>469615.7380674525</v>
      </c>
      <c r="BT63" s="423">
        <v>1110200</v>
      </c>
      <c r="BU63" s="424">
        <f t="shared" si="6"/>
        <v>1784550.4681386605</v>
      </c>
      <c r="BV63" s="417">
        <f t="shared" si="12"/>
        <v>3.58688722742339E-3</v>
      </c>
      <c r="BW63" s="442"/>
      <c r="BX63" s="424">
        <f t="shared" si="7"/>
        <v>1784550.4681386605</v>
      </c>
      <c r="BY63" s="425">
        <v>0</v>
      </c>
      <c r="BZ63" s="425">
        <v>0</v>
      </c>
      <c r="CA63" s="425">
        <v>1330133.077</v>
      </c>
      <c r="CB63" s="425">
        <v>0</v>
      </c>
      <c r="CC63" s="425">
        <v>7781.2785000000003</v>
      </c>
      <c r="CD63" s="425">
        <v>0</v>
      </c>
      <c r="CE63" s="425">
        <v>10382360.32</v>
      </c>
      <c r="CF63" s="426">
        <v>0</v>
      </c>
      <c r="CG63" s="426">
        <v>60736.807849999997</v>
      </c>
      <c r="CH63" s="421" t="s">
        <v>343</v>
      </c>
    </row>
    <row r="64" spans="1:86" s="365" customFormat="1">
      <c r="A64" s="407" t="str">
        <f t="shared" si="8"/>
        <v>ResidentialResource Acquisition</v>
      </c>
      <c r="B64" s="437" t="s">
        <v>439</v>
      </c>
      <c r="C64" s="438"/>
      <c r="D64" s="446" t="s">
        <v>440</v>
      </c>
      <c r="E64" s="635" t="s">
        <v>20</v>
      </c>
      <c r="F64" s="411" t="s">
        <v>21</v>
      </c>
      <c r="G64" s="411" t="s">
        <v>17</v>
      </c>
      <c r="H64" s="412" t="s">
        <v>18</v>
      </c>
      <c r="I64" s="413"/>
      <c r="J64" s="414">
        <v>150000</v>
      </c>
      <c r="K64" s="414"/>
      <c r="L64" s="414">
        <v>10012</v>
      </c>
      <c r="M64" s="414">
        <v>150000</v>
      </c>
      <c r="N64" s="414">
        <v>150000</v>
      </c>
      <c r="O64" s="415">
        <v>27587.905267311809</v>
      </c>
      <c r="P64" s="414">
        <v>438.81415850737341</v>
      </c>
      <c r="Q64" s="414">
        <v>47629.732754779114</v>
      </c>
      <c r="R64" s="414">
        <v>125000</v>
      </c>
      <c r="S64" s="416">
        <f t="shared" si="13"/>
        <v>200656.45218059828</v>
      </c>
      <c r="T64" s="417">
        <f t="shared" si="9"/>
        <v>0.33770968120398853</v>
      </c>
      <c r="U64" s="442"/>
      <c r="V64" s="419">
        <f t="shared" si="14"/>
        <v>200656.45218059828</v>
      </c>
      <c r="W64" s="425">
        <v>0</v>
      </c>
      <c r="X64" s="425">
        <v>0</v>
      </c>
      <c r="Y64" s="425">
        <v>32164</v>
      </c>
      <c r="Z64" s="425">
        <v>0</v>
      </c>
      <c r="AA64" s="425">
        <v>188.16</v>
      </c>
      <c r="AB64" s="425">
        <v>0</v>
      </c>
      <c r="AC64" s="425">
        <v>275688.05</v>
      </c>
      <c r="AD64" s="426">
        <v>0</v>
      </c>
      <c r="AE64" s="426">
        <v>1612.78</v>
      </c>
      <c r="AF64" s="421" t="s">
        <v>342</v>
      </c>
      <c r="AG64" s="422">
        <v>28087.294173766146</v>
      </c>
      <c r="AH64" s="423">
        <v>450.47964779034436</v>
      </c>
      <c r="AI64" s="423">
        <v>48184.06002768805</v>
      </c>
      <c r="AJ64" s="423">
        <v>125000</v>
      </c>
      <c r="AK64" s="424">
        <f t="shared" si="15"/>
        <v>201721.83384924455</v>
      </c>
      <c r="AL64" s="417">
        <f t="shared" si="10"/>
        <v>5.3094812405403424E-3</v>
      </c>
      <c r="AM64" s="442"/>
      <c r="AN64" s="424">
        <f t="shared" si="16"/>
        <v>201721.83384924455</v>
      </c>
      <c r="AO64" s="425">
        <v>0</v>
      </c>
      <c r="AP64" s="425">
        <v>0</v>
      </c>
      <c r="AQ64" s="425">
        <v>32164</v>
      </c>
      <c r="AR64" s="425">
        <v>0</v>
      </c>
      <c r="AS64" s="425">
        <v>188.15940000000001</v>
      </c>
      <c r="AT64" s="425">
        <v>0</v>
      </c>
      <c r="AU64" s="425">
        <v>275688.05</v>
      </c>
      <c r="AV64" s="426">
        <v>0</v>
      </c>
      <c r="AW64" s="426">
        <v>1612.775093</v>
      </c>
      <c r="AX64" s="421" t="s">
        <v>343</v>
      </c>
      <c r="AY64" s="427">
        <v>28576.714585052861</v>
      </c>
      <c r="AZ64" s="414">
        <v>463.06399410587801</v>
      </c>
      <c r="BA64" s="414">
        <v>48822.67618260422</v>
      </c>
      <c r="BB64" s="414">
        <v>125000</v>
      </c>
      <c r="BC64" s="424">
        <f t="shared" si="4"/>
        <v>202862.45476176296</v>
      </c>
      <c r="BD64" s="417">
        <f t="shared" si="11"/>
        <v>5.6544246636724797E-3</v>
      </c>
      <c r="BE64" s="442"/>
      <c r="BF64" s="424">
        <f t="shared" si="5"/>
        <v>202862.45476176296</v>
      </c>
      <c r="BG64" s="425">
        <v>0</v>
      </c>
      <c r="BH64" s="425">
        <v>0</v>
      </c>
      <c r="BI64" s="425">
        <v>32164</v>
      </c>
      <c r="BJ64" s="425">
        <v>0</v>
      </c>
      <c r="BK64" s="425">
        <v>188.15940000000001</v>
      </c>
      <c r="BL64" s="425">
        <v>0</v>
      </c>
      <c r="BM64" s="425">
        <v>275688.05</v>
      </c>
      <c r="BN64" s="426">
        <v>0</v>
      </c>
      <c r="BO64" s="426">
        <v>1612.775093</v>
      </c>
      <c r="BP64" s="421" t="s">
        <v>343</v>
      </c>
      <c r="BQ64" s="422">
        <v>29353.470725809559</v>
      </c>
      <c r="BR64" s="423">
        <v>476.20764470210224</v>
      </c>
      <c r="BS64" s="423">
        <v>49506.116916298844</v>
      </c>
      <c r="BT64" s="423">
        <v>125000</v>
      </c>
      <c r="BU64" s="424">
        <f t="shared" si="6"/>
        <v>204335.79528681049</v>
      </c>
      <c r="BV64" s="417">
        <f t="shared" si="12"/>
        <v>7.2627560717324008E-3</v>
      </c>
      <c r="BW64" s="442"/>
      <c r="BX64" s="424">
        <f t="shared" si="7"/>
        <v>204335.79528681049</v>
      </c>
      <c r="BY64" s="425">
        <v>0</v>
      </c>
      <c r="BZ64" s="425">
        <v>0</v>
      </c>
      <c r="CA64" s="425">
        <v>32164</v>
      </c>
      <c r="CB64" s="425">
        <v>0</v>
      </c>
      <c r="CC64" s="425">
        <v>188.15940000000001</v>
      </c>
      <c r="CD64" s="425">
        <v>0</v>
      </c>
      <c r="CE64" s="425">
        <v>275688.05</v>
      </c>
      <c r="CF64" s="426">
        <v>0</v>
      </c>
      <c r="CG64" s="426">
        <v>1612.775093</v>
      </c>
      <c r="CH64" s="421" t="s">
        <v>343</v>
      </c>
    </row>
    <row r="65" spans="1:86" s="365" customFormat="1">
      <c r="A65" s="407" t="str">
        <f t="shared" si="8"/>
        <v>ResidentialMarket Support</v>
      </c>
      <c r="B65" s="408" t="s">
        <v>441</v>
      </c>
      <c r="C65" s="409"/>
      <c r="D65" s="449" t="s">
        <v>442</v>
      </c>
      <c r="E65" s="635" t="s">
        <v>20</v>
      </c>
      <c r="F65" s="411" t="s">
        <v>21</v>
      </c>
      <c r="G65" s="411" t="s">
        <v>17</v>
      </c>
      <c r="H65" s="412" t="s">
        <v>23</v>
      </c>
      <c r="I65" s="428"/>
      <c r="J65" s="414">
        <v>1417500</v>
      </c>
      <c r="K65" s="414"/>
      <c r="L65" s="414">
        <v>1032973</v>
      </c>
      <c r="M65" s="414">
        <v>1556750</v>
      </c>
      <c r="N65" s="414">
        <v>1556750</v>
      </c>
      <c r="O65" s="429">
        <v>202185.32187055083</v>
      </c>
      <c r="P65" s="430">
        <v>90609.464109038017</v>
      </c>
      <c r="Q65" s="430">
        <v>1379613.4818860784</v>
      </c>
      <c r="R65" s="430">
        <v>1500000</v>
      </c>
      <c r="S65" s="445">
        <f t="shared" si="13"/>
        <v>3172408.2678656671</v>
      </c>
      <c r="T65" s="417">
        <f t="shared" si="9"/>
        <v>1.0378405446382959</v>
      </c>
      <c r="U65" s="418"/>
      <c r="V65" s="419">
        <f t="shared" si="14"/>
        <v>3172408.2678656671</v>
      </c>
      <c r="W65" s="434">
        <v>801940.11</v>
      </c>
      <c r="X65" s="434">
        <v>8.5500000000000007</v>
      </c>
      <c r="Y65" s="434">
        <v>81963.95</v>
      </c>
      <c r="Z65" s="434">
        <v>155.19999999999999</v>
      </c>
      <c r="AA65" s="434">
        <v>479.49</v>
      </c>
      <c r="AB65" s="434">
        <v>7334599.0300000003</v>
      </c>
      <c r="AC65" s="434">
        <v>1099600.5900000001</v>
      </c>
      <c r="AD65" s="435">
        <v>1740.06</v>
      </c>
      <c r="AE65" s="435">
        <v>6432.66</v>
      </c>
      <c r="AF65" s="431" t="s">
        <v>342</v>
      </c>
      <c r="AG65" s="432">
        <v>205309.24295230827</v>
      </c>
      <c r="AH65" s="433">
        <v>90625.666177486593</v>
      </c>
      <c r="AI65" s="433">
        <v>1380711.2946732901</v>
      </c>
      <c r="AJ65" s="433">
        <v>1500000</v>
      </c>
      <c r="AK65" s="424">
        <f t="shared" si="15"/>
        <v>3176646.2038030848</v>
      </c>
      <c r="AL65" s="417">
        <f t="shared" si="10"/>
        <v>1.3358734373331053E-3</v>
      </c>
      <c r="AM65" s="418"/>
      <c r="AN65" s="424">
        <f t="shared" si="16"/>
        <v>3176646.2038030848</v>
      </c>
      <c r="AO65" s="434">
        <v>801940.10600000003</v>
      </c>
      <c r="AP65" s="434">
        <v>8.5503</v>
      </c>
      <c r="AQ65" s="434">
        <v>81963.948000000004</v>
      </c>
      <c r="AR65" s="434">
        <v>179.1021499</v>
      </c>
      <c r="AS65" s="434">
        <v>479.48909579999997</v>
      </c>
      <c r="AT65" s="434">
        <v>7334599.0300000003</v>
      </c>
      <c r="AU65" s="434">
        <v>1099600.5900000001</v>
      </c>
      <c r="AV65" s="435">
        <v>1791.112445</v>
      </c>
      <c r="AW65" s="435">
        <v>6432.6634519999998</v>
      </c>
      <c r="AX65" s="431" t="s">
        <v>343</v>
      </c>
      <c r="AY65" s="436">
        <v>207411.08288396645</v>
      </c>
      <c r="AZ65" s="430">
        <v>90643.144436258168</v>
      </c>
      <c r="BA65" s="430">
        <v>1382005.3732519606</v>
      </c>
      <c r="BB65" s="430">
        <v>1500000</v>
      </c>
      <c r="BC65" s="424">
        <f t="shared" si="4"/>
        <v>3180059.6005721851</v>
      </c>
      <c r="BD65" s="417">
        <f t="shared" si="11"/>
        <v>1.0745284649621388E-3</v>
      </c>
      <c r="BE65" s="418"/>
      <c r="BF65" s="424">
        <f t="shared" si="5"/>
        <v>3180059.6005721851</v>
      </c>
      <c r="BG65" s="434">
        <v>801940.10600000003</v>
      </c>
      <c r="BH65" s="434">
        <v>8.5503</v>
      </c>
      <c r="BI65" s="434">
        <v>81963.948000000004</v>
      </c>
      <c r="BJ65" s="434">
        <v>186.59561780000001</v>
      </c>
      <c r="BK65" s="434">
        <v>479.48909579999997</v>
      </c>
      <c r="BL65" s="434">
        <v>7334599.0300000003</v>
      </c>
      <c r="BM65" s="434">
        <v>1099600.5900000001</v>
      </c>
      <c r="BN65" s="435">
        <v>1822.861613</v>
      </c>
      <c r="BO65" s="435">
        <v>6432.6634519999998</v>
      </c>
      <c r="BP65" s="431" t="s">
        <v>343</v>
      </c>
      <c r="BQ65" s="432">
        <v>213547.40357158156</v>
      </c>
      <c r="BR65" s="433">
        <v>90661.399506530695</v>
      </c>
      <c r="BS65" s="433">
        <v>1383401.4008341273</v>
      </c>
      <c r="BT65" s="433">
        <v>1500000</v>
      </c>
      <c r="BU65" s="424">
        <f t="shared" si="6"/>
        <v>3187610.2039122395</v>
      </c>
      <c r="BV65" s="417">
        <f t="shared" si="12"/>
        <v>2.3743590650614926E-3</v>
      </c>
      <c r="BW65" s="418"/>
      <c r="BX65" s="424">
        <f t="shared" si="7"/>
        <v>3187610.2039122395</v>
      </c>
      <c r="BY65" s="434">
        <v>801940.10600000003</v>
      </c>
      <c r="BZ65" s="434">
        <v>8.5503</v>
      </c>
      <c r="CA65" s="434">
        <v>81963.948000000004</v>
      </c>
      <c r="CB65" s="434">
        <v>203.33717089999999</v>
      </c>
      <c r="CC65" s="434">
        <v>479.48909579999997</v>
      </c>
      <c r="CD65" s="434">
        <v>7334599.0300000003</v>
      </c>
      <c r="CE65" s="434">
        <v>1099600.5900000001</v>
      </c>
      <c r="CF65" s="435">
        <v>1851.582713</v>
      </c>
      <c r="CG65" s="435">
        <v>6432.6634519999998</v>
      </c>
      <c r="CH65" s="431" t="s">
        <v>343</v>
      </c>
    </row>
    <row r="66" spans="1:86" s="365" customFormat="1">
      <c r="A66" s="407" t="str">
        <f t="shared" si="8"/>
        <v>ResidentialEquity</v>
      </c>
      <c r="B66" s="437" t="s">
        <v>443</v>
      </c>
      <c r="C66" s="438"/>
      <c r="D66" s="446" t="s">
        <v>444</v>
      </c>
      <c r="E66" s="635" t="s">
        <v>20</v>
      </c>
      <c r="F66" s="411" t="s">
        <v>21</v>
      </c>
      <c r="G66" s="411" t="s">
        <v>17</v>
      </c>
      <c r="H66" s="412" t="s">
        <v>26</v>
      </c>
      <c r="I66" s="413"/>
      <c r="J66" s="414"/>
      <c r="K66" s="414"/>
      <c r="L66" s="414"/>
      <c r="M66" s="414"/>
      <c r="N66" s="414"/>
      <c r="O66" s="415">
        <v>192247.36688305458</v>
      </c>
      <c r="P66" s="414">
        <v>95609.464109038017</v>
      </c>
      <c r="Q66" s="414">
        <v>677727.55087917647</v>
      </c>
      <c r="R66" s="414">
        <v>1207491.3</v>
      </c>
      <c r="S66" s="416">
        <f t="shared" si="13"/>
        <v>2173075.6818712689</v>
      </c>
      <c r="T66" s="417" t="e">
        <f t="shared" si="9"/>
        <v>#DIV/0!</v>
      </c>
      <c r="U66" s="442"/>
      <c r="V66" s="419">
        <f t="shared" si="14"/>
        <v>2173075.6818712689</v>
      </c>
      <c r="W66" s="425">
        <v>84162.14</v>
      </c>
      <c r="X66" s="425">
        <v>0</v>
      </c>
      <c r="Y66" s="425">
        <v>68424.509999999995</v>
      </c>
      <c r="Z66" s="425">
        <v>15.66</v>
      </c>
      <c r="AA66" s="425">
        <v>400.28</v>
      </c>
      <c r="AB66" s="425">
        <v>791124.15</v>
      </c>
      <c r="AC66" s="425">
        <v>643190.37</v>
      </c>
      <c r="AD66" s="426">
        <v>176.46</v>
      </c>
      <c r="AE66" s="426">
        <v>3762.66</v>
      </c>
      <c r="AF66" s="421" t="s">
        <v>342</v>
      </c>
      <c r="AG66" s="422">
        <v>194707.77532514304</v>
      </c>
      <c r="AH66" s="423">
        <v>95625.666177486593</v>
      </c>
      <c r="AI66" s="423">
        <v>679373.37059883412</v>
      </c>
      <c r="AJ66" s="423">
        <v>1207491.3</v>
      </c>
      <c r="AK66" s="424">
        <f t="shared" si="15"/>
        <v>2177198.1121014636</v>
      </c>
      <c r="AL66" s="417">
        <f t="shared" si="10"/>
        <v>1.8970486231040121E-3</v>
      </c>
      <c r="AM66" s="442"/>
      <c r="AN66" s="424">
        <f t="shared" si="16"/>
        <v>2177198.1121014636</v>
      </c>
      <c r="AO66" s="425">
        <v>84162.143609999999</v>
      </c>
      <c r="AP66" s="425">
        <v>0</v>
      </c>
      <c r="AQ66" s="425">
        <v>68424.506999999998</v>
      </c>
      <c r="AR66" s="425">
        <v>17.42222864</v>
      </c>
      <c r="AS66" s="425">
        <v>400.283366</v>
      </c>
      <c r="AT66" s="425">
        <v>791124.14989999996</v>
      </c>
      <c r="AU66" s="425">
        <v>643190.36580000003</v>
      </c>
      <c r="AV66" s="426">
        <v>181.84961659999999</v>
      </c>
      <c r="AW66" s="426">
        <v>3762.6636400000002</v>
      </c>
      <c r="AX66" s="421" t="s">
        <v>343</v>
      </c>
      <c r="AY66" s="427">
        <v>196521.86246305611</v>
      </c>
      <c r="AZ66" s="414">
        <v>95643.144436258168</v>
      </c>
      <c r="BA66" s="414">
        <v>681258.62103956076</v>
      </c>
      <c r="BB66" s="414">
        <v>1207491.3</v>
      </c>
      <c r="BC66" s="424">
        <f t="shared" si="4"/>
        <v>2180914.9279388748</v>
      </c>
      <c r="BD66" s="417">
        <f t="shared" si="11"/>
        <v>1.7071555485704904E-3</v>
      </c>
      <c r="BE66" s="442"/>
      <c r="BF66" s="424">
        <f t="shared" si="5"/>
        <v>2180914.9279388748</v>
      </c>
      <c r="BG66" s="425">
        <v>84162.143609999999</v>
      </c>
      <c r="BH66" s="425">
        <v>0</v>
      </c>
      <c r="BI66" s="425">
        <v>68424.506999999998</v>
      </c>
      <c r="BJ66" s="425">
        <v>18.182709460000002</v>
      </c>
      <c r="BK66" s="425">
        <v>400.283366</v>
      </c>
      <c r="BL66" s="425">
        <v>791124.14989999996</v>
      </c>
      <c r="BM66" s="425">
        <v>643190.36580000003</v>
      </c>
      <c r="BN66" s="426">
        <v>185.96581939999999</v>
      </c>
      <c r="BO66" s="426">
        <v>3762.6636400000002</v>
      </c>
      <c r="BP66" s="421" t="s">
        <v>343</v>
      </c>
      <c r="BQ66" s="422">
        <v>201133.40354769331</v>
      </c>
      <c r="BR66" s="423">
        <v>95661.399506530695</v>
      </c>
      <c r="BS66" s="423">
        <v>683272.09478876402</v>
      </c>
      <c r="BT66" s="423">
        <v>1207491.3</v>
      </c>
      <c r="BU66" s="424">
        <f t="shared" si="6"/>
        <v>2187558.1978429882</v>
      </c>
      <c r="BV66" s="417">
        <f t="shared" si="12"/>
        <v>3.0460930956127453E-3</v>
      </c>
      <c r="BW66" s="442"/>
      <c r="BX66" s="424">
        <f t="shared" si="7"/>
        <v>2187558.1978429882</v>
      </c>
      <c r="BY66" s="425">
        <v>84162.143609999999</v>
      </c>
      <c r="BZ66" s="425">
        <v>0</v>
      </c>
      <c r="CA66" s="425">
        <v>68424.506999999998</v>
      </c>
      <c r="CB66" s="425">
        <v>18.772015540000002</v>
      </c>
      <c r="CC66" s="425">
        <v>400.283366</v>
      </c>
      <c r="CD66" s="425">
        <v>791124.14989999996</v>
      </c>
      <c r="CE66" s="425">
        <v>643190.36580000003</v>
      </c>
      <c r="CF66" s="426">
        <v>189.78981279999999</v>
      </c>
      <c r="CG66" s="426">
        <v>3762.6636400000002</v>
      </c>
      <c r="CH66" s="421" t="s">
        <v>343</v>
      </c>
    </row>
    <row r="67" spans="1:86" s="365" customFormat="1">
      <c r="A67" s="407" t="str">
        <f t="shared" si="8"/>
        <v>ResidentialResource Acquisition</v>
      </c>
      <c r="B67" s="437" t="s">
        <v>445</v>
      </c>
      <c r="C67" s="438"/>
      <c r="D67" s="446" t="s">
        <v>446</v>
      </c>
      <c r="E67" s="635" t="s">
        <v>20</v>
      </c>
      <c r="F67" s="411" t="s">
        <v>21</v>
      </c>
      <c r="G67" s="411" t="s">
        <v>17</v>
      </c>
      <c r="H67" s="412" t="s">
        <v>18</v>
      </c>
      <c r="I67" s="413"/>
      <c r="J67" s="414"/>
      <c r="K67" s="414"/>
      <c r="L67" s="414"/>
      <c r="M67" s="414">
        <v>2033619</v>
      </c>
      <c r="N67" s="414">
        <v>2977855</v>
      </c>
      <c r="O67" s="415">
        <v>192247.53724364069</v>
      </c>
      <c r="P67" s="414">
        <v>95609.464109038017</v>
      </c>
      <c r="Q67" s="414">
        <v>677727.55087917647</v>
      </c>
      <c r="R67" s="414">
        <v>1207498.95</v>
      </c>
      <c r="S67" s="416">
        <f t="shared" si="13"/>
        <v>2173083.5022318549</v>
      </c>
      <c r="T67" s="417">
        <f t="shared" si="9"/>
        <v>-0.27025207666865747</v>
      </c>
      <c r="U67" s="442"/>
      <c r="V67" s="419">
        <f t="shared" si="14"/>
        <v>2173083.5022318549</v>
      </c>
      <c r="W67" s="425">
        <v>34866.53</v>
      </c>
      <c r="X67" s="425">
        <v>0</v>
      </c>
      <c r="Y67" s="425">
        <v>166031.10999999999</v>
      </c>
      <c r="Z67" s="425">
        <v>6.49</v>
      </c>
      <c r="AA67" s="425">
        <v>971.28</v>
      </c>
      <c r="AB67" s="425">
        <v>327745.40000000002</v>
      </c>
      <c r="AC67" s="425">
        <v>1560692.39</v>
      </c>
      <c r="AD67" s="426">
        <v>73.099999999999994</v>
      </c>
      <c r="AE67" s="426">
        <v>9130.0499999999993</v>
      </c>
      <c r="AF67" s="421" t="s">
        <v>342</v>
      </c>
      <c r="AG67" s="422">
        <v>194707.95136662695</v>
      </c>
      <c r="AH67" s="423">
        <v>95625.666177486593</v>
      </c>
      <c r="AI67" s="423">
        <v>679373.37059883412</v>
      </c>
      <c r="AJ67" s="423">
        <v>1207498.95</v>
      </c>
      <c r="AK67" s="424">
        <f t="shared" si="15"/>
        <v>2177205.9381429479</v>
      </c>
      <c r="AL67" s="417">
        <f t="shared" si="10"/>
        <v>1.8970444103316689E-3</v>
      </c>
      <c r="AM67" s="442"/>
      <c r="AN67" s="424">
        <f t="shared" si="16"/>
        <v>2177205.9381429479</v>
      </c>
      <c r="AO67" s="425">
        <v>34866.532180000002</v>
      </c>
      <c r="AP67" s="425">
        <v>0</v>
      </c>
      <c r="AQ67" s="425">
        <v>166031.10560000001</v>
      </c>
      <c r="AR67" s="425">
        <v>7.2176476200000002</v>
      </c>
      <c r="AS67" s="425">
        <v>971.28196790000004</v>
      </c>
      <c r="AT67" s="425">
        <v>327745.40250000003</v>
      </c>
      <c r="AU67" s="425">
        <v>1560692.3929999999</v>
      </c>
      <c r="AV67" s="426">
        <v>75.33631201</v>
      </c>
      <c r="AW67" s="426">
        <v>9130.0504980000005</v>
      </c>
      <c r="AX67" s="421" t="s">
        <v>343</v>
      </c>
      <c r="AY67" s="427">
        <v>196522.04128690786</v>
      </c>
      <c r="AZ67" s="414">
        <v>95643.144436258168</v>
      </c>
      <c r="BA67" s="414">
        <v>681258.62103956076</v>
      </c>
      <c r="BB67" s="414">
        <v>1207498.95</v>
      </c>
      <c r="BC67" s="424">
        <f t="shared" si="4"/>
        <v>2180922.7567627267</v>
      </c>
      <c r="BD67" s="417">
        <f t="shared" si="11"/>
        <v>1.7071506900946235E-3</v>
      </c>
      <c r="BE67" s="442"/>
      <c r="BF67" s="424">
        <f t="shared" si="5"/>
        <v>2180922.7567627267</v>
      </c>
      <c r="BG67" s="425">
        <v>34866.532180000002</v>
      </c>
      <c r="BH67" s="425">
        <v>0</v>
      </c>
      <c r="BI67" s="425">
        <v>166031.10560000001</v>
      </c>
      <c r="BJ67" s="425">
        <v>7.5326981630000001</v>
      </c>
      <c r="BK67" s="425">
        <v>971.28196790000004</v>
      </c>
      <c r="BL67" s="425">
        <v>327745.40250000003</v>
      </c>
      <c r="BM67" s="425">
        <v>1560692.3929999999</v>
      </c>
      <c r="BN67" s="426">
        <v>77.041564640000004</v>
      </c>
      <c r="BO67" s="426">
        <v>9130.0504980000005</v>
      </c>
      <c r="BP67" s="421" t="s">
        <v>343</v>
      </c>
      <c r="BQ67" s="422">
        <v>201133.59488065052</v>
      </c>
      <c r="BR67" s="423">
        <v>95661.399506530695</v>
      </c>
      <c r="BS67" s="423">
        <v>683272.09478876402</v>
      </c>
      <c r="BT67" s="423">
        <v>1207498.95</v>
      </c>
      <c r="BU67" s="424">
        <f t="shared" si="6"/>
        <v>2187566.0391759453</v>
      </c>
      <c r="BV67" s="417">
        <f t="shared" si="12"/>
        <v>3.0460878967944996E-3</v>
      </c>
      <c r="BW67" s="442"/>
      <c r="BX67" s="424">
        <f t="shared" si="7"/>
        <v>2187566.0391759453</v>
      </c>
      <c r="BY67" s="425">
        <v>34866.532180000002</v>
      </c>
      <c r="BZ67" s="425">
        <v>0</v>
      </c>
      <c r="CA67" s="425">
        <v>166031.10560000001</v>
      </c>
      <c r="CB67" s="425">
        <v>7.7768347589999998</v>
      </c>
      <c r="CC67" s="425">
        <v>971.28196790000004</v>
      </c>
      <c r="CD67" s="425">
        <v>327745.40250000003</v>
      </c>
      <c r="CE67" s="425">
        <v>1560692.3929999999</v>
      </c>
      <c r="CF67" s="426">
        <v>78.625761339999997</v>
      </c>
      <c r="CG67" s="426">
        <v>9130.0504980000005</v>
      </c>
      <c r="CH67" s="421" t="s">
        <v>343</v>
      </c>
    </row>
    <row r="68" spans="1:86" s="365" customFormat="1">
      <c r="A68" s="407" t="str">
        <f t="shared" si="8"/>
        <v>ResidentialResource Acquisition</v>
      </c>
      <c r="B68" s="437" t="s">
        <v>447</v>
      </c>
      <c r="C68" s="438"/>
      <c r="D68" s="443" t="s">
        <v>448</v>
      </c>
      <c r="E68" s="635" t="s">
        <v>20</v>
      </c>
      <c r="F68" s="411" t="s">
        <v>21</v>
      </c>
      <c r="G68" s="411" t="s">
        <v>17</v>
      </c>
      <c r="H68" s="412" t="s">
        <v>18</v>
      </c>
      <c r="I68" s="444"/>
      <c r="J68" s="414"/>
      <c r="K68" s="414"/>
      <c r="L68" s="414"/>
      <c r="M68" s="414">
        <v>648338</v>
      </c>
      <c r="N68" s="414">
        <v>648338</v>
      </c>
      <c r="O68" s="415">
        <v>124120.71541211012</v>
      </c>
      <c r="P68" s="414">
        <v>10573.464109038019</v>
      </c>
      <c r="Q68" s="414">
        <v>434942.76133965031</v>
      </c>
      <c r="R68" s="414">
        <v>450182</v>
      </c>
      <c r="S68" s="416">
        <f t="shared" si="13"/>
        <v>1019818.9408607985</v>
      </c>
      <c r="T68" s="417">
        <f t="shared" si="9"/>
        <v>0.5729741907165683</v>
      </c>
      <c r="U68" s="442"/>
      <c r="V68" s="419">
        <f t="shared" si="14"/>
        <v>1019818.9408607985</v>
      </c>
      <c r="W68" s="425">
        <v>308132</v>
      </c>
      <c r="X68" s="425">
        <v>257.18</v>
      </c>
      <c r="Y68" s="425">
        <v>37386.79</v>
      </c>
      <c r="Z68" s="425">
        <v>146.87</v>
      </c>
      <c r="AA68" s="425">
        <v>218.71</v>
      </c>
      <c r="AB68" s="425">
        <v>4621980</v>
      </c>
      <c r="AC68" s="425">
        <v>547715.36</v>
      </c>
      <c r="AD68" s="426">
        <v>6844.6</v>
      </c>
      <c r="AE68" s="426">
        <v>3204.13</v>
      </c>
      <c r="AF68" s="421" t="s">
        <v>342</v>
      </c>
      <c r="AG68" s="422">
        <v>126347.20363100976</v>
      </c>
      <c r="AH68" s="423">
        <v>10589.66617748659</v>
      </c>
      <c r="AI68" s="423">
        <v>444128.99932573718</v>
      </c>
      <c r="AJ68" s="423">
        <v>450182</v>
      </c>
      <c r="AK68" s="424">
        <f t="shared" si="15"/>
        <v>1031247.8691342336</v>
      </c>
      <c r="AL68" s="417">
        <f t="shared" si="10"/>
        <v>1.1206820951754716E-2</v>
      </c>
      <c r="AM68" s="442"/>
      <c r="AN68" s="424">
        <f t="shared" si="16"/>
        <v>1031247.8691342336</v>
      </c>
      <c r="AO68" s="425">
        <v>308132</v>
      </c>
      <c r="AP68" s="425">
        <v>257.18</v>
      </c>
      <c r="AQ68" s="425">
        <v>37386.78989</v>
      </c>
      <c r="AR68" s="425">
        <v>149.79105229999999</v>
      </c>
      <c r="AS68" s="425">
        <v>218.71272089999999</v>
      </c>
      <c r="AT68" s="425">
        <v>4621980</v>
      </c>
      <c r="AU68" s="425">
        <v>547715.36190000002</v>
      </c>
      <c r="AV68" s="426">
        <v>7007.8894099999998</v>
      </c>
      <c r="AW68" s="426">
        <v>3204.1348670000002</v>
      </c>
      <c r="AX68" s="421" t="s">
        <v>343</v>
      </c>
      <c r="AY68" s="427">
        <v>128383.81935918875</v>
      </c>
      <c r="AZ68" s="414">
        <v>10607.144436258164</v>
      </c>
      <c r="BA68" s="414">
        <v>454198.02794600197</v>
      </c>
      <c r="BB68" s="414">
        <v>450182</v>
      </c>
      <c r="BC68" s="424">
        <f t="shared" si="4"/>
        <v>1043370.9917414489</v>
      </c>
      <c r="BD68" s="417">
        <f t="shared" si="11"/>
        <v>1.1755779546379153E-2</v>
      </c>
      <c r="BE68" s="442"/>
      <c r="BF68" s="424">
        <f t="shared" si="5"/>
        <v>1043370.9917414489</v>
      </c>
      <c r="BG68" s="425">
        <v>308132</v>
      </c>
      <c r="BH68" s="425">
        <v>257.18</v>
      </c>
      <c r="BI68" s="425">
        <v>37386.78989</v>
      </c>
      <c r="BJ68" s="425">
        <v>160.90994480000001</v>
      </c>
      <c r="BK68" s="425">
        <v>218.71272089999999</v>
      </c>
      <c r="BL68" s="425">
        <v>4621980</v>
      </c>
      <c r="BM68" s="425">
        <v>547715.36190000002</v>
      </c>
      <c r="BN68" s="426">
        <v>7142.4579869999998</v>
      </c>
      <c r="BO68" s="426">
        <v>3204.1348670000002</v>
      </c>
      <c r="BP68" s="421" t="s">
        <v>343</v>
      </c>
      <c r="BQ68" s="422">
        <v>131840.48375010188</v>
      </c>
      <c r="BR68" s="423">
        <v>10625.399506530697</v>
      </c>
      <c r="BS68" s="423">
        <v>464779.00508272316</v>
      </c>
      <c r="BT68" s="423">
        <v>450182</v>
      </c>
      <c r="BU68" s="424">
        <f t="shared" si="6"/>
        <v>1057426.8883393556</v>
      </c>
      <c r="BV68" s="417">
        <f t="shared" si="12"/>
        <v>1.3471619116462667E-2</v>
      </c>
      <c r="BW68" s="442"/>
      <c r="BX68" s="424">
        <f t="shared" si="7"/>
        <v>1057426.8883393556</v>
      </c>
      <c r="BY68" s="425">
        <v>308132</v>
      </c>
      <c r="BZ68" s="425">
        <v>257.18</v>
      </c>
      <c r="CA68" s="425">
        <v>37386.78989</v>
      </c>
      <c r="CB68" s="425">
        <v>155.44537059999999</v>
      </c>
      <c r="CC68" s="425">
        <v>218.71272089999999</v>
      </c>
      <c r="CD68" s="425">
        <v>4621980</v>
      </c>
      <c r="CE68" s="425">
        <v>547715.36190000002</v>
      </c>
      <c r="CF68" s="426">
        <v>7270.4012750000002</v>
      </c>
      <c r="CG68" s="426">
        <v>3204.1348670000002</v>
      </c>
      <c r="CH68" s="421" t="s">
        <v>343</v>
      </c>
    </row>
    <row r="69" spans="1:86" s="365" customFormat="1">
      <c r="A69" s="407" t="str">
        <f t="shared" si="8"/>
        <v>ResidentialEquity</v>
      </c>
      <c r="B69" s="437" t="s">
        <v>449</v>
      </c>
      <c r="C69" s="438"/>
      <c r="D69" s="439" t="s">
        <v>450</v>
      </c>
      <c r="E69" s="635" t="s">
        <v>20</v>
      </c>
      <c r="F69" s="411" t="s">
        <v>21</v>
      </c>
      <c r="G69" s="411" t="s">
        <v>17</v>
      </c>
      <c r="H69" s="412" t="s">
        <v>26</v>
      </c>
      <c r="I69" s="413"/>
      <c r="J69" s="414">
        <v>2193000</v>
      </c>
      <c r="K69" s="414"/>
      <c r="L69" s="414">
        <v>1365149</v>
      </c>
      <c r="M69" s="414">
        <v>5244993</v>
      </c>
      <c r="N69" s="414">
        <v>6017996</v>
      </c>
      <c r="O69" s="415">
        <v>486632.71385781781</v>
      </c>
      <c r="P69" s="414">
        <v>256859.464109038</v>
      </c>
      <c r="Q69" s="414">
        <v>2389155.811960774</v>
      </c>
      <c r="R69" s="414">
        <v>2168747</v>
      </c>
      <c r="S69" s="416">
        <f t="shared" si="13"/>
        <v>5301394.9899276299</v>
      </c>
      <c r="T69" s="417">
        <f t="shared" si="9"/>
        <v>-0.11907635200694219</v>
      </c>
      <c r="U69" s="442"/>
      <c r="V69" s="419">
        <f t="shared" si="14"/>
        <v>5301394.9899276299</v>
      </c>
      <c r="W69" s="425">
        <v>0</v>
      </c>
      <c r="X69" s="425">
        <v>0</v>
      </c>
      <c r="Y69" s="425">
        <v>195187.23</v>
      </c>
      <c r="Z69" s="425">
        <v>0</v>
      </c>
      <c r="AA69" s="425">
        <v>1141.8499999999999</v>
      </c>
      <c r="AB69" s="425">
        <v>0</v>
      </c>
      <c r="AC69" s="425">
        <v>3220589.3</v>
      </c>
      <c r="AD69" s="426">
        <v>0</v>
      </c>
      <c r="AE69" s="426">
        <v>18840.45</v>
      </c>
      <c r="AF69" s="421" t="s">
        <v>342</v>
      </c>
      <c r="AG69" s="422">
        <v>491435.30753654486</v>
      </c>
      <c r="AH69" s="423">
        <v>256875.66617748656</v>
      </c>
      <c r="AI69" s="423">
        <v>2392368.187783475</v>
      </c>
      <c r="AJ69" s="423">
        <v>2168747</v>
      </c>
      <c r="AK69" s="424">
        <f t="shared" si="15"/>
        <v>5309426.1614975063</v>
      </c>
      <c r="AL69" s="417">
        <f t="shared" si="10"/>
        <v>1.5149166559245584E-3</v>
      </c>
      <c r="AM69" s="442"/>
      <c r="AN69" s="424">
        <f t="shared" si="16"/>
        <v>5309426.1614975063</v>
      </c>
      <c r="AO69" s="425">
        <v>0</v>
      </c>
      <c r="AP69" s="425">
        <v>0</v>
      </c>
      <c r="AQ69" s="425">
        <v>195187.23</v>
      </c>
      <c r="AR69" s="425">
        <v>0</v>
      </c>
      <c r="AS69" s="425">
        <v>1141.845296</v>
      </c>
      <c r="AT69" s="425">
        <v>0</v>
      </c>
      <c r="AU69" s="425">
        <v>3220589.2949999999</v>
      </c>
      <c r="AV69" s="426">
        <v>0</v>
      </c>
      <c r="AW69" s="426">
        <v>18840.447380000001</v>
      </c>
      <c r="AX69" s="421" t="s">
        <v>343</v>
      </c>
      <c r="AY69" s="427">
        <v>494438.8023251759</v>
      </c>
      <c r="AZ69" s="414">
        <v>256893.14443625812</v>
      </c>
      <c r="BA69" s="414">
        <v>2395943.3874449502</v>
      </c>
      <c r="BB69" s="414">
        <v>2168747</v>
      </c>
      <c r="BC69" s="424">
        <f t="shared" si="4"/>
        <v>5316022.3342063837</v>
      </c>
      <c r="BD69" s="417">
        <f t="shared" si="11"/>
        <v>1.2423513404727212E-3</v>
      </c>
      <c r="BE69" s="442"/>
      <c r="BF69" s="424">
        <f t="shared" si="5"/>
        <v>5316022.3342063837</v>
      </c>
      <c r="BG69" s="425">
        <v>0</v>
      </c>
      <c r="BH69" s="425">
        <v>0</v>
      </c>
      <c r="BI69" s="425">
        <v>195187.23</v>
      </c>
      <c r="BJ69" s="425">
        <v>0</v>
      </c>
      <c r="BK69" s="425">
        <v>1141.845296</v>
      </c>
      <c r="BL69" s="425">
        <v>0</v>
      </c>
      <c r="BM69" s="425">
        <v>3220589.2949999999</v>
      </c>
      <c r="BN69" s="426">
        <v>0</v>
      </c>
      <c r="BO69" s="426">
        <v>18840.447380000001</v>
      </c>
      <c r="BP69" s="421" t="s">
        <v>343</v>
      </c>
      <c r="BQ69" s="422">
        <v>504141.83528606978</v>
      </c>
      <c r="BR69" s="423">
        <v>256911.39950653067</v>
      </c>
      <c r="BS69" s="423">
        <v>2399721.9192691576</v>
      </c>
      <c r="BT69" s="423">
        <v>2168747</v>
      </c>
      <c r="BU69" s="424">
        <f t="shared" si="6"/>
        <v>5329522.154061758</v>
      </c>
      <c r="BV69" s="417">
        <f t="shared" si="12"/>
        <v>2.539458829679586E-3</v>
      </c>
      <c r="BW69" s="442"/>
      <c r="BX69" s="424">
        <f t="shared" si="7"/>
        <v>5329522.154061758</v>
      </c>
      <c r="BY69" s="425">
        <v>0</v>
      </c>
      <c r="BZ69" s="425">
        <v>0</v>
      </c>
      <c r="CA69" s="425">
        <v>195187.23</v>
      </c>
      <c r="CB69" s="425">
        <v>0</v>
      </c>
      <c r="CC69" s="425">
        <v>1141.845296</v>
      </c>
      <c r="CD69" s="425">
        <v>0</v>
      </c>
      <c r="CE69" s="425">
        <v>3220589.2949999999</v>
      </c>
      <c r="CF69" s="426">
        <v>0</v>
      </c>
      <c r="CG69" s="426">
        <v>18840.447380000001</v>
      </c>
      <c r="CH69" s="421" t="s">
        <v>343</v>
      </c>
    </row>
    <row r="70" spans="1:86" s="365" customFormat="1">
      <c r="A70" s="407" t="str">
        <f t="shared" si="8"/>
        <v>ResidentialResource Acquisition</v>
      </c>
      <c r="B70" s="437" t="s">
        <v>451</v>
      </c>
      <c r="C70" s="438"/>
      <c r="D70" s="439" t="s">
        <v>452</v>
      </c>
      <c r="E70" s="635" t="s">
        <v>20</v>
      </c>
      <c r="F70" s="411" t="s">
        <v>21</v>
      </c>
      <c r="G70" s="411" t="s">
        <v>17</v>
      </c>
      <c r="H70" s="412" t="s">
        <v>18</v>
      </c>
      <c r="I70" s="413"/>
      <c r="J70" s="414"/>
      <c r="K70" s="414"/>
      <c r="L70" s="414"/>
      <c r="M70" s="414"/>
      <c r="N70" s="414"/>
      <c r="O70" s="415">
        <v>306820.45855622541</v>
      </c>
      <c r="P70" s="414">
        <v>158109.46410903803</v>
      </c>
      <c r="Q70" s="414">
        <v>1393230.3849638584</v>
      </c>
      <c r="R70" s="414">
        <v>1297499</v>
      </c>
      <c r="S70" s="416">
        <f t="shared" si="13"/>
        <v>3155659.3076291219</v>
      </c>
      <c r="T70" s="417" t="e">
        <f t="shared" si="9"/>
        <v>#DIV/0!</v>
      </c>
      <c r="U70" s="442"/>
      <c r="V70" s="419">
        <f t="shared" si="14"/>
        <v>3155659.3076291219</v>
      </c>
      <c r="W70" s="425">
        <v>0</v>
      </c>
      <c r="X70" s="425">
        <v>0</v>
      </c>
      <c r="Y70" s="425">
        <v>163484.87</v>
      </c>
      <c r="Z70" s="425">
        <v>0</v>
      </c>
      <c r="AA70" s="425">
        <v>956.39</v>
      </c>
      <c r="AB70" s="425">
        <v>0</v>
      </c>
      <c r="AC70" s="425">
        <v>2697500.42</v>
      </c>
      <c r="AD70" s="426">
        <v>0</v>
      </c>
      <c r="AE70" s="426">
        <v>15780.38</v>
      </c>
      <c r="AF70" s="421" t="s">
        <v>342</v>
      </c>
      <c r="AG70" s="422">
        <v>309924.17743796681</v>
      </c>
      <c r="AH70" s="423">
        <v>158125.66617748659</v>
      </c>
      <c r="AI70" s="423">
        <v>1393979.0161329631</v>
      </c>
      <c r="AJ70" s="423">
        <v>1297499</v>
      </c>
      <c r="AK70" s="424">
        <f t="shared" si="15"/>
        <v>3159527.8597484166</v>
      </c>
      <c r="AL70" s="417">
        <f t="shared" si="10"/>
        <v>1.2259093083787707E-3</v>
      </c>
      <c r="AM70" s="442"/>
      <c r="AN70" s="424">
        <f t="shared" si="16"/>
        <v>3159527.8597484166</v>
      </c>
      <c r="AO70" s="425">
        <v>0</v>
      </c>
      <c r="AP70" s="425">
        <v>0</v>
      </c>
      <c r="AQ70" s="425">
        <v>163484.87400000001</v>
      </c>
      <c r="AR70" s="425">
        <v>0</v>
      </c>
      <c r="AS70" s="425">
        <v>956.38651289999996</v>
      </c>
      <c r="AT70" s="425">
        <v>0</v>
      </c>
      <c r="AU70" s="425">
        <v>2697500.4210000001</v>
      </c>
      <c r="AV70" s="426">
        <v>0</v>
      </c>
      <c r="AW70" s="426">
        <v>15780.37746</v>
      </c>
      <c r="AX70" s="421" t="s">
        <v>343</v>
      </c>
      <c r="AY70" s="427">
        <v>312010.67096094572</v>
      </c>
      <c r="AZ70" s="414">
        <v>158143.14443625815</v>
      </c>
      <c r="BA70" s="414">
        <v>1394876.9401201822</v>
      </c>
      <c r="BB70" s="414">
        <v>1297499</v>
      </c>
      <c r="BC70" s="424">
        <f t="shared" si="4"/>
        <v>3162529.7555173859</v>
      </c>
      <c r="BD70" s="417">
        <f t="shared" si="11"/>
        <v>9.5010897267680733E-4</v>
      </c>
      <c r="BE70" s="442"/>
      <c r="BF70" s="424">
        <f t="shared" si="5"/>
        <v>3162529.7555173859</v>
      </c>
      <c r="BG70" s="425">
        <v>0</v>
      </c>
      <c r="BH70" s="425">
        <v>0</v>
      </c>
      <c r="BI70" s="425">
        <v>163484.87400000001</v>
      </c>
      <c r="BJ70" s="425">
        <v>0</v>
      </c>
      <c r="BK70" s="425">
        <v>956.38651289999996</v>
      </c>
      <c r="BL70" s="425">
        <v>0</v>
      </c>
      <c r="BM70" s="425">
        <v>2697500.4210000001</v>
      </c>
      <c r="BN70" s="426">
        <v>0</v>
      </c>
      <c r="BO70" s="426">
        <v>15780.37746</v>
      </c>
      <c r="BP70" s="421" t="s">
        <v>343</v>
      </c>
      <c r="BQ70" s="422">
        <v>318108.43640149955</v>
      </c>
      <c r="BR70" s="423">
        <v>158161.3995065307</v>
      </c>
      <c r="BS70" s="423">
        <v>1395851.3270401668</v>
      </c>
      <c r="BT70" s="423">
        <v>1297499</v>
      </c>
      <c r="BU70" s="424">
        <f t="shared" si="6"/>
        <v>3169620.1629481972</v>
      </c>
      <c r="BV70" s="417">
        <f t="shared" si="12"/>
        <v>2.2420049703694685E-3</v>
      </c>
      <c r="BW70" s="442"/>
      <c r="BX70" s="424">
        <f t="shared" si="7"/>
        <v>3169620.1629481972</v>
      </c>
      <c r="BY70" s="425">
        <v>0</v>
      </c>
      <c r="BZ70" s="425">
        <v>0</v>
      </c>
      <c r="CA70" s="425">
        <v>163484.87400000001</v>
      </c>
      <c r="CB70" s="425">
        <v>0</v>
      </c>
      <c r="CC70" s="425">
        <v>956.38651289999996</v>
      </c>
      <c r="CD70" s="425">
        <v>0</v>
      </c>
      <c r="CE70" s="425">
        <v>2697500.4210000001</v>
      </c>
      <c r="CF70" s="426">
        <v>0</v>
      </c>
      <c r="CG70" s="426">
        <v>15780.37746</v>
      </c>
      <c r="CH70" s="421" t="s">
        <v>343</v>
      </c>
    </row>
    <row r="71" spans="1:86" s="365" customFormat="1">
      <c r="A71" s="407" t="str">
        <f t="shared" si="8"/>
        <v>ResidentialResource Acquisition</v>
      </c>
      <c r="B71" s="437" t="s">
        <v>453</v>
      </c>
      <c r="C71" s="438"/>
      <c r="D71" s="439" t="s">
        <v>454</v>
      </c>
      <c r="E71" s="635" t="s">
        <v>20</v>
      </c>
      <c r="F71" s="411" t="s">
        <v>21</v>
      </c>
      <c r="G71" s="411" t="s">
        <v>17</v>
      </c>
      <c r="H71" s="412" t="s">
        <v>18</v>
      </c>
      <c r="I71" s="413"/>
      <c r="J71" s="414">
        <v>447300</v>
      </c>
      <c r="K71" s="414"/>
      <c r="L71" s="414">
        <v>31940</v>
      </c>
      <c r="M71" s="414">
        <v>497300</v>
      </c>
      <c r="N71" s="414">
        <v>497300</v>
      </c>
      <c r="O71" s="415">
        <v>40684.275641455562</v>
      </c>
      <c r="P71" s="414">
        <v>609.46410903801859</v>
      </c>
      <c r="Q71" s="414">
        <v>68919.356214825602</v>
      </c>
      <c r="R71" s="414">
        <v>420000</v>
      </c>
      <c r="S71" s="416">
        <f t="shared" ref="S71:S102" si="17">SUM(O71:R71)</f>
        <v>530213.0959653192</v>
      </c>
      <c r="T71" s="417">
        <f t="shared" si="9"/>
        <v>6.6183583280352301E-2</v>
      </c>
      <c r="U71" s="442"/>
      <c r="V71" s="419">
        <f t="shared" ref="V71:V102" si="18">S71+U71</f>
        <v>530213.0959653192</v>
      </c>
      <c r="W71" s="425">
        <v>0</v>
      </c>
      <c r="X71" s="425">
        <v>0</v>
      </c>
      <c r="Y71" s="425">
        <v>58800</v>
      </c>
      <c r="Z71" s="425">
        <v>0</v>
      </c>
      <c r="AA71" s="425">
        <v>343.98</v>
      </c>
      <c r="AB71" s="425">
        <v>0</v>
      </c>
      <c r="AC71" s="425">
        <v>970200</v>
      </c>
      <c r="AD71" s="426">
        <v>0</v>
      </c>
      <c r="AE71" s="426">
        <v>5675.67</v>
      </c>
      <c r="AF71" s="421" t="s">
        <v>342</v>
      </c>
      <c r="AG71" s="422">
        <v>41515.298727721842</v>
      </c>
      <c r="AH71" s="423">
        <v>625.66617748658939</v>
      </c>
      <c r="AI71" s="423">
        <v>70078.013002765234</v>
      </c>
      <c r="AJ71" s="423">
        <v>420000</v>
      </c>
      <c r="AK71" s="424">
        <f t="shared" ref="AK71:AK102" si="19">SUM(AG71:AJ71)</f>
        <v>532218.97790797369</v>
      </c>
      <c r="AL71" s="417">
        <f t="shared" si="10"/>
        <v>3.7831618228941241E-3</v>
      </c>
      <c r="AM71" s="442"/>
      <c r="AN71" s="424">
        <f t="shared" ref="AN71:AN102" si="20">AK71+AM71</f>
        <v>532218.97790797369</v>
      </c>
      <c r="AO71" s="425">
        <v>0</v>
      </c>
      <c r="AP71" s="425">
        <v>0</v>
      </c>
      <c r="AQ71" s="425">
        <v>58800</v>
      </c>
      <c r="AR71" s="425">
        <v>0</v>
      </c>
      <c r="AS71" s="425">
        <v>343.98</v>
      </c>
      <c r="AT71" s="425">
        <v>0</v>
      </c>
      <c r="AU71" s="425">
        <v>970200</v>
      </c>
      <c r="AV71" s="426">
        <v>0</v>
      </c>
      <c r="AW71" s="426">
        <v>5675.67</v>
      </c>
      <c r="AX71" s="421" t="s">
        <v>343</v>
      </c>
      <c r="AY71" s="427">
        <v>42221.357526898544</v>
      </c>
      <c r="AZ71" s="414">
        <v>643.14443625816398</v>
      </c>
      <c r="BA71" s="414">
        <v>71364.885109617942</v>
      </c>
      <c r="BB71" s="414">
        <v>420000</v>
      </c>
      <c r="BC71" s="424">
        <f t="shared" ref="BC71:BC106" si="21">SUM(AY71:BB71)</f>
        <v>534229.38707277458</v>
      </c>
      <c r="BD71" s="417">
        <f t="shared" si="11"/>
        <v>3.7774097660014517E-3</v>
      </c>
      <c r="BE71" s="442"/>
      <c r="BF71" s="424">
        <f t="shared" ref="BF71:BF108" si="22">BC71+BE71</f>
        <v>534229.38707277458</v>
      </c>
      <c r="BG71" s="425">
        <v>0</v>
      </c>
      <c r="BH71" s="425">
        <v>0</v>
      </c>
      <c r="BI71" s="425">
        <v>58800</v>
      </c>
      <c r="BJ71" s="425">
        <v>0</v>
      </c>
      <c r="BK71" s="425">
        <v>343.98</v>
      </c>
      <c r="BL71" s="425">
        <v>0</v>
      </c>
      <c r="BM71" s="425">
        <v>970200</v>
      </c>
      <c r="BN71" s="426">
        <v>0</v>
      </c>
      <c r="BO71" s="426">
        <v>5675.67</v>
      </c>
      <c r="BP71" s="421" t="s">
        <v>343</v>
      </c>
      <c r="BQ71" s="422">
        <v>43632.121211197373</v>
      </c>
      <c r="BR71" s="423">
        <v>661.39950653069752</v>
      </c>
      <c r="BS71" s="423">
        <v>72723.905932330759</v>
      </c>
      <c r="BT71" s="423">
        <v>420000</v>
      </c>
      <c r="BU71" s="424">
        <f t="shared" ref="BU71:BU106" si="23">SUM(BQ71:BT71)</f>
        <v>537017.42665005883</v>
      </c>
      <c r="BV71" s="417">
        <f t="shared" si="12"/>
        <v>5.2188060873267711E-3</v>
      </c>
      <c r="BW71" s="442"/>
      <c r="BX71" s="424">
        <f t="shared" ref="BX71:BX108" si="24">BU71+BW71</f>
        <v>537017.42665005883</v>
      </c>
      <c r="BY71" s="425">
        <v>0</v>
      </c>
      <c r="BZ71" s="425">
        <v>0</v>
      </c>
      <c r="CA71" s="425">
        <v>58800</v>
      </c>
      <c r="CB71" s="425">
        <v>0</v>
      </c>
      <c r="CC71" s="425">
        <v>343.98</v>
      </c>
      <c r="CD71" s="425">
        <v>0</v>
      </c>
      <c r="CE71" s="425">
        <v>970200</v>
      </c>
      <c r="CF71" s="426">
        <v>0</v>
      </c>
      <c r="CG71" s="426">
        <v>5675.67</v>
      </c>
      <c r="CH71" s="421" t="s">
        <v>343</v>
      </c>
    </row>
    <row r="72" spans="1:86" s="365" customFormat="1">
      <c r="A72" s="407" t="str">
        <f t="shared" ref="A72:A108" si="25">CONCATENATE(G72,H72)</f>
        <v>ResidentialEquity</v>
      </c>
      <c r="B72" s="437" t="s">
        <v>455</v>
      </c>
      <c r="C72" s="438"/>
      <c r="D72" s="439" t="s">
        <v>456</v>
      </c>
      <c r="E72" s="635" t="s">
        <v>20</v>
      </c>
      <c r="F72" s="411" t="s">
        <v>21</v>
      </c>
      <c r="G72" s="411" t="s">
        <v>17</v>
      </c>
      <c r="H72" s="412" t="s">
        <v>26</v>
      </c>
      <c r="I72" s="413"/>
      <c r="J72" s="414"/>
      <c r="K72" s="414"/>
      <c r="L72" s="414"/>
      <c r="M72" s="414"/>
      <c r="N72" s="414"/>
      <c r="O72" s="415">
        <v>259525.6431231873</v>
      </c>
      <c r="P72" s="414">
        <v>108609.46410903802</v>
      </c>
      <c r="Q72" s="414">
        <v>882613.48188607837</v>
      </c>
      <c r="R72" s="414">
        <v>2074996.3</v>
      </c>
      <c r="S72" s="416">
        <f t="shared" si="17"/>
        <v>3325744.8891183035</v>
      </c>
      <c r="T72" s="417" t="e">
        <f t="shared" ref="T72:T182" si="26">(S72-N72)/N72</f>
        <v>#DIV/0!</v>
      </c>
      <c r="U72" s="442"/>
      <c r="V72" s="419">
        <f t="shared" si="18"/>
        <v>3325744.8891183035</v>
      </c>
      <c r="W72" s="425">
        <v>234083.41</v>
      </c>
      <c r="X72" s="425">
        <v>0</v>
      </c>
      <c r="Y72" s="425">
        <v>95544.25</v>
      </c>
      <c r="Z72" s="425">
        <v>93.7</v>
      </c>
      <c r="AA72" s="425">
        <v>558.92999999999995</v>
      </c>
      <c r="AB72" s="425">
        <v>3089901.05</v>
      </c>
      <c r="AC72" s="425">
        <v>1261184.1000000001</v>
      </c>
      <c r="AD72" s="426">
        <v>1499.66</v>
      </c>
      <c r="AE72" s="426">
        <v>7377.93</v>
      </c>
      <c r="AF72" s="421" t="s">
        <v>342</v>
      </c>
      <c r="AG72" s="422">
        <v>262760.95160997647</v>
      </c>
      <c r="AH72" s="423">
        <v>108625.66617748659</v>
      </c>
      <c r="AI72" s="423">
        <v>883711.29467329022</v>
      </c>
      <c r="AJ72" s="423">
        <v>2074996.3</v>
      </c>
      <c r="AK72" s="424">
        <f t="shared" si="19"/>
        <v>3330094.2124607535</v>
      </c>
      <c r="AL72" s="417">
        <f t="shared" ref="AL72:AL182" si="27">(AK72-S72)/S72</f>
        <v>1.30777419419053E-3</v>
      </c>
      <c r="AM72" s="442"/>
      <c r="AN72" s="424">
        <f t="shared" si="20"/>
        <v>3330094.2124607535</v>
      </c>
      <c r="AO72" s="425">
        <v>234083.41250000001</v>
      </c>
      <c r="AP72" s="425">
        <v>0</v>
      </c>
      <c r="AQ72" s="425">
        <v>95544.25</v>
      </c>
      <c r="AR72" s="425">
        <v>103.4591077</v>
      </c>
      <c r="AS72" s="425">
        <v>558.93386250000003</v>
      </c>
      <c r="AT72" s="425">
        <v>3089901.0449999999</v>
      </c>
      <c r="AU72" s="425">
        <v>1261184.1000000001</v>
      </c>
      <c r="AV72" s="426">
        <v>1536.5100219999999</v>
      </c>
      <c r="AW72" s="426">
        <v>7377.9269850000001</v>
      </c>
      <c r="AX72" s="421" t="s">
        <v>343</v>
      </c>
      <c r="AY72" s="427">
        <v>264917.34642853017</v>
      </c>
      <c r="AZ72" s="414">
        <v>108643.14443625817</v>
      </c>
      <c r="BA72" s="414">
        <v>885005.3732519605</v>
      </c>
      <c r="BB72" s="414">
        <v>2074996.3</v>
      </c>
      <c r="BC72" s="424">
        <f t="shared" si="21"/>
        <v>3333562.1641167486</v>
      </c>
      <c r="BD72" s="417">
        <f t="shared" ref="BD72:BD182" si="28">(BC72-AK72)/AK72</f>
        <v>1.0413974604737918E-3</v>
      </c>
      <c r="BE72" s="442"/>
      <c r="BF72" s="424">
        <f t="shared" si="22"/>
        <v>3333562.1641167486</v>
      </c>
      <c r="BG72" s="425">
        <v>234083.41250000001</v>
      </c>
      <c r="BH72" s="425">
        <v>0</v>
      </c>
      <c r="BI72" s="425">
        <v>95544.25</v>
      </c>
      <c r="BJ72" s="425">
        <v>107.6320417</v>
      </c>
      <c r="BK72" s="425">
        <v>558.93386250000003</v>
      </c>
      <c r="BL72" s="425">
        <v>3089901.0449999999</v>
      </c>
      <c r="BM72" s="425">
        <v>1261184.1000000001</v>
      </c>
      <c r="BN72" s="426">
        <v>1566.1005170000001</v>
      </c>
      <c r="BO72" s="426">
        <v>7377.9269850000001</v>
      </c>
      <c r="BP72" s="421" t="s">
        <v>343</v>
      </c>
      <c r="BQ72" s="422">
        <v>271298.93764332775</v>
      </c>
      <c r="BR72" s="423">
        <v>108661.3995065307</v>
      </c>
      <c r="BS72" s="423">
        <v>886401.40083412733</v>
      </c>
      <c r="BT72" s="423">
        <v>2074996.3</v>
      </c>
      <c r="BU72" s="424">
        <f t="shared" si="23"/>
        <v>3341358.0379839856</v>
      </c>
      <c r="BV72" s="417">
        <f t="shared" ref="BV72:BV108" si="29">(BU72-BC72)/BC72</f>
        <v>2.3386016169590711E-3</v>
      </c>
      <c r="BW72" s="442"/>
      <c r="BX72" s="424">
        <f t="shared" si="24"/>
        <v>3341358.0379839856</v>
      </c>
      <c r="BY72" s="425">
        <v>234083.41250000001</v>
      </c>
      <c r="BZ72" s="425">
        <v>0</v>
      </c>
      <c r="CA72" s="425">
        <v>95544.25</v>
      </c>
      <c r="CB72" s="425">
        <v>110.47113330000001</v>
      </c>
      <c r="CC72" s="425">
        <v>558.93386250000003</v>
      </c>
      <c r="CD72" s="425">
        <v>3089901.0449999999</v>
      </c>
      <c r="CE72" s="425">
        <v>1261184.1000000001</v>
      </c>
      <c r="CF72" s="426">
        <v>1594.0077000000001</v>
      </c>
      <c r="CG72" s="426">
        <v>7377.9269850000001</v>
      </c>
      <c r="CH72" s="421" t="s">
        <v>343</v>
      </c>
    </row>
    <row r="73" spans="1:86" s="365" customFormat="1" ht="28.5">
      <c r="A73" s="407" t="str">
        <f t="shared" si="25"/>
        <v>ResidentialResource Acquisition</v>
      </c>
      <c r="B73" s="437" t="s">
        <v>457</v>
      </c>
      <c r="C73" s="438"/>
      <c r="D73" s="439" t="s">
        <v>458</v>
      </c>
      <c r="E73" s="635" t="s">
        <v>20</v>
      </c>
      <c r="F73" s="411" t="s">
        <v>21</v>
      </c>
      <c r="G73" s="411" t="s">
        <v>17</v>
      </c>
      <c r="H73" s="412" t="s">
        <v>18</v>
      </c>
      <c r="I73" s="413"/>
      <c r="J73" s="414"/>
      <c r="K73" s="414"/>
      <c r="L73" s="414">
        <v>1610392</v>
      </c>
      <c r="M73" s="414">
        <v>3150353</v>
      </c>
      <c r="N73" s="414">
        <v>3150353</v>
      </c>
      <c r="O73" s="415">
        <v>199589.27187037043</v>
      </c>
      <c r="P73" s="414">
        <v>36609.464109038017</v>
      </c>
      <c r="Q73" s="414">
        <v>866613.48188607837</v>
      </c>
      <c r="R73" s="414">
        <v>1674996.5</v>
      </c>
      <c r="S73" s="416">
        <f t="shared" si="17"/>
        <v>2777808.7178654866</v>
      </c>
      <c r="T73" s="417">
        <f t="shared" si="26"/>
        <v>-0.11825477403151753</v>
      </c>
      <c r="U73" s="442"/>
      <c r="V73" s="419">
        <f t="shared" si="18"/>
        <v>2777808.7178654866</v>
      </c>
      <c r="W73" s="425">
        <v>130942.85</v>
      </c>
      <c r="X73" s="425">
        <v>247.06</v>
      </c>
      <c r="Y73" s="425">
        <v>123530.99</v>
      </c>
      <c r="Z73" s="425">
        <v>52.41</v>
      </c>
      <c r="AA73" s="425">
        <v>722.66</v>
      </c>
      <c r="AB73" s="425">
        <v>1898671.35</v>
      </c>
      <c r="AC73" s="425">
        <v>1791199.38</v>
      </c>
      <c r="AD73" s="426">
        <v>935.57</v>
      </c>
      <c r="AE73" s="426">
        <v>10478.52</v>
      </c>
      <c r="AF73" s="421" t="s">
        <v>342</v>
      </c>
      <c r="AG73" s="422">
        <v>202426.54636019072</v>
      </c>
      <c r="AH73" s="423">
        <v>36625.666177486586</v>
      </c>
      <c r="AI73" s="423">
        <v>867711.29467329022</v>
      </c>
      <c r="AJ73" s="423">
        <v>1674996.5</v>
      </c>
      <c r="AK73" s="424">
        <f t="shared" si="19"/>
        <v>2781760.0072109676</v>
      </c>
      <c r="AL73" s="417">
        <f t="shared" si="27"/>
        <v>1.4224483205298607E-3</v>
      </c>
      <c r="AM73" s="442"/>
      <c r="AN73" s="424">
        <f t="shared" si="20"/>
        <v>2781760.0072109676</v>
      </c>
      <c r="AO73" s="425">
        <v>130942.8514</v>
      </c>
      <c r="AP73" s="425">
        <v>247.06198380000001</v>
      </c>
      <c r="AQ73" s="425">
        <v>123530.99189999999</v>
      </c>
      <c r="AR73" s="425">
        <v>57.873517880000001</v>
      </c>
      <c r="AS73" s="425">
        <v>722.65630250000004</v>
      </c>
      <c r="AT73" s="425">
        <v>1898671.345</v>
      </c>
      <c r="AU73" s="425">
        <v>1791199.382</v>
      </c>
      <c r="AV73" s="426">
        <v>957.98456950000002</v>
      </c>
      <c r="AW73" s="426">
        <v>10478.516390000001</v>
      </c>
      <c r="AX73" s="421" t="s">
        <v>343</v>
      </c>
      <c r="AY73" s="427">
        <v>204387.99364693864</v>
      </c>
      <c r="AZ73" s="414">
        <v>36643.144436258161</v>
      </c>
      <c r="BA73" s="414">
        <v>869005.3732519605</v>
      </c>
      <c r="BB73" s="414">
        <v>1674996.5</v>
      </c>
      <c r="BC73" s="424">
        <f t="shared" si="21"/>
        <v>2785033.0113351573</v>
      </c>
      <c r="BD73" s="417">
        <f t="shared" si="28"/>
        <v>1.1765947154698251E-3</v>
      </c>
      <c r="BE73" s="442"/>
      <c r="BF73" s="424">
        <f t="shared" si="22"/>
        <v>2785033.0113351573</v>
      </c>
      <c r="BG73" s="425">
        <v>130942.8514</v>
      </c>
      <c r="BH73" s="425">
        <v>247.06198380000001</v>
      </c>
      <c r="BI73" s="425">
        <v>123530.99189999999</v>
      </c>
      <c r="BJ73" s="425">
        <v>60.207796399999999</v>
      </c>
      <c r="BK73" s="425">
        <v>722.65630250000004</v>
      </c>
      <c r="BL73" s="425">
        <v>1898671.345</v>
      </c>
      <c r="BM73" s="425">
        <v>1791199.382</v>
      </c>
      <c r="BN73" s="426">
        <v>976.33016729999997</v>
      </c>
      <c r="BO73" s="426">
        <v>10478.516390000001</v>
      </c>
      <c r="BP73" s="421" t="s">
        <v>343</v>
      </c>
      <c r="BQ73" s="422">
        <v>209893.13021908363</v>
      </c>
      <c r="BR73" s="423">
        <v>36661.399506530695</v>
      </c>
      <c r="BS73" s="423">
        <v>870401.40083412733</v>
      </c>
      <c r="BT73" s="423">
        <v>1674996.5</v>
      </c>
      <c r="BU73" s="424">
        <f t="shared" si="23"/>
        <v>2791952.4305597413</v>
      </c>
      <c r="BV73" s="417">
        <f t="shared" si="29"/>
        <v>2.4845016904366276E-3</v>
      </c>
      <c r="BW73" s="442"/>
      <c r="BX73" s="424">
        <f t="shared" si="24"/>
        <v>2791952.4305597413</v>
      </c>
      <c r="BY73" s="425">
        <v>130942.8514</v>
      </c>
      <c r="BZ73" s="425">
        <v>247.06198380000001</v>
      </c>
      <c r="CA73" s="425">
        <v>123530.99189999999</v>
      </c>
      <c r="CB73" s="425">
        <v>61.795942889999999</v>
      </c>
      <c r="CC73" s="425">
        <v>722.65630250000004</v>
      </c>
      <c r="CD73" s="425">
        <v>1898671.345</v>
      </c>
      <c r="CE73" s="425">
        <v>1791199.382</v>
      </c>
      <c r="CF73" s="426">
        <v>993.73476170000004</v>
      </c>
      <c r="CG73" s="426">
        <v>10478.516390000001</v>
      </c>
      <c r="CH73" s="421" t="s">
        <v>343</v>
      </c>
    </row>
    <row r="74" spans="1:86" s="365" customFormat="1">
      <c r="A74" s="407" t="str">
        <f t="shared" si="25"/>
        <v>ResidentialResource Acquisition</v>
      </c>
      <c r="B74" s="437" t="s">
        <v>459</v>
      </c>
      <c r="C74" s="409"/>
      <c r="D74" s="410" t="s">
        <v>460</v>
      </c>
      <c r="E74" s="635" t="s">
        <v>20</v>
      </c>
      <c r="F74" s="411" t="s">
        <v>21</v>
      </c>
      <c r="G74" s="411" t="s">
        <v>17</v>
      </c>
      <c r="H74" s="412" t="s">
        <v>18</v>
      </c>
      <c r="I74" s="428"/>
      <c r="J74" s="414">
        <v>6721000</v>
      </c>
      <c r="K74" s="414"/>
      <c r="L74" s="414">
        <v>5732002</v>
      </c>
      <c r="M74" s="414">
        <v>4940539</v>
      </c>
      <c r="N74" s="414">
        <v>4740539</v>
      </c>
      <c r="O74" s="429">
        <v>537025.1117221117</v>
      </c>
      <c r="P74" s="430">
        <v>28717.948817871438</v>
      </c>
      <c r="Q74" s="430">
        <v>4360207.9913536441</v>
      </c>
      <c r="R74" s="430">
        <v>0</v>
      </c>
      <c r="S74" s="445">
        <f t="shared" si="17"/>
        <v>4925951.0518936273</v>
      </c>
      <c r="T74" s="417">
        <f t="shared" si="26"/>
        <v>3.9112019096062128E-2</v>
      </c>
      <c r="U74" s="418"/>
      <c r="V74" s="419">
        <f t="shared" si="18"/>
        <v>4925951.0518936273</v>
      </c>
      <c r="W74" s="434" t="s">
        <v>342</v>
      </c>
      <c r="X74" s="434" t="s">
        <v>342</v>
      </c>
      <c r="Y74" s="434">
        <v>12218935</v>
      </c>
      <c r="Z74" s="434" t="s">
        <v>342</v>
      </c>
      <c r="AA74" s="434">
        <v>71480.77</v>
      </c>
      <c r="AB74" s="434" t="s">
        <v>342</v>
      </c>
      <c r="AC74" s="434">
        <v>12218935</v>
      </c>
      <c r="AD74" s="435" t="s">
        <v>342</v>
      </c>
      <c r="AE74" s="435">
        <v>71480.77</v>
      </c>
      <c r="AF74" s="431" t="s">
        <v>342</v>
      </c>
      <c r="AG74" s="432">
        <v>546721.93490363029</v>
      </c>
      <c r="AH74" s="433">
        <v>29481.390283168093</v>
      </c>
      <c r="AI74" s="433">
        <v>4375350.8872680971</v>
      </c>
      <c r="AJ74" s="433">
        <v>0</v>
      </c>
      <c r="AK74" s="424">
        <f t="shared" si="19"/>
        <v>4951554.2124548955</v>
      </c>
      <c r="AL74" s="417">
        <f t="shared" si="27"/>
        <v>5.197607587153325E-3</v>
      </c>
      <c r="AM74" s="418"/>
      <c r="AN74" s="424">
        <f t="shared" si="20"/>
        <v>4951554.2124548955</v>
      </c>
      <c r="AO74" s="434">
        <v>0</v>
      </c>
      <c r="AP74" s="434">
        <v>0</v>
      </c>
      <c r="AQ74" s="434">
        <v>12218935</v>
      </c>
      <c r="AR74" s="434">
        <v>0</v>
      </c>
      <c r="AS74" s="434">
        <v>71480.769750000007</v>
      </c>
      <c r="AT74" s="434">
        <v>0</v>
      </c>
      <c r="AU74" s="434">
        <v>12218935</v>
      </c>
      <c r="AV74" s="435">
        <v>0</v>
      </c>
      <c r="AW74" s="435">
        <v>71480.769750000007</v>
      </c>
      <c r="AX74" s="431" t="s">
        <v>343</v>
      </c>
      <c r="AY74" s="436">
        <v>555213.05404042487</v>
      </c>
      <c r="AZ74" s="430">
        <v>30304.965836484687</v>
      </c>
      <c r="BA74" s="430">
        <v>4392123.2199132945</v>
      </c>
      <c r="BB74" s="430">
        <v>0</v>
      </c>
      <c r="BC74" s="424">
        <f t="shared" si="21"/>
        <v>4977641.239790204</v>
      </c>
      <c r="BD74" s="417">
        <f t="shared" si="28"/>
        <v>5.2684523315306674E-3</v>
      </c>
      <c r="BE74" s="418"/>
      <c r="BF74" s="424">
        <f t="shared" si="22"/>
        <v>4977641.239790204</v>
      </c>
      <c r="BG74" s="434">
        <v>0</v>
      </c>
      <c r="BH74" s="434">
        <v>0</v>
      </c>
      <c r="BI74" s="434">
        <v>12218935</v>
      </c>
      <c r="BJ74" s="434">
        <v>0</v>
      </c>
      <c r="BK74" s="434">
        <v>71480.769750000007</v>
      </c>
      <c r="BL74" s="434">
        <v>0</v>
      </c>
      <c r="BM74" s="434">
        <v>12218935</v>
      </c>
      <c r="BN74" s="435">
        <v>0</v>
      </c>
      <c r="BO74" s="435">
        <v>71480.769750000007</v>
      </c>
      <c r="BP74" s="431" t="s">
        <v>343</v>
      </c>
      <c r="BQ74" s="432">
        <v>570286.57875085028</v>
      </c>
      <c r="BR74" s="433">
        <v>31165.14474772647</v>
      </c>
      <c r="BS74" s="433">
        <v>4409817.7143620104</v>
      </c>
      <c r="BT74" s="433">
        <v>0</v>
      </c>
      <c r="BU74" s="424">
        <f t="shared" si="23"/>
        <v>5011269.4378605876</v>
      </c>
      <c r="BV74" s="417">
        <f t="shared" si="29"/>
        <v>6.7558501005590714E-3</v>
      </c>
      <c r="BW74" s="418"/>
      <c r="BX74" s="424">
        <f t="shared" si="24"/>
        <v>5011269.4378605876</v>
      </c>
      <c r="BY74" s="434">
        <v>0</v>
      </c>
      <c r="BZ74" s="434">
        <v>0</v>
      </c>
      <c r="CA74" s="434">
        <v>12218935</v>
      </c>
      <c r="CB74" s="434">
        <v>0</v>
      </c>
      <c r="CC74" s="434">
        <v>71480.769750000007</v>
      </c>
      <c r="CD74" s="434">
        <v>0</v>
      </c>
      <c r="CE74" s="434">
        <v>12218935</v>
      </c>
      <c r="CF74" s="435">
        <v>0</v>
      </c>
      <c r="CG74" s="435">
        <v>71480.769750000007</v>
      </c>
      <c r="CH74" s="431" t="s">
        <v>343</v>
      </c>
    </row>
    <row r="75" spans="1:86" s="365" customFormat="1">
      <c r="A75" s="407" t="str">
        <f t="shared" si="25"/>
        <v>ResidentialEquity</v>
      </c>
      <c r="B75" s="408" t="s">
        <v>461</v>
      </c>
      <c r="C75" s="409"/>
      <c r="D75" s="410" t="s">
        <v>462</v>
      </c>
      <c r="E75" s="635" t="s">
        <v>20</v>
      </c>
      <c r="F75" s="411" t="s">
        <v>21</v>
      </c>
      <c r="G75" s="411" t="s">
        <v>17</v>
      </c>
      <c r="H75" s="412" t="s">
        <v>26</v>
      </c>
      <c r="I75" s="428"/>
      <c r="J75" s="414"/>
      <c r="K75" s="414"/>
      <c r="L75" s="414">
        <v>89921</v>
      </c>
      <c r="M75" s="414">
        <v>1000000</v>
      </c>
      <c r="N75" s="414">
        <v>1000000</v>
      </c>
      <c r="O75" s="429">
        <v>149423.81120277758</v>
      </c>
      <c r="P75" s="430">
        <v>68522.464109038017</v>
      </c>
      <c r="Q75" s="430">
        <v>524627.45354700112</v>
      </c>
      <c r="R75" s="430">
        <v>1198257.7</v>
      </c>
      <c r="S75" s="445">
        <f t="shared" si="17"/>
        <v>1940831.4288588166</v>
      </c>
      <c r="T75" s="417">
        <f t="shared" si="26"/>
        <v>0.94083142885881665</v>
      </c>
      <c r="U75" s="418"/>
      <c r="V75" s="419">
        <f t="shared" si="18"/>
        <v>1940831.4288588166</v>
      </c>
      <c r="W75" s="434">
        <v>110673.72</v>
      </c>
      <c r="X75" s="434">
        <v>32.08</v>
      </c>
      <c r="Y75" s="434">
        <v>80198.350000000006</v>
      </c>
      <c r="Z75" s="434">
        <v>44.3</v>
      </c>
      <c r="AA75" s="434">
        <v>469.16</v>
      </c>
      <c r="AB75" s="434">
        <v>1217410.95</v>
      </c>
      <c r="AC75" s="434">
        <v>882181.85</v>
      </c>
      <c r="AD75" s="435">
        <v>575.95000000000005</v>
      </c>
      <c r="AE75" s="435">
        <v>5160.76</v>
      </c>
      <c r="AF75" s="431" t="s">
        <v>342</v>
      </c>
      <c r="AG75" s="432">
        <v>151497.52658584047</v>
      </c>
      <c r="AH75" s="433">
        <v>68538.666177486593</v>
      </c>
      <c r="AI75" s="433">
        <v>526029.69180079969</v>
      </c>
      <c r="AJ75" s="433">
        <v>1198257.7</v>
      </c>
      <c r="AK75" s="424">
        <f t="shared" si="19"/>
        <v>1944323.5845641266</v>
      </c>
      <c r="AL75" s="417">
        <f t="shared" si="27"/>
        <v>1.7993091277191859E-3</v>
      </c>
      <c r="AM75" s="418"/>
      <c r="AN75" s="424">
        <f t="shared" si="20"/>
        <v>1944323.5845641266</v>
      </c>
      <c r="AO75" s="434">
        <v>110673.723</v>
      </c>
      <c r="AP75" s="434">
        <v>32.079340000000002</v>
      </c>
      <c r="AQ75" s="434">
        <v>80198.350000000006</v>
      </c>
      <c r="AR75" s="434">
        <v>48.915061940000001</v>
      </c>
      <c r="AS75" s="434">
        <v>469.1603475</v>
      </c>
      <c r="AT75" s="434">
        <v>1217410.953</v>
      </c>
      <c r="AU75" s="434">
        <v>882181.85</v>
      </c>
      <c r="AV75" s="435">
        <v>590.72480919999998</v>
      </c>
      <c r="AW75" s="435">
        <v>5160.7638230000002</v>
      </c>
      <c r="AX75" s="431" t="s">
        <v>343</v>
      </c>
      <c r="AY75" s="436">
        <v>152967.22353110823</v>
      </c>
      <c r="AZ75" s="430">
        <v>68556.144436258168</v>
      </c>
      <c r="BA75" s="430">
        <v>527615.7530745893</v>
      </c>
      <c r="BB75" s="430">
        <v>1198257.7</v>
      </c>
      <c r="BC75" s="424">
        <f t="shared" si="21"/>
        <v>1947396.8210419556</v>
      </c>
      <c r="BD75" s="417">
        <f t="shared" si="28"/>
        <v>1.5806198629833524E-3</v>
      </c>
      <c r="BE75" s="418"/>
      <c r="BF75" s="424">
        <f t="shared" si="22"/>
        <v>1947396.8210419556</v>
      </c>
      <c r="BG75" s="434">
        <v>110673.723</v>
      </c>
      <c r="BH75" s="434">
        <v>32.079340000000002</v>
      </c>
      <c r="BI75" s="434">
        <v>80198.350000000006</v>
      </c>
      <c r="BJ75" s="434">
        <v>50.888008859999999</v>
      </c>
      <c r="BK75" s="434">
        <v>469.1603475</v>
      </c>
      <c r="BL75" s="434">
        <v>1217410.953</v>
      </c>
      <c r="BM75" s="434">
        <v>882181.85</v>
      </c>
      <c r="BN75" s="435">
        <v>602.09950419999996</v>
      </c>
      <c r="BO75" s="435">
        <v>5160.7638230000002</v>
      </c>
      <c r="BP75" s="431" t="s">
        <v>343</v>
      </c>
      <c r="BQ75" s="432">
        <v>156920.81363668147</v>
      </c>
      <c r="BR75" s="433">
        <v>68574.399506530695</v>
      </c>
      <c r="BS75" s="433">
        <v>529302.00036054745</v>
      </c>
      <c r="BT75" s="433">
        <v>1198257.7</v>
      </c>
      <c r="BU75" s="424">
        <f t="shared" si="23"/>
        <v>1953054.9135037595</v>
      </c>
      <c r="BV75" s="417">
        <f t="shared" si="29"/>
        <v>2.9054645671941493E-3</v>
      </c>
      <c r="BW75" s="418"/>
      <c r="BX75" s="424">
        <f t="shared" si="24"/>
        <v>1953054.9135037595</v>
      </c>
      <c r="BY75" s="434">
        <v>110673.723</v>
      </c>
      <c r="BZ75" s="434">
        <v>32.079340000000002</v>
      </c>
      <c r="CA75" s="434">
        <v>80198.350000000006</v>
      </c>
      <c r="CB75" s="434">
        <v>52.23032027</v>
      </c>
      <c r="CC75" s="434">
        <v>469.1603475</v>
      </c>
      <c r="CD75" s="434">
        <v>1217410.953</v>
      </c>
      <c r="CE75" s="434">
        <v>882181.85</v>
      </c>
      <c r="CF75" s="435">
        <v>612.69837359999997</v>
      </c>
      <c r="CG75" s="435">
        <v>5160.7638230000002</v>
      </c>
      <c r="CH75" s="431" t="s">
        <v>343</v>
      </c>
    </row>
    <row r="76" spans="1:86" s="365" customFormat="1">
      <c r="A76" s="407" t="str">
        <f t="shared" si="25"/>
        <v>ResidentialMarket Support</v>
      </c>
      <c r="B76" s="437" t="s">
        <v>463</v>
      </c>
      <c r="C76" s="438"/>
      <c r="D76" s="439" t="s">
        <v>464</v>
      </c>
      <c r="E76" s="635" t="s">
        <v>15</v>
      </c>
      <c r="F76" s="411" t="s">
        <v>21</v>
      </c>
      <c r="G76" s="411" t="s">
        <v>17</v>
      </c>
      <c r="H76" s="412" t="s">
        <v>23</v>
      </c>
      <c r="I76" s="413"/>
      <c r="J76" s="414">
        <v>216000</v>
      </c>
      <c r="K76" s="414"/>
      <c r="L76" s="414">
        <v>111988</v>
      </c>
      <c r="M76" s="414">
        <v>216000</v>
      </c>
      <c r="N76" s="414">
        <v>550000</v>
      </c>
      <c r="O76" s="415">
        <v>67709.751355155284</v>
      </c>
      <c r="P76" s="414">
        <v>18750</v>
      </c>
      <c r="Q76" s="414">
        <v>402949.0067292949</v>
      </c>
      <c r="R76" s="414">
        <v>225000</v>
      </c>
      <c r="S76" s="416">
        <f t="shared" si="17"/>
        <v>714408.75808445015</v>
      </c>
      <c r="T76" s="417">
        <f t="shared" si="26"/>
        <v>0.29892501469900029</v>
      </c>
      <c r="U76" s="442"/>
      <c r="V76" s="419">
        <f t="shared" si="18"/>
        <v>714408.75808445015</v>
      </c>
      <c r="W76" s="425">
        <v>0</v>
      </c>
      <c r="X76" s="425">
        <v>0</v>
      </c>
      <c r="Y76" s="425">
        <v>0</v>
      </c>
      <c r="Z76" s="425">
        <v>0</v>
      </c>
      <c r="AA76" s="425">
        <v>0</v>
      </c>
      <c r="AB76" s="425">
        <v>0</v>
      </c>
      <c r="AC76" s="425">
        <v>0</v>
      </c>
      <c r="AD76" s="426">
        <v>0</v>
      </c>
      <c r="AE76" s="426">
        <v>0</v>
      </c>
      <c r="AF76" s="421" t="s">
        <v>342</v>
      </c>
      <c r="AG76" s="422">
        <v>68669.748376745774</v>
      </c>
      <c r="AH76" s="423">
        <v>18750</v>
      </c>
      <c r="AI76" s="423">
        <v>406762.99119078019</v>
      </c>
      <c r="AJ76" s="423">
        <v>225000</v>
      </c>
      <c r="AK76" s="424">
        <f t="shared" si="19"/>
        <v>719182.73956752592</v>
      </c>
      <c r="AL76" s="417">
        <f t="shared" si="27"/>
        <v>6.6824229533191644E-3</v>
      </c>
      <c r="AM76" s="442"/>
      <c r="AN76" s="424">
        <f t="shared" si="20"/>
        <v>719182.73956752592</v>
      </c>
      <c r="AO76" s="425">
        <v>0</v>
      </c>
      <c r="AP76" s="425">
        <v>0</v>
      </c>
      <c r="AQ76" s="425">
        <v>0</v>
      </c>
      <c r="AR76" s="425">
        <v>0</v>
      </c>
      <c r="AS76" s="425">
        <v>0</v>
      </c>
      <c r="AT76" s="425">
        <v>0</v>
      </c>
      <c r="AU76" s="425">
        <v>0</v>
      </c>
      <c r="AV76" s="426">
        <v>0</v>
      </c>
      <c r="AW76" s="426">
        <v>0</v>
      </c>
      <c r="AX76" s="421" t="s">
        <v>343</v>
      </c>
      <c r="AY76" s="427">
        <v>70967.685679718474</v>
      </c>
      <c r="AZ76" s="414">
        <v>18750</v>
      </c>
      <c r="BA76" s="414">
        <v>477385.82658587559</v>
      </c>
      <c r="BB76" s="414">
        <v>225000</v>
      </c>
      <c r="BC76" s="424">
        <f t="shared" si="21"/>
        <v>792103.51226559409</v>
      </c>
      <c r="BD76" s="417">
        <f t="shared" si="28"/>
        <v>0.10139394160365754</v>
      </c>
      <c r="BE76" s="442"/>
      <c r="BF76" s="424">
        <f t="shared" si="22"/>
        <v>792103.51226559409</v>
      </c>
      <c r="BG76" s="425">
        <v>0</v>
      </c>
      <c r="BH76" s="425">
        <v>0</v>
      </c>
      <c r="BI76" s="425">
        <v>0</v>
      </c>
      <c r="BJ76" s="425">
        <v>0</v>
      </c>
      <c r="BK76" s="425">
        <v>0</v>
      </c>
      <c r="BL76" s="425">
        <v>0</v>
      </c>
      <c r="BM76" s="425">
        <v>0</v>
      </c>
      <c r="BN76" s="426">
        <v>0</v>
      </c>
      <c r="BO76" s="426">
        <v>0</v>
      </c>
      <c r="BP76" s="421" t="s">
        <v>343</v>
      </c>
      <c r="BQ76" s="422">
        <v>72787.934009991935</v>
      </c>
      <c r="BR76" s="423">
        <v>18750</v>
      </c>
      <c r="BS76" s="423">
        <v>483025.07733186416</v>
      </c>
      <c r="BT76" s="423">
        <v>225000</v>
      </c>
      <c r="BU76" s="424">
        <f t="shared" si="23"/>
        <v>799563.01134185609</v>
      </c>
      <c r="BV76" s="417">
        <f t="shared" si="29"/>
        <v>9.4173286202533756E-3</v>
      </c>
      <c r="BW76" s="442"/>
      <c r="BX76" s="424">
        <f t="shared" si="24"/>
        <v>799563.01134185609</v>
      </c>
      <c r="BY76" s="425">
        <v>0</v>
      </c>
      <c r="BZ76" s="425">
        <v>0</v>
      </c>
      <c r="CA76" s="425">
        <v>0</v>
      </c>
      <c r="CB76" s="425">
        <v>0</v>
      </c>
      <c r="CC76" s="425">
        <v>0</v>
      </c>
      <c r="CD76" s="425">
        <v>0</v>
      </c>
      <c r="CE76" s="425">
        <v>0</v>
      </c>
      <c r="CF76" s="426">
        <v>0</v>
      </c>
      <c r="CG76" s="426">
        <v>0</v>
      </c>
      <c r="CH76" s="421" t="s">
        <v>343</v>
      </c>
    </row>
    <row r="77" spans="1:86" s="365" customFormat="1">
      <c r="A77" s="407" t="str">
        <f t="shared" si="25"/>
        <v>PublicMarket Support</v>
      </c>
      <c r="B77" s="437" t="s">
        <v>463</v>
      </c>
      <c r="C77" s="438"/>
      <c r="D77" s="439" t="s">
        <v>464</v>
      </c>
      <c r="E77" s="635" t="s">
        <v>15</v>
      </c>
      <c r="F77" s="411" t="s">
        <v>21</v>
      </c>
      <c r="G77" s="411" t="s">
        <v>30</v>
      </c>
      <c r="H77" s="412" t="s">
        <v>23</v>
      </c>
      <c r="I77" s="413"/>
      <c r="J77" s="414">
        <v>216000</v>
      </c>
      <c r="K77" s="414"/>
      <c r="L77" s="414">
        <v>111988</v>
      </c>
      <c r="M77" s="414">
        <v>216000</v>
      </c>
      <c r="N77" s="414">
        <v>550000</v>
      </c>
      <c r="O77" s="415">
        <v>67709.751355155284</v>
      </c>
      <c r="P77" s="414">
        <v>18750</v>
      </c>
      <c r="Q77" s="414">
        <v>402949.0067292949</v>
      </c>
      <c r="R77" s="414">
        <v>225000</v>
      </c>
      <c r="S77" s="416">
        <f t="shared" si="17"/>
        <v>714408.75808445015</v>
      </c>
      <c r="T77" s="417">
        <f t="shared" si="26"/>
        <v>0.29892501469900029</v>
      </c>
      <c r="U77" s="442"/>
      <c r="V77" s="419">
        <f t="shared" si="18"/>
        <v>714408.75808445015</v>
      </c>
      <c r="W77" s="425">
        <v>0</v>
      </c>
      <c r="X77" s="425">
        <v>0</v>
      </c>
      <c r="Y77" s="425">
        <v>0</v>
      </c>
      <c r="Z77" s="425">
        <v>0</v>
      </c>
      <c r="AA77" s="425">
        <v>0</v>
      </c>
      <c r="AB77" s="425">
        <v>0</v>
      </c>
      <c r="AC77" s="425">
        <v>0</v>
      </c>
      <c r="AD77" s="426">
        <v>0</v>
      </c>
      <c r="AE77" s="426">
        <v>0</v>
      </c>
      <c r="AF77" s="421" t="s">
        <v>342</v>
      </c>
      <c r="AG77" s="422">
        <v>68669.748376745774</v>
      </c>
      <c r="AH77" s="423">
        <v>18750</v>
      </c>
      <c r="AI77" s="423">
        <v>406762.99119078019</v>
      </c>
      <c r="AJ77" s="423">
        <v>225000</v>
      </c>
      <c r="AK77" s="424">
        <f t="shared" si="19"/>
        <v>719182.73956752592</v>
      </c>
      <c r="AL77" s="417">
        <f t="shared" si="27"/>
        <v>6.6824229533191644E-3</v>
      </c>
      <c r="AM77" s="442"/>
      <c r="AN77" s="424">
        <f t="shared" si="20"/>
        <v>719182.73956752592</v>
      </c>
      <c r="AO77" s="425">
        <v>0</v>
      </c>
      <c r="AP77" s="425">
        <v>0</v>
      </c>
      <c r="AQ77" s="425">
        <v>0</v>
      </c>
      <c r="AR77" s="425">
        <v>0</v>
      </c>
      <c r="AS77" s="425">
        <v>0</v>
      </c>
      <c r="AT77" s="425">
        <v>0</v>
      </c>
      <c r="AU77" s="425">
        <v>0</v>
      </c>
      <c r="AV77" s="426">
        <v>0</v>
      </c>
      <c r="AW77" s="426">
        <v>0</v>
      </c>
      <c r="AX77" s="421" t="s">
        <v>343</v>
      </c>
      <c r="AY77" s="427">
        <v>70967.685679718474</v>
      </c>
      <c r="AZ77" s="414">
        <v>18750</v>
      </c>
      <c r="BA77" s="414">
        <v>477385.82658587559</v>
      </c>
      <c r="BB77" s="414">
        <v>225000</v>
      </c>
      <c r="BC77" s="424">
        <f t="shared" si="21"/>
        <v>792103.51226559409</v>
      </c>
      <c r="BD77" s="417">
        <f t="shared" si="28"/>
        <v>0.10139394160365754</v>
      </c>
      <c r="BE77" s="442"/>
      <c r="BF77" s="424">
        <f t="shared" si="22"/>
        <v>792103.51226559409</v>
      </c>
      <c r="BG77" s="425">
        <v>0</v>
      </c>
      <c r="BH77" s="425">
        <v>0</v>
      </c>
      <c r="BI77" s="425">
        <v>0</v>
      </c>
      <c r="BJ77" s="425">
        <v>0</v>
      </c>
      <c r="BK77" s="425">
        <v>0</v>
      </c>
      <c r="BL77" s="425">
        <v>0</v>
      </c>
      <c r="BM77" s="425">
        <v>0</v>
      </c>
      <c r="BN77" s="426">
        <v>0</v>
      </c>
      <c r="BO77" s="426">
        <v>0</v>
      </c>
      <c r="BP77" s="421" t="s">
        <v>343</v>
      </c>
      <c r="BQ77" s="422">
        <v>72787.934009991935</v>
      </c>
      <c r="BR77" s="423">
        <v>18750</v>
      </c>
      <c r="BS77" s="423">
        <v>483025.07733186416</v>
      </c>
      <c r="BT77" s="423">
        <v>225000</v>
      </c>
      <c r="BU77" s="424">
        <f t="shared" si="23"/>
        <v>799563.01134185609</v>
      </c>
      <c r="BV77" s="417">
        <f t="shared" si="29"/>
        <v>9.4173286202533756E-3</v>
      </c>
      <c r="BW77" s="442"/>
      <c r="BX77" s="424">
        <f t="shared" si="24"/>
        <v>799563.01134185609</v>
      </c>
      <c r="BY77" s="425">
        <v>0</v>
      </c>
      <c r="BZ77" s="425">
        <v>0</v>
      </c>
      <c r="CA77" s="425">
        <v>0</v>
      </c>
      <c r="CB77" s="425">
        <v>0</v>
      </c>
      <c r="CC77" s="425">
        <v>0</v>
      </c>
      <c r="CD77" s="425">
        <v>0</v>
      </c>
      <c r="CE77" s="425">
        <v>0</v>
      </c>
      <c r="CF77" s="426">
        <v>0</v>
      </c>
      <c r="CG77" s="426">
        <v>0</v>
      </c>
      <c r="CH77" s="421" t="s">
        <v>343</v>
      </c>
    </row>
    <row r="78" spans="1:86" s="365" customFormat="1">
      <c r="A78" s="407" t="str">
        <f t="shared" si="25"/>
        <v>IndustrialMarket Support</v>
      </c>
      <c r="B78" s="437" t="s">
        <v>463</v>
      </c>
      <c r="C78" s="438"/>
      <c r="D78" s="439" t="s">
        <v>464</v>
      </c>
      <c r="E78" s="635" t="s">
        <v>15</v>
      </c>
      <c r="F78" s="411" t="s">
        <v>21</v>
      </c>
      <c r="G78" s="411" t="s">
        <v>25</v>
      </c>
      <c r="H78" s="412" t="s">
        <v>23</v>
      </c>
      <c r="I78" s="413"/>
      <c r="J78" s="414">
        <v>216000</v>
      </c>
      <c r="K78" s="414"/>
      <c r="L78" s="414">
        <v>111988</v>
      </c>
      <c r="M78" s="414">
        <v>216000</v>
      </c>
      <c r="N78" s="414">
        <v>550000</v>
      </c>
      <c r="O78" s="415">
        <v>67709.751355155284</v>
      </c>
      <c r="P78" s="414">
        <v>18750</v>
      </c>
      <c r="Q78" s="414">
        <v>402949.0067292949</v>
      </c>
      <c r="R78" s="414">
        <v>225000</v>
      </c>
      <c r="S78" s="416">
        <f t="shared" si="17"/>
        <v>714408.75808445015</v>
      </c>
      <c r="T78" s="417">
        <f t="shared" si="26"/>
        <v>0.29892501469900029</v>
      </c>
      <c r="U78" s="442"/>
      <c r="V78" s="419">
        <f t="shared" si="18"/>
        <v>714408.75808445015</v>
      </c>
      <c r="W78" s="425">
        <v>0</v>
      </c>
      <c r="X78" s="425">
        <v>0</v>
      </c>
      <c r="Y78" s="425">
        <v>0</v>
      </c>
      <c r="Z78" s="425">
        <v>0</v>
      </c>
      <c r="AA78" s="425">
        <v>0</v>
      </c>
      <c r="AB78" s="425">
        <v>0</v>
      </c>
      <c r="AC78" s="425">
        <v>0</v>
      </c>
      <c r="AD78" s="426">
        <v>0</v>
      </c>
      <c r="AE78" s="426">
        <v>0</v>
      </c>
      <c r="AF78" s="421" t="s">
        <v>342</v>
      </c>
      <c r="AG78" s="422">
        <v>68669.748376745774</v>
      </c>
      <c r="AH78" s="423">
        <v>18750</v>
      </c>
      <c r="AI78" s="423">
        <v>406762.99119078019</v>
      </c>
      <c r="AJ78" s="423">
        <v>225000</v>
      </c>
      <c r="AK78" s="424">
        <f t="shared" si="19"/>
        <v>719182.73956752592</v>
      </c>
      <c r="AL78" s="417">
        <f t="shared" si="27"/>
        <v>6.6824229533191644E-3</v>
      </c>
      <c r="AM78" s="442"/>
      <c r="AN78" s="424">
        <f t="shared" si="20"/>
        <v>719182.73956752592</v>
      </c>
      <c r="AO78" s="425">
        <v>0</v>
      </c>
      <c r="AP78" s="425">
        <v>0</v>
      </c>
      <c r="AQ78" s="425">
        <v>0</v>
      </c>
      <c r="AR78" s="425">
        <v>0</v>
      </c>
      <c r="AS78" s="425">
        <v>0</v>
      </c>
      <c r="AT78" s="425">
        <v>0</v>
      </c>
      <c r="AU78" s="425">
        <v>0</v>
      </c>
      <c r="AV78" s="426">
        <v>0</v>
      </c>
      <c r="AW78" s="426">
        <v>0</v>
      </c>
      <c r="AX78" s="421" t="s">
        <v>343</v>
      </c>
      <c r="AY78" s="427">
        <v>70967.685679718474</v>
      </c>
      <c r="AZ78" s="414">
        <v>18750</v>
      </c>
      <c r="BA78" s="414">
        <v>477385.82658587559</v>
      </c>
      <c r="BB78" s="414">
        <v>225000</v>
      </c>
      <c r="BC78" s="424">
        <f t="shared" si="21"/>
        <v>792103.51226559409</v>
      </c>
      <c r="BD78" s="417">
        <f t="shared" si="28"/>
        <v>0.10139394160365754</v>
      </c>
      <c r="BE78" s="442"/>
      <c r="BF78" s="424">
        <f t="shared" si="22"/>
        <v>792103.51226559409</v>
      </c>
      <c r="BG78" s="425">
        <v>0</v>
      </c>
      <c r="BH78" s="425">
        <v>0</v>
      </c>
      <c r="BI78" s="425">
        <v>0</v>
      </c>
      <c r="BJ78" s="425">
        <v>0</v>
      </c>
      <c r="BK78" s="425">
        <v>0</v>
      </c>
      <c r="BL78" s="425">
        <v>0</v>
      </c>
      <c r="BM78" s="425">
        <v>0</v>
      </c>
      <c r="BN78" s="426">
        <v>0</v>
      </c>
      <c r="BO78" s="426">
        <v>0</v>
      </c>
      <c r="BP78" s="421" t="s">
        <v>343</v>
      </c>
      <c r="BQ78" s="422">
        <v>72787.934009991935</v>
      </c>
      <c r="BR78" s="423">
        <v>18750</v>
      </c>
      <c r="BS78" s="423">
        <v>483025.07733186416</v>
      </c>
      <c r="BT78" s="423">
        <v>225000</v>
      </c>
      <c r="BU78" s="424">
        <f t="shared" si="23"/>
        <v>799563.01134185609</v>
      </c>
      <c r="BV78" s="417">
        <f t="shared" si="29"/>
        <v>9.4173286202533756E-3</v>
      </c>
      <c r="BW78" s="442"/>
      <c r="BX78" s="424">
        <f t="shared" si="24"/>
        <v>799563.01134185609</v>
      </c>
      <c r="BY78" s="425">
        <v>0</v>
      </c>
      <c r="BZ78" s="425">
        <v>0</v>
      </c>
      <c r="CA78" s="425">
        <v>0</v>
      </c>
      <c r="CB78" s="425">
        <v>0</v>
      </c>
      <c r="CC78" s="425">
        <v>0</v>
      </c>
      <c r="CD78" s="425">
        <v>0</v>
      </c>
      <c r="CE78" s="425">
        <v>0</v>
      </c>
      <c r="CF78" s="426">
        <v>0</v>
      </c>
      <c r="CG78" s="426">
        <v>0</v>
      </c>
      <c r="CH78" s="421" t="s">
        <v>343</v>
      </c>
    </row>
    <row r="79" spans="1:86" s="365" customFormat="1">
      <c r="A79" s="407" t="str">
        <f t="shared" si="25"/>
        <v>AgriculturalMarket Support</v>
      </c>
      <c r="B79" s="437" t="s">
        <v>463</v>
      </c>
      <c r="C79" s="438"/>
      <c r="D79" s="439" t="s">
        <v>464</v>
      </c>
      <c r="E79" s="635" t="s">
        <v>15</v>
      </c>
      <c r="F79" s="411" t="s">
        <v>21</v>
      </c>
      <c r="G79" s="411" t="s">
        <v>27</v>
      </c>
      <c r="H79" s="412" t="s">
        <v>23</v>
      </c>
      <c r="I79" s="413"/>
      <c r="J79" s="414">
        <v>216000</v>
      </c>
      <c r="K79" s="414"/>
      <c r="L79" s="414">
        <v>111988</v>
      </c>
      <c r="M79" s="414">
        <v>216000</v>
      </c>
      <c r="N79" s="414">
        <v>550000</v>
      </c>
      <c r="O79" s="429">
        <v>67709.751355155284</v>
      </c>
      <c r="P79" s="430">
        <v>18750</v>
      </c>
      <c r="Q79" s="430">
        <v>402949.0067292949</v>
      </c>
      <c r="R79" s="430">
        <v>225000</v>
      </c>
      <c r="S79" s="445">
        <f t="shared" si="17"/>
        <v>714408.75808445015</v>
      </c>
      <c r="T79" s="417">
        <f t="shared" si="26"/>
        <v>0.29892501469900029</v>
      </c>
      <c r="U79" s="442"/>
      <c r="V79" s="419">
        <f t="shared" si="18"/>
        <v>714408.75808445015</v>
      </c>
      <c r="W79" s="434">
        <v>0</v>
      </c>
      <c r="X79" s="434">
        <v>0</v>
      </c>
      <c r="Y79" s="434">
        <v>0</v>
      </c>
      <c r="Z79" s="434">
        <v>0</v>
      </c>
      <c r="AA79" s="434">
        <v>0</v>
      </c>
      <c r="AB79" s="434">
        <v>0</v>
      </c>
      <c r="AC79" s="434">
        <v>0</v>
      </c>
      <c r="AD79" s="435">
        <v>0</v>
      </c>
      <c r="AE79" s="435">
        <v>0</v>
      </c>
      <c r="AF79" s="431" t="s">
        <v>342</v>
      </c>
      <c r="AG79" s="432">
        <v>68669.748376745774</v>
      </c>
      <c r="AH79" s="433">
        <v>18750</v>
      </c>
      <c r="AI79" s="433">
        <v>406762.99119078019</v>
      </c>
      <c r="AJ79" s="433">
        <v>225000</v>
      </c>
      <c r="AK79" s="424">
        <f t="shared" si="19"/>
        <v>719182.73956752592</v>
      </c>
      <c r="AL79" s="417">
        <f t="shared" si="27"/>
        <v>6.6824229533191644E-3</v>
      </c>
      <c r="AM79" s="442"/>
      <c r="AN79" s="424">
        <f t="shared" si="20"/>
        <v>719182.73956752592</v>
      </c>
      <c r="AO79" s="434">
        <v>0</v>
      </c>
      <c r="AP79" s="434">
        <v>0</v>
      </c>
      <c r="AQ79" s="434">
        <v>0</v>
      </c>
      <c r="AR79" s="434">
        <v>0</v>
      </c>
      <c r="AS79" s="434">
        <v>0</v>
      </c>
      <c r="AT79" s="434">
        <v>0</v>
      </c>
      <c r="AU79" s="434">
        <v>0</v>
      </c>
      <c r="AV79" s="435">
        <v>0</v>
      </c>
      <c r="AW79" s="435">
        <v>0</v>
      </c>
      <c r="AX79" s="431" t="s">
        <v>343</v>
      </c>
      <c r="AY79" s="436">
        <v>70967.685679718474</v>
      </c>
      <c r="AZ79" s="430">
        <v>18750</v>
      </c>
      <c r="BA79" s="430">
        <v>477385.82658587559</v>
      </c>
      <c r="BB79" s="430">
        <v>225000</v>
      </c>
      <c r="BC79" s="424">
        <f t="shared" si="21"/>
        <v>792103.51226559409</v>
      </c>
      <c r="BD79" s="417">
        <f t="shared" si="28"/>
        <v>0.10139394160365754</v>
      </c>
      <c r="BE79" s="442"/>
      <c r="BF79" s="424">
        <f t="shared" si="22"/>
        <v>792103.51226559409</v>
      </c>
      <c r="BG79" s="434">
        <v>0</v>
      </c>
      <c r="BH79" s="434">
        <v>0</v>
      </c>
      <c r="BI79" s="434">
        <v>0</v>
      </c>
      <c r="BJ79" s="434">
        <v>0</v>
      </c>
      <c r="BK79" s="434">
        <v>0</v>
      </c>
      <c r="BL79" s="434">
        <v>0</v>
      </c>
      <c r="BM79" s="434">
        <v>0</v>
      </c>
      <c r="BN79" s="435">
        <v>0</v>
      </c>
      <c r="BO79" s="435">
        <v>0</v>
      </c>
      <c r="BP79" s="431" t="s">
        <v>343</v>
      </c>
      <c r="BQ79" s="432">
        <v>72787.934009991935</v>
      </c>
      <c r="BR79" s="433">
        <v>18750</v>
      </c>
      <c r="BS79" s="433">
        <v>483025.07733186416</v>
      </c>
      <c r="BT79" s="433">
        <v>225000</v>
      </c>
      <c r="BU79" s="424">
        <f t="shared" si="23"/>
        <v>799563.01134185609</v>
      </c>
      <c r="BV79" s="417">
        <f t="shared" si="29"/>
        <v>9.4173286202533756E-3</v>
      </c>
      <c r="BW79" s="442"/>
      <c r="BX79" s="424">
        <f t="shared" si="24"/>
        <v>799563.01134185609</v>
      </c>
      <c r="BY79" s="434">
        <v>0</v>
      </c>
      <c r="BZ79" s="434">
        <v>0</v>
      </c>
      <c r="CA79" s="434">
        <v>0</v>
      </c>
      <c r="CB79" s="434">
        <v>0</v>
      </c>
      <c r="CC79" s="434">
        <v>0</v>
      </c>
      <c r="CD79" s="434">
        <v>0</v>
      </c>
      <c r="CE79" s="434">
        <v>0</v>
      </c>
      <c r="CF79" s="435">
        <v>0</v>
      </c>
      <c r="CG79" s="435">
        <v>0</v>
      </c>
      <c r="CH79" s="431" t="s">
        <v>343</v>
      </c>
    </row>
    <row r="80" spans="1:86" s="365" customFormat="1">
      <c r="A80" s="407" t="str">
        <f t="shared" si="25"/>
        <v>CommercialMarket Support</v>
      </c>
      <c r="B80" s="437" t="s">
        <v>463</v>
      </c>
      <c r="C80" s="438"/>
      <c r="D80" s="439" t="s">
        <v>464</v>
      </c>
      <c r="E80" s="635" t="s">
        <v>15</v>
      </c>
      <c r="F80" s="411" t="s">
        <v>21</v>
      </c>
      <c r="G80" s="411" t="s">
        <v>22</v>
      </c>
      <c r="H80" s="412" t="s">
        <v>23</v>
      </c>
      <c r="I80" s="413"/>
      <c r="J80" s="414">
        <v>216000</v>
      </c>
      <c r="K80" s="414"/>
      <c r="L80" s="414">
        <v>111988</v>
      </c>
      <c r="M80" s="414">
        <v>216000</v>
      </c>
      <c r="N80" s="414">
        <v>550000</v>
      </c>
      <c r="O80" s="415">
        <v>67709.751355155284</v>
      </c>
      <c r="P80" s="414">
        <v>18750</v>
      </c>
      <c r="Q80" s="414">
        <v>402949.0067292949</v>
      </c>
      <c r="R80" s="414">
        <v>225000</v>
      </c>
      <c r="S80" s="416">
        <f t="shared" si="17"/>
        <v>714408.75808445015</v>
      </c>
      <c r="T80" s="417">
        <f t="shared" si="26"/>
        <v>0.29892501469900029</v>
      </c>
      <c r="U80" s="442"/>
      <c r="V80" s="419">
        <f t="shared" si="18"/>
        <v>714408.75808445015</v>
      </c>
      <c r="W80" s="425">
        <v>0</v>
      </c>
      <c r="X80" s="425">
        <v>0</v>
      </c>
      <c r="Y80" s="425">
        <v>0</v>
      </c>
      <c r="Z80" s="425">
        <v>0</v>
      </c>
      <c r="AA80" s="425">
        <v>0</v>
      </c>
      <c r="AB80" s="425">
        <v>0</v>
      </c>
      <c r="AC80" s="425">
        <v>0</v>
      </c>
      <c r="AD80" s="426">
        <v>0</v>
      </c>
      <c r="AE80" s="426">
        <v>0</v>
      </c>
      <c r="AF80" s="421" t="s">
        <v>342</v>
      </c>
      <c r="AG80" s="422">
        <v>68669.748376745774</v>
      </c>
      <c r="AH80" s="423">
        <v>18750</v>
      </c>
      <c r="AI80" s="423">
        <v>406762.99119078019</v>
      </c>
      <c r="AJ80" s="423">
        <v>225000</v>
      </c>
      <c r="AK80" s="424">
        <f t="shared" si="19"/>
        <v>719182.73956752592</v>
      </c>
      <c r="AL80" s="417">
        <f t="shared" si="27"/>
        <v>6.6824229533191644E-3</v>
      </c>
      <c r="AM80" s="442"/>
      <c r="AN80" s="424">
        <f t="shared" si="20"/>
        <v>719182.73956752592</v>
      </c>
      <c r="AO80" s="425">
        <v>0</v>
      </c>
      <c r="AP80" s="425">
        <v>0</v>
      </c>
      <c r="AQ80" s="425">
        <v>0</v>
      </c>
      <c r="AR80" s="425">
        <v>0</v>
      </c>
      <c r="AS80" s="425">
        <v>0</v>
      </c>
      <c r="AT80" s="425">
        <v>0</v>
      </c>
      <c r="AU80" s="425">
        <v>0</v>
      </c>
      <c r="AV80" s="426">
        <v>0</v>
      </c>
      <c r="AW80" s="426">
        <v>0</v>
      </c>
      <c r="AX80" s="421" t="s">
        <v>343</v>
      </c>
      <c r="AY80" s="427">
        <v>70967.685679718474</v>
      </c>
      <c r="AZ80" s="414">
        <v>18750</v>
      </c>
      <c r="BA80" s="414">
        <v>477385.82658587559</v>
      </c>
      <c r="BB80" s="414">
        <v>225000</v>
      </c>
      <c r="BC80" s="424">
        <f t="shared" si="21"/>
        <v>792103.51226559409</v>
      </c>
      <c r="BD80" s="417">
        <f t="shared" si="28"/>
        <v>0.10139394160365754</v>
      </c>
      <c r="BE80" s="442"/>
      <c r="BF80" s="424">
        <f t="shared" si="22"/>
        <v>792103.51226559409</v>
      </c>
      <c r="BG80" s="425">
        <v>0</v>
      </c>
      <c r="BH80" s="425">
        <v>0</v>
      </c>
      <c r="BI80" s="425">
        <v>0</v>
      </c>
      <c r="BJ80" s="425">
        <v>0</v>
      </c>
      <c r="BK80" s="425">
        <v>0</v>
      </c>
      <c r="BL80" s="425">
        <v>0</v>
      </c>
      <c r="BM80" s="425">
        <v>0</v>
      </c>
      <c r="BN80" s="426">
        <v>0</v>
      </c>
      <c r="BO80" s="426">
        <v>0</v>
      </c>
      <c r="BP80" s="421" t="s">
        <v>343</v>
      </c>
      <c r="BQ80" s="422">
        <v>72787.934009991935</v>
      </c>
      <c r="BR80" s="423">
        <v>18750</v>
      </c>
      <c r="BS80" s="423">
        <v>483025.07733186416</v>
      </c>
      <c r="BT80" s="423">
        <v>225000</v>
      </c>
      <c r="BU80" s="424">
        <f t="shared" si="23"/>
        <v>799563.01134185609</v>
      </c>
      <c r="BV80" s="417">
        <f t="shared" si="29"/>
        <v>9.4173286202533756E-3</v>
      </c>
      <c r="BW80" s="442"/>
      <c r="BX80" s="424">
        <f t="shared" si="24"/>
        <v>799563.01134185609</v>
      </c>
      <c r="BY80" s="425">
        <v>0</v>
      </c>
      <c r="BZ80" s="425">
        <v>0</v>
      </c>
      <c r="CA80" s="425">
        <v>0</v>
      </c>
      <c r="CB80" s="425">
        <v>0</v>
      </c>
      <c r="CC80" s="425">
        <v>0</v>
      </c>
      <c r="CD80" s="425">
        <v>0</v>
      </c>
      <c r="CE80" s="425">
        <v>0</v>
      </c>
      <c r="CF80" s="426">
        <v>0</v>
      </c>
      <c r="CG80" s="426">
        <v>0</v>
      </c>
      <c r="CH80" s="421" t="s">
        <v>343</v>
      </c>
    </row>
    <row r="81" spans="1:86" s="365" customFormat="1">
      <c r="A81" s="407" t="str">
        <f t="shared" si="25"/>
        <v>WE&amp;TMarket Support</v>
      </c>
      <c r="B81" s="437" t="s">
        <v>465</v>
      </c>
      <c r="C81" s="438"/>
      <c r="D81" s="439" t="s">
        <v>466</v>
      </c>
      <c r="E81" s="635" t="s">
        <v>15</v>
      </c>
      <c r="F81" s="411" t="s">
        <v>21</v>
      </c>
      <c r="G81" s="411" t="s">
        <v>32</v>
      </c>
      <c r="H81" s="412" t="s">
        <v>23</v>
      </c>
      <c r="I81" s="413"/>
      <c r="J81" s="414">
        <v>308000</v>
      </c>
      <c r="K81" s="414"/>
      <c r="L81" s="414">
        <v>180630</v>
      </c>
      <c r="M81" s="414">
        <v>508000</v>
      </c>
      <c r="N81" s="414">
        <v>508000</v>
      </c>
      <c r="O81" s="415">
        <v>43605.540985483327</v>
      </c>
      <c r="P81" s="414">
        <v>18000</v>
      </c>
      <c r="Q81" s="414">
        <v>422100.83423914609</v>
      </c>
      <c r="R81" s="414">
        <v>0</v>
      </c>
      <c r="S81" s="416">
        <f t="shared" si="17"/>
        <v>483706.37522462942</v>
      </c>
      <c r="T81" s="417">
        <f t="shared" si="26"/>
        <v>-4.782209601450902E-2</v>
      </c>
      <c r="U81" s="442"/>
      <c r="V81" s="419">
        <f t="shared" si="18"/>
        <v>483706.37522462942</v>
      </c>
      <c r="W81" s="425">
        <v>0</v>
      </c>
      <c r="X81" s="425">
        <v>0</v>
      </c>
      <c r="Y81" s="425">
        <v>0</v>
      </c>
      <c r="Z81" s="425">
        <v>0</v>
      </c>
      <c r="AA81" s="425">
        <v>0</v>
      </c>
      <c r="AB81" s="425">
        <v>0</v>
      </c>
      <c r="AC81" s="425">
        <v>0</v>
      </c>
      <c r="AD81" s="426">
        <v>0</v>
      </c>
      <c r="AE81" s="426">
        <v>0</v>
      </c>
      <c r="AF81" s="421" t="s">
        <v>342</v>
      </c>
      <c r="AG81" s="422">
        <v>44030.486875074945</v>
      </c>
      <c r="AH81" s="423">
        <v>18000</v>
      </c>
      <c r="AI81" s="423">
        <v>422439.80397674907</v>
      </c>
      <c r="AJ81" s="423">
        <v>0</v>
      </c>
      <c r="AK81" s="424">
        <f t="shared" si="19"/>
        <v>484470.29085182399</v>
      </c>
      <c r="AL81" s="417">
        <f t="shared" si="27"/>
        <v>1.5792961728896217E-3</v>
      </c>
      <c r="AM81" s="442"/>
      <c r="AN81" s="424">
        <f t="shared" si="20"/>
        <v>484470.29085182399</v>
      </c>
      <c r="AO81" s="425">
        <v>0</v>
      </c>
      <c r="AP81" s="425">
        <v>0</v>
      </c>
      <c r="AQ81" s="425">
        <v>0</v>
      </c>
      <c r="AR81" s="425">
        <v>0</v>
      </c>
      <c r="AS81" s="425">
        <v>0</v>
      </c>
      <c r="AT81" s="425">
        <v>0</v>
      </c>
      <c r="AU81" s="425">
        <v>0</v>
      </c>
      <c r="AV81" s="426">
        <v>0</v>
      </c>
      <c r="AW81" s="426">
        <v>0</v>
      </c>
      <c r="AX81" s="421" t="s">
        <v>343</v>
      </c>
      <c r="AY81" s="427">
        <v>44282.252145705963</v>
      </c>
      <c r="AZ81" s="414">
        <v>18000</v>
      </c>
      <c r="BA81" s="414">
        <v>422805.47338546452</v>
      </c>
      <c r="BB81" s="414">
        <v>0</v>
      </c>
      <c r="BC81" s="424">
        <f t="shared" si="21"/>
        <v>485087.72553117049</v>
      </c>
      <c r="BD81" s="417">
        <f t="shared" si="28"/>
        <v>1.2744531316066846E-3</v>
      </c>
      <c r="BE81" s="442"/>
      <c r="BF81" s="424">
        <f t="shared" si="22"/>
        <v>485087.72553117049</v>
      </c>
      <c r="BG81" s="425">
        <v>0</v>
      </c>
      <c r="BH81" s="425">
        <v>0</v>
      </c>
      <c r="BI81" s="425">
        <v>0</v>
      </c>
      <c r="BJ81" s="425">
        <v>0</v>
      </c>
      <c r="BK81" s="425">
        <v>0</v>
      </c>
      <c r="BL81" s="425">
        <v>0</v>
      </c>
      <c r="BM81" s="425">
        <v>0</v>
      </c>
      <c r="BN81" s="426">
        <v>0</v>
      </c>
      <c r="BO81" s="426">
        <v>0</v>
      </c>
      <c r="BP81" s="421" t="s">
        <v>343</v>
      </c>
      <c r="BQ81" s="422">
        <v>45141.138758112873</v>
      </c>
      <c r="BR81" s="423">
        <v>18000</v>
      </c>
      <c r="BS81" s="423">
        <v>423187.39476790075</v>
      </c>
      <c r="BT81" s="423">
        <v>0</v>
      </c>
      <c r="BU81" s="424">
        <f t="shared" si="23"/>
        <v>486328.53352601361</v>
      </c>
      <c r="BV81" s="417">
        <f t="shared" si="29"/>
        <v>2.5579043326326759E-3</v>
      </c>
      <c r="BW81" s="442"/>
      <c r="BX81" s="424">
        <f t="shared" si="24"/>
        <v>486328.53352601361</v>
      </c>
      <c r="BY81" s="425">
        <v>0</v>
      </c>
      <c r="BZ81" s="425">
        <v>0</v>
      </c>
      <c r="CA81" s="425">
        <v>0</v>
      </c>
      <c r="CB81" s="425">
        <v>0</v>
      </c>
      <c r="CC81" s="425">
        <v>0</v>
      </c>
      <c r="CD81" s="425">
        <v>0</v>
      </c>
      <c r="CE81" s="425">
        <v>0</v>
      </c>
      <c r="CF81" s="426">
        <v>0</v>
      </c>
      <c r="CG81" s="426">
        <v>0</v>
      </c>
      <c r="CH81" s="421" t="s">
        <v>343</v>
      </c>
    </row>
    <row r="82" spans="1:86" s="365" customFormat="1">
      <c r="A82" s="407" t="str">
        <f t="shared" si="25"/>
        <v>WE&amp;TMarket Support</v>
      </c>
      <c r="B82" s="408" t="s">
        <v>467</v>
      </c>
      <c r="C82" s="409"/>
      <c r="D82" s="410" t="s">
        <v>468</v>
      </c>
      <c r="E82" s="635" t="s">
        <v>20</v>
      </c>
      <c r="F82" s="411" t="s">
        <v>21</v>
      </c>
      <c r="G82" s="411" t="s">
        <v>32</v>
      </c>
      <c r="H82" s="412" t="s">
        <v>23</v>
      </c>
      <c r="I82" s="428"/>
      <c r="J82" s="414">
        <v>760000</v>
      </c>
      <c r="K82" s="414"/>
      <c r="L82" s="414">
        <v>204794</v>
      </c>
      <c r="M82" s="414">
        <v>760000</v>
      </c>
      <c r="N82" s="414">
        <v>760000</v>
      </c>
      <c r="O82" s="429">
        <v>159794.37686971505</v>
      </c>
      <c r="P82" s="430">
        <v>2267.2064856214292</v>
      </c>
      <c r="Q82" s="430">
        <v>1190308.9414190794</v>
      </c>
      <c r="R82" s="430">
        <v>0</v>
      </c>
      <c r="S82" s="445">
        <f t="shared" si="17"/>
        <v>1352370.5247744159</v>
      </c>
      <c r="T82" s="417">
        <f t="shared" si="26"/>
        <v>0.77943490101896828</v>
      </c>
      <c r="U82" s="418"/>
      <c r="V82" s="419">
        <f t="shared" si="18"/>
        <v>1352370.5247744159</v>
      </c>
      <c r="W82" s="434">
        <v>0</v>
      </c>
      <c r="X82" s="434">
        <v>0</v>
      </c>
      <c r="Y82" s="434">
        <v>0</v>
      </c>
      <c r="Z82" s="434">
        <v>0</v>
      </c>
      <c r="AA82" s="434">
        <v>0</v>
      </c>
      <c r="AB82" s="434">
        <v>0</v>
      </c>
      <c r="AC82" s="434">
        <v>0</v>
      </c>
      <c r="AD82" s="435">
        <v>0</v>
      </c>
      <c r="AE82" s="435">
        <v>0</v>
      </c>
      <c r="AF82" s="431" t="s">
        <v>342</v>
      </c>
      <c r="AG82" s="432">
        <v>161459.91509635514</v>
      </c>
      <c r="AH82" s="433">
        <v>2327.4781802501125</v>
      </c>
      <c r="AI82" s="433">
        <v>1191223.2989789213</v>
      </c>
      <c r="AJ82" s="433">
        <v>0</v>
      </c>
      <c r="AK82" s="424">
        <f t="shared" si="19"/>
        <v>1355010.6922555265</v>
      </c>
      <c r="AL82" s="417">
        <f t="shared" si="27"/>
        <v>1.9522515706640834E-3</v>
      </c>
      <c r="AM82" s="418"/>
      <c r="AN82" s="424">
        <f t="shared" si="20"/>
        <v>1355010.6922555265</v>
      </c>
      <c r="AO82" s="434">
        <v>0</v>
      </c>
      <c r="AP82" s="434">
        <v>0</v>
      </c>
      <c r="AQ82" s="434">
        <v>0</v>
      </c>
      <c r="AR82" s="434">
        <v>0</v>
      </c>
      <c r="AS82" s="434">
        <v>0</v>
      </c>
      <c r="AT82" s="434">
        <v>0</v>
      </c>
      <c r="AU82" s="434">
        <v>0</v>
      </c>
      <c r="AV82" s="435">
        <v>0</v>
      </c>
      <c r="AW82" s="435">
        <v>0</v>
      </c>
      <c r="AX82" s="431" t="s">
        <v>343</v>
      </c>
      <c r="AY82" s="436">
        <v>162717.12048181106</v>
      </c>
      <c r="AZ82" s="430">
        <v>2392.4973028803697</v>
      </c>
      <c r="BA82" s="430">
        <v>1192245.1261531971</v>
      </c>
      <c r="BB82" s="430">
        <v>0</v>
      </c>
      <c r="BC82" s="424">
        <f t="shared" si="21"/>
        <v>1357354.7439378886</v>
      </c>
      <c r="BD82" s="417">
        <f t="shared" si="28"/>
        <v>1.7299137901710825E-3</v>
      </c>
      <c r="BE82" s="418"/>
      <c r="BF82" s="424">
        <f t="shared" si="22"/>
        <v>1357354.7439378886</v>
      </c>
      <c r="BG82" s="434">
        <v>0</v>
      </c>
      <c r="BH82" s="434">
        <v>0</v>
      </c>
      <c r="BI82" s="434">
        <v>0</v>
      </c>
      <c r="BJ82" s="434">
        <v>0</v>
      </c>
      <c r="BK82" s="434">
        <v>0</v>
      </c>
      <c r="BL82" s="434">
        <v>0</v>
      </c>
      <c r="BM82" s="434">
        <v>0</v>
      </c>
      <c r="BN82" s="435">
        <v>0</v>
      </c>
      <c r="BO82" s="435">
        <v>0</v>
      </c>
      <c r="BP82" s="431" t="s">
        <v>343</v>
      </c>
      <c r="BQ82" s="432">
        <v>165714.3492205317</v>
      </c>
      <c r="BR82" s="433">
        <v>2460.4061642941947</v>
      </c>
      <c r="BS82" s="433">
        <v>1193326.7140126228</v>
      </c>
      <c r="BT82" s="433">
        <v>0</v>
      </c>
      <c r="BU82" s="424">
        <f t="shared" si="23"/>
        <v>1361501.4693974487</v>
      </c>
      <c r="BV82" s="417">
        <f t="shared" si="29"/>
        <v>3.0550049484704229E-3</v>
      </c>
      <c r="BW82" s="418"/>
      <c r="BX82" s="424">
        <f t="shared" si="24"/>
        <v>1361501.4693974487</v>
      </c>
      <c r="BY82" s="434">
        <v>0</v>
      </c>
      <c r="BZ82" s="434">
        <v>0</v>
      </c>
      <c r="CA82" s="434">
        <v>0</v>
      </c>
      <c r="CB82" s="434">
        <v>0</v>
      </c>
      <c r="CC82" s="434">
        <v>0</v>
      </c>
      <c r="CD82" s="434">
        <v>0</v>
      </c>
      <c r="CE82" s="434">
        <v>0</v>
      </c>
      <c r="CF82" s="435">
        <v>0</v>
      </c>
      <c r="CG82" s="435">
        <v>0</v>
      </c>
      <c r="CH82" s="431" t="s">
        <v>343</v>
      </c>
    </row>
    <row r="83" spans="1:86" s="365" customFormat="1">
      <c r="A83" s="407" t="str">
        <f t="shared" si="25"/>
        <v>AgriculturalMarket Support</v>
      </c>
      <c r="B83" s="437" t="s">
        <v>469</v>
      </c>
      <c r="C83" s="438"/>
      <c r="D83" s="443" t="s">
        <v>470</v>
      </c>
      <c r="E83" s="635" t="s">
        <v>20</v>
      </c>
      <c r="F83" s="411" t="s">
        <v>24</v>
      </c>
      <c r="G83" s="411" t="s">
        <v>27</v>
      </c>
      <c r="H83" s="412" t="s">
        <v>23</v>
      </c>
      <c r="I83" s="444"/>
      <c r="J83" s="414"/>
      <c r="K83" s="414"/>
      <c r="L83" s="414"/>
      <c r="M83" s="414">
        <v>7995</v>
      </c>
      <c r="N83" s="414">
        <v>61133</v>
      </c>
      <c r="O83" s="415">
        <v>7365.1283415159996</v>
      </c>
      <c r="P83" s="414">
        <v>6137.6069511239994</v>
      </c>
      <c r="Q83" s="414">
        <v>27414.64438152</v>
      </c>
      <c r="R83" s="414">
        <v>39008.28831063844</v>
      </c>
      <c r="S83" s="416">
        <f t="shared" si="17"/>
        <v>79925.667984798434</v>
      </c>
      <c r="T83" s="417">
        <f t="shared" si="26"/>
        <v>0.3074062778662659</v>
      </c>
      <c r="U83" s="442"/>
      <c r="V83" s="419">
        <f t="shared" si="18"/>
        <v>79925.667984798434</v>
      </c>
      <c r="W83" s="425">
        <v>0</v>
      </c>
      <c r="X83" s="425">
        <v>0</v>
      </c>
      <c r="Y83" s="425">
        <v>7548</v>
      </c>
      <c r="Z83" s="435">
        <v>0</v>
      </c>
      <c r="AA83" s="425">
        <v>44</v>
      </c>
      <c r="AB83" s="425">
        <v>0</v>
      </c>
      <c r="AC83" s="425">
        <v>113226</v>
      </c>
      <c r="AD83" s="426">
        <v>0</v>
      </c>
      <c r="AE83" s="426">
        <v>662</v>
      </c>
      <c r="AF83" s="421" t="s">
        <v>342</v>
      </c>
      <c r="AG83" s="422">
        <v>7039.8212635519994</v>
      </c>
      <c r="AH83" s="423">
        <v>5866.5177201839997</v>
      </c>
      <c r="AI83" s="423">
        <v>26203.779147479996</v>
      </c>
      <c r="AJ83" s="423">
        <v>39750.295298259553</v>
      </c>
      <c r="AK83" s="424">
        <f t="shared" si="19"/>
        <v>78860.413429475549</v>
      </c>
      <c r="AL83" s="417">
        <f t="shared" si="27"/>
        <v>-1.3328065716328979E-2</v>
      </c>
      <c r="AM83" s="442"/>
      <c r="AN83" s="424">
        <f t="shared" si="20"/>
        <v>78860.413429475549</v>
      </c>
      <c r="AO83" s="425">
        <v>0</v>
      </c>
      <c r="AP83" s="425">
        <v>0</v>
      </c>
      <c r="AQ83" s="425">
        <v>7692</v>
      </c>
      <c r="AR83" s="425">
        <v>0</v>
      </c>
      <c r="AS83" s="425">
        <v>45</v>
      </c>
      <c r="AT83" s="425">
        <v>0</v>
      </c>
      <c r="AU83" s="425">
        <v>115380</v>
      </c>
      <c r="AV83" s="426">
        <v>0</v>
      </c>
      <c r="AW83" s="426">
        <v>675</v>
      </c>
      <c r="AX83" s="421" t="s">
        <v>343</v>
      </c>
      <c r="AY83" s="427">
        <v>5303.5996791799998</v>
      </c>
      <c r="AZ83" s="414">
        <v>4419.6663994559995</v>
      </c>
      <c r="BA83" s="414">
        <v>19741.176585239999</v>
      </c>
      <c r="BB83" s="414">
        <v>31172.480992186589</v>
      </c>
      <c r="BC83" s="424">
        <f t="shared" si="21"/>
        <v>60636.923656062587</v>
      </c>
      <c r="BD83" s="417">
        <f t="shared" si="28"/>
        <v>-0.2310853948249984</v>
      </c>
      <c r="BE83" s="442"/>
      <c r="BF83" s="424">
        <f t="shared" si="22"/>
        <v>60636.923656062587</v>
      </c>
      <c r="BG83" s="425">
        <v>0</v>
      </c>
      <c r="BH83" s="425">
        <v>0</v>
      </c>
      <c r="BI83" s="425">
        <v>5731</v>
      </c>
      <c r="BJ83" s="425">
        <v>0</v>
      </c>
      <c r="BK83" s="425">
        <v>34</v>
      </c>
      <c r="BL83" s="425">
        <v>0</v>
      </c>
      <c r="BM83" s="425">
        <v>85958</v>
      </c>
      <c r="BN83" s="426">
        <v>0</v>
      </c>
      <c r="BO83" s="426">
        <v>503</v>
      </c>
      <c r="BP83" s="421" t="s">
        <v>343</v>
      </c>
      <c r="BQ83" s="422">
        <v>3999.1478691999996</v>
      </c>
      <c r="BR83" s="423">
        <v>3332.6232246119994</v>
      </c>
      <c r="BS83" s="423">
        <v>14885.717067759999</v>
      </c>
      <c r="BT83" s="423">
        <v>23505.424333303632</v>
      </c>
      <c r="BU83" s="424">
        <f t="shared" si="23"/>
        <v>45722.912494875629</v>
      </c>
      <c r="BV83" s="417">
        <f t="shared" si="29"/>
        <v>-0.24595593348007569</v>
      </c>
      <c r="BW83" s="442"/>
      <c r="BX83" s="424">
        <f t="shared" si="24"/>
        <v>45722.912494875629</v>
      </c>
      <c r="BY83" s="425">
        <v>0</v>
      </c>
      <c r="BZ83" s="425">
        <v>0</v>
      </c>
      <c r="CA83" s="425">
        <v>4321</v>
      </c>
      <c r="CB83" s="425">
        <v>0</v>
      </c>
      <c r="CC83" s="425">
        <v>25</v>
      </c>
      <c r="CD83" s="425">
        <v>0</v>
      </c>
      <c r="CE83" s="425">
        <v>64816</v>
      </c>
      <c r="CF83" s="425">
        <v>0</v>
      </c>
      <c r="CG83" s="426">
        <v>379</v>
      </c>
      <c r="CH83" s="421" t="s">
        <v>343</v>
      </c>
    </row>
    <row r="84" spans="1:86" s="365" customFormat="1">
      <c r="A84" s="407" t="str">
        <f t="shared" si="25"/>
        <v>Codes &amp; StandardsCodes &amp; Standards</v>
      </c>
      <c r="B84" s="437" t="s">
        <v>471</v>
      </c>
      <c r="C84" s="438"/>
      <c r="D84" s="443" t="s">
        <v>472</v>
      </c>
      <c r="E84" s="635" t="s">
        <v>15</v>
      </c>
      <c r="F84" s="411" t="s">
        <v>24</v>
      </c>
      <c r="G84" s="411" t="s">
        <v>28</v>
      </c>
      <c r="H84" s="412" t="s">
        <v>28</v>
      </c>
      <c r="I84" s="444"/>
      <c r="J84" s="414">
        <v>331023.59000000003</v>
      </c>
      <c r="K84" s="414"/>
      <c r="L84" s="414">
        <v>248268</v>
      </c>
      <c r="M84" s="414">
        <v>152772</v>
      </c>
      <c r="N84" s="414">
        <v>152772</v>
      </c>
      <c r="O84" s="415">
        <v>0</v>
      </c>
      <c r="P84" s="414">
        <v>0</v>
      </c>
      <c r="Q84" s="414">
        <v>355170.16919999995</v>
      </c>
      <c r="R84" s="414">
        <v>0</v>
      </c>
      <c r="S84" s="416">
        <f t="shared" si="17"/>
        <v>355170.16919999995</v>
      </c>
      <c r="T84" s="417">
        <f t="shared" si="26"/>
        <v>1.3248381195507026</v>
      </c>
      <c r="U84" s="442"/>
      <c r="V84" s="419">
        <f t="shared" si="18"/>
        <v>355170.16919999995</v>
      </c>
      <c r="W84" s="425">
        <v>0</v>
      </c>
      <c r="X84" s="425">
        <v>0</v>
      </c>
      <c r="Y84" s="425">
        <v>6557902</v>
      </c>
      <c r="Z84" s="452" t="s">
        <v>342</v>
      </c>
      <c r="AA84" s="425">
        <v>38364</v>
      </c>
      <c r="AB84" s="425">
        <v>0</v>
      </c>
      <c r="AC84" s="425">
        <v>69290573</v>
      </c>
      <c r="AD84" s="426">
        <v>0</v>
      </c>
      <c r="AE84" s="426">
        <v>405350</v>
      </c>
      <c r="AF84" s="421" t="s">
        <v>342</v>
      </c>
      <c r="AG84" s="422">
        <v>0</v>
      </c>
      <c r="AH84" s="423">
        <v>0</v>
      </c>
      <c r="AI84" s="423">
        <v>233950.16919999997</v>
      </c>
      <c r="AJ84" s="423">
        <v>0</v>
      </c>
      <c r="AK84" s="424">
        <f t="shared" si="19"/>
        <v>233950.16919999997</v>
      </c>
      <c r="AL84" s="417">
        <f t="shared" si="27"/>
        <v>-0.34130118605692855</v>
      </c>
      <c r="AM84" s="442"/>
      <c r="AN84" s="424">
        <f t="shared" si="20"/>
        <v>233950.16919999997</v>
      </c>
      <c r="AO84" s="425">
        <v>0</v>
      </c>
      <c r="AP84" s="425">
        <v>0</v>
      </c>
      <c r="AQ84" s="425">
        <v>6420887</v>
      </c>
      <c r="AR84" s="425">
        <v>0</v>
      </c>
      <c r="AS84" s="425">
        <v>37562</v>
      </c>
      <c r="AT84" s="425">
        <v>0</v>
      </c>
      <c r="AU84" s="425">
        <v>67753587</v>
      </c>
      <c r="AV84" s="426">
        <v>0</v>
      </c>
      <c r="AW84" s="426">
        <v>396358</v>
      </c>
      <c r="AX84" s="421" t="s">
        <v>343</v>
      </c>
      <c r="AY84" s="427">
        <v>0</v>
      </c>
      <c r="AZ84" s="414">
        <v>0</v>
      </c>
      <c r="BA84" s="414">
        <v>196330.16919999997</v>
      </c>
      <c r="BB84" s="414">
        <v>0</v>
      </c>
      <c r="BC84" s="424">
        <f t="shared" si="21"/>
        <v>196330.16919999997</v>
      </c>
      <c r="BD84" s="417">
        <f t="shared" si="28"/>
        <v>-0.16080347421266153</v>
      </c>
      <c r="BE84" s="442"/>
      <c r="BF84" s="424">
        <f t="shared" si="22"/>
        <v>196330.16919999997</v>
      </c>
      <c r="BG84" s="425">
        <v>0</v>
      </c>
      <c r="BH84" s="425">
        <v>0</v>
      </c>
      <c r="BI84" s="425">
        <v>3949004</v>
      </c>
      <c r="BJ84" s="425">
        <v>0</v>
      </c>
      <c r="BK84" s="425">
        <v>23102</v>
      </c>
      <c r="BL84" s="425">
        <v>0</v>
      </c>
      <c r="BM84" s="425">
        <v>41567585</v>
      </c>
      <c r="BN84" s="426">
        <v>0</v>
      </c>
      <c r="BO84" s="426">
        <v>243170</v>
      </c>
      <c r="BP84" s="421" t="s">
        <v>343</v>
      </c>
      <c r="BQ84" s="422">
        <v>0</v>
      </c>
      <c r="BR84" s="423">
        <v>0</v>
      </c>
      <c r="BS84" s="423">
        <v>334270.1692</v>
      </c>
      <c r="BT84" s="423">
        <v>0</v>
      </c>
      <c r="BU84" s="424">
        <f t="shared" si="23"/>
        <v>334270.1692</v>
      </c>
      <c r="BV84" s="417">
        <f t="shared" si="29"/>
        <v>0.70259196822410752</v>
      </c>
      <c r="BW84" s="442"/>
      <c r="BX84" s="424">
        <f t="shared" si="24"/>
        <v>334270.1692</v>
      </c>
      <c r="BY84" s="425">
        <v>0</v>
      </c>
      <c r="BZ84" s="425">
        <v>0</v>
      </c>
      <c r="CA84" s="425">
        <v>1660132</v>
      </c>
      <c r="CB84" s="425">
        <v>0</v>
      </c>
      <c r="CC84" s="425">
        <v>9712</v>
      </c>
      <c r="CD84" s="425">
        <v>0</v>
      </c>
      <c r="CE84" s="425">
        <v>17262878</v>
      </c>
      <c r="CF84" s="425">
        <v>0</v>
      </c>
      <c r="CG84" s="426">
        <v>100988</v>
      </c>
      <c r="CH84" s="421" t="s">
        <v>343</v>
      </c>
    </row>
    <row r="85" spans="1:86" s="365" customFormat="1">
      <c r="A85" s="407" t="str">
        <f t="shared" si="25"/>
        <v>Codes &amp; StandardsCodes &amp; Standards</v>
      </c>
      <c r="B85" s="437" t="s">
        <v>473</v>
      </c>
      <c r="C85" s="438"/>
      <c r="D85" s="443" t="s">
        <v>474</v>
      </c>
      <c r="E85" s="635" t="s">
        <v>15</v>
      </c>
      <c r="F85" s="411" t="s">
        <v>24</v>
      </c>
      <c r="G85" s="411" t="s">
        <v>28</v>
      </c>
      <c r="H85" s="412" t="s">
        <v>28</v>
      </c>
      <c r="I85" s="444"/>
      <c r="J85" s="414">
        <v>470225.57</v>
      </c>
      <c r="K85" s="414"/>
      <c r="L85" s="414">
        <v>352669</v>
      </c>
      <c r="M85" s="414">
        <v>501468</v>
      </c>
      <c r="N85" s="414">
        <v>501468</v>
      </c>
      <c r="O85" s="415">
        <v>0</v>
      </c>
      <c r="P85" s="414">
        <v>0</v>
      </c>
      <c r="Q85" s="414">
        <v>681305.22239999997</v>
      </c>
      <c r="R85" s="414">
        <v>0</v>
      </c>
      <c r="S85" s="416">
        <f t="shared" si="17"/>
        <v>681305.22239999997</v>
      </c>
      <c r="T85" s="417">
        <f t="shared" si="26"/>
        <v>0.35862153198210051</v>
      </c>
      <c r="U85" s="442"/>
      <c r="V85" s="419">
        <f t="shared" si="18"/>
        <v>681305.22239999997</v>
      </c>
      <c r="W85" s="425">
        <v>0</v>
      </c>
      <c r="X85" s="425">
        <v>0</v>
      </c>
      <c r="Y85" s="425">
        <v>12878327</v>
      </c>
      <c r="Z85" s="452" t="s">
        <v>342</v>
      </c>
      <c r="AA85" s="425">
        <v>75338</v>
      </c>
      <c r="AB85" s="425">
        <v>0</v>
      </c>
      <c r="AC85" s="425">
        <v>228563750</v>
      </c>
      <c r="AD85" s="426">
        <v>0</v>
      </c>
      <c r="AE85" s="426">
        <v>1337098</v>
      </c>
      <c r="AF85" s="421" t="s">
        <v>342</v>
      </c>
      <c r="AG85" s="422">
        <v>0</v>
      </c>
      <c r="AH85" s="423">
        <v>0</v>
      </c>
      <c r="AI85" s="423">
        <v>802525.22239999997</v>
      </c>
      <c r="AJ85" s="423">
        <v>0</v>
      </c>
      <c r="AK85" s="424">
        <f t="shared" si="19"/>
        <v>802525.22239999997</v>
      </c>
      <c r="AL85" s="417">
        <f t="shared" si="27"/>
        <v>0.17792319215312094</v>
      </c>
      <c r="AM85" s="442"/>
      <c r="AN85" s="424">
        <f t="shared" si="20"/>
        <v>802525.22239999997</v>
      </c>
      <c r="AO85" s="425">
        <v>0</v>
      </c>
      <c r="AP85" s="425">
        <v>0</v>
      </c>
      <c r="AQ85" s="425">
        <v>12541315</v>
      </c>
      <c r="AR85" s="425">
        <v>0</v>
      </c>
      <c r="AS85" s="425">
        <v>73367</v>
      </c>
      <c r="AT85" s="425">
        <v>0</v>
      </c>
      <c r="AU85" s="425">
        <v>222587708</v>
      </c>
      <c r="AV85" s="426">
        <v>0</v>
      </c>
      <c r="AW85" s="426">
        <v>1302138</v>
      </c>
      <c r="AX85" s="421" t="s">
        <v>343</v>
      </c>
      <c r="AY85" s="427">
        <v>0</v>
      </c>
      <c r="AZ85" s="414">
        <v>0</v>
      </c>
      <c r="BA85" s="414">
        <v>840145.22239999997</v>
      </c>
      <c r="BB85" s="414">
        <v>0</v>
      </c>
      <c r="BC85" s="424">
        <f t="shared" si="21"/>
        <v>840145.22239999997</v>
      </c>
      <c r="BD85" s="417">
        <f t="shared" si="28"/>
        <v>4.6877031338024649E-2</v>
      </c>
      <c r="BE85" s="442"/>
      <c r="BF85" s="424">
        <f t="shared" si="22"/>
        <v>840145.22239999997</v>
      </c>
      <c r="BG85" s="425">
        <v>0</v>
      </c>
      <c r="BH85" s="425">
        <v>0</v>
      </c>
      <c r="BI85" s="425">
        <v>12156827</v>
      </c>
      <c r="BJ85" s="425">
        <v>0</v>
      </c>
      <c r="BK85" s="425">
        <v>71117</v>
      </c>
      <c r="BL85" s="425">
        <v>0</v>
      </c>
      <c r="BM85" s="425">
        <v>215824397</v>
      </c>
      <c r="BN85" s="426">
        <v>0</v>
      </c>
      <c r="BO85" s="426">
        <v>1262573</v>
      </c>
      <c r="BP85" s="421" t="s">
        <v>343</v>
      </c>
      <c r="BQ85" s="422">
        <v>0</v>
      </c>
      <c r="BR85" s="423">
        <v>0</v>
      </c>
      <c r="BS85" s="423">
        <v>702205.22239999997</v>
      </c>
      <c r="BT85" s="423">
        <v>0</v>
      </c>
      <c r="BU85" s="424">
        <f t="shared" si="23"/>
        <v>702205.22239999997</v>
      </c>
      <c r="BV85" s="417">
        <f t="shared" si="29"/>
        <v>-0.16418590063031466</v>
      </c>
      <c r="BW85" s="442"/>
      <c r="BX85" s="424">
        <f t="shared" si="24"/>
        <v>702205.22239999997</v>
      </c>
      <c r="BY85" s="425">
        <v>0</v>
      </c>
      <c r="BZ85" s="425">
        <v>0</v>
      </c>
      <c r="CA85" s="425">
        <v>11734103</v>
      </c>
      <c r="CB85" s="425">
        <v>0</v>
      </c>
      <c r="CC85" s="425">
        <v>68645</v>
      </c>
      <c r="CD85" s="425">
        <v>0</v>
      </c>
      <c r="CE85" s="425">
        <v>208420726</v>
      </c>
      <c r="CF85" s="425">
        <v>0</v>
      </c>
      <c r="CG85" s="426">
        <v>1219261</v>
      </c>
      <c r="CH85" s="421" t="s">
        <v>343</v>
      </c>
    </row>
    <row r="86" spans="1:86" s="365" customFormat="1">
      <c r="A86" s="407" t="str">
        <f t="shared" si="25"/>
        <v>Codes &amp; StandardsCodes &amp; Standards</v>
      </c>
      <c r="B86" s="437" t="s">
        <v>475</v>
      </c>
      <c r="C86" s="438"/>
      <c r="D86" s="439" t="s">
        <v>476</v>
      </c>
      <c r="E86" s="635" t="s">
        <v>15</v>
      </c>
      <c r="F86" s="411" t="s">
        <v>24</v>
      </c>
      <c r="G86" s="411" t="s">
        <v>28</v>
      </c>
      <c r="H86" s="412" t="s">
        <v>28</v>
      </c>
      <c r="I86" s="413"/>
      <c r="J86" s="414">
        <v>298508.84000000003</v>
      </c>
      <c r="K86" s="414"/>
      <c r="L86" s="414">
        <v>223882</v>
      </c>
      <c r="M86" s="414">
        <v>445518</v>
      </c>
      <c r="N86" s="414">
        <v>445518</v>
      </c>
      <c r="O86" s="415">
        <v>0</v>
      </c>
      <c r="P86" s="414">
        <v>0</v>
      </c>
      <c r="Q86" s="414">
        <v>425425.93719999999</v>
      </c>
      <c r="R86" s="414">
        <v>0</v>
      </c>
      <c r="S86" s="416">
        <f t="shared" si="17"/>
        <v>425425.93719999999</v>
      </c>
      <c r="T86" s="417">
        <f t="shared" si="26"/>
        <v>-4.5098206582001206E-2</v>
      </c>
      <c r="U86" s="442"/>
      <c r="V86" s="419">
        <f t="shared" si="18"/>
        <v>425425.93719999999</v>
      </c>
      <c r="W86" s="425">
        <v>0</v>
      </c>
      <c r="X86" s="425">
        <v>0</v>
      </c>
      <c r="Y86" s="425">
        <v>1264942</v>
      </c>
      <c r="Z86" s="452" t="s">
        <v>342</v>
      </c>
      <c r="AA86" s="425">
        <v>7400</v>
      </c>
      <c r="AB86" s="425">
        <v>0</v>
      </c>
      <c r="AC86" s="425">
        <v>21415870</v>
      </c>
      <c r="AD86" s="426">
        <v>0</v>
      </c>
      <c r="AE86" s="426">
        <v>125283</v>
      </c>
      <c r="AF86" s="421" t="s">
        <v>342</v>
      </c>
      <c r="AG86" s="422">
        <v>0</v>
      </c>
      <c r="AH86" s="423">
        <v>0</v>
      </c>
      <c r="AI86" s="423">
        <v>425425.93719999999</v>
      </c>
      <c r="AJ86" s="423">
        <v>0</v>
      </c>
      <c r="AK86" s="424">
        <f t="shared" si="19"/>
        <v>425425.93719999999</v>
      </c>
      <c r="AL86" s="417">
        <f t="shared" si="27"/>
        <v>0</v>
      </c>
      <c r="AM86" s="442"/>
      <c r="AN86" s="424">
        <f t="shared" si="20"/>
        <v>425425.93719999999</v>
      </c>
      <c r="AO86" s="425">
        <v>0</v>
      </c>
      <c r="AP86" s="425">
        <v>0</v>
      </c>
      <c r="AQ86" s="425">
        <v>1231313</v>
      </c>
      <c r="AR86" s="425">
        <v>0</v>
      </c>
      <c r="AS86" s="425">
        <v>7203</v>
      </c>
      <c r="AT86" s="425">
        <v>0</v>
      </c>
      <c r="AU86" s="425">
        <v>20909309</v>
      </c>
      <c r="AV86" s="426">
        <v>0</v>
      </c>
      <c r="AW86" s="426">
        <v>122319</v>
      </c>
      <c r="AX86" s="421" t="s">
        <v>343</v>
      </c>
      <c r="AY86" s="427">
        <v>0</v>
      </c>
      <c r="AZ86" s="414">
        <v>0</v>
      </c>
      <c r="BA86" s="414">
        <v>425425.93719999999</v>
      </c>
      <c r="BB86" s="414">
        <v>0</v>
      </c>
      <c r="BC86" s="424">
        <f t="shared" si="21"/>
        <v>425425.93719999999</v>
      </c>
      <c r="BD86" s="417">
        <f t="shared" si="28"/>
        <v>0</v>
      </c>
      <c r="BE86" s="442"/>
      <c r="BF86" s="424">
        <f t="shared" si="22"/>
        <v>425425.93719999999</v>
      </c>
      <c r="BG86" s="425">
        <v>0</v>
      </c>
      <c r="BH86" s="425">
        <v>0</v>
      </c>
      <c r="BI86" s="425">
        <v>1201326</v>
      </c>
      <c r="BJ86" s="425">
        <v>0</v>
      </c>
      <c r="BK86" s="425">
        <v>7028</v>
      </c>
      <c r="BL86" s="425">
        <v>0</v>
      </c>
      <c r="BM86" s="425">
        <v>20494413</v>
      </c>
      <c r="BN86" s="426">
        <v>0</v>
      </c>
      <c r="BO86" s="426">
        <v>119892</v>
      </c>
      <c r="BP86" s="421" t="s">
        <v>343</v>
      </c>
      <c r="BQ86" s="422">
        <v>0</v>
      </c>
      <c r="BR86" s="423">
        <v>0</v>
      </c>
      <c r="BS86" s="423">
        <v>425425.93719999999</v>
      </c>
      <c r="BT86" s="423">
        <v>0</v>
      </c>
      <c r="BU86" s="424">
        <f t="shared" si="23"/>
        <v>425425.93719999999</v>
      </c>
      <c r="BV86" s="417">
        <f t="shared" si="29"/>
        <v>0</v>
      </c>
      <c r="BW86" s="442"/>
      <c r="BX86" s="424">
        <f t="shared" si="24"/>
        <v>425425.93719999999</v>
      </c>
      <c r="BY86" s="425">
        <v>0</v>
      </c>
      <c r="BZ86" s="425">
        <v>0</v>
      </c>
      <c r="CA86" s="425">
        <v>1171063</v>
      </c>
      <c r="CB86" s="425">
        <v>0</v>
      </c>
      <c r="CC86" s="425">
        <v>6851</v>
      </c>
      <c r="CD86" s="425">
        <v>0</v>
      </c>
      <c r="CE86" s="425">
        <v>20047680</v>
      </c>
      <c r="CF86" s="425">
        <v>0</v>
      </c>
      <c r="CG86" s="426">
        <v>117279</v>
      </c>
      <c r="CH86" s="421" t="s">
        <v>343</v>
      </c>
    </row>
    <row r="87" spans="1:86" s="365" customFormat="1">
      <c r="A87" s="407" t="str">
        <f t="shared" si="25"/>
        <v>CommercialResource Acquisition</v>
      </c>
      <c r="B87" s="437" t="s">
        <v>477</v>
      </c>
      <c r="C87" s="438"/>
      <c r="D87" s="439" t="s">
        <v>478</v>
      </c>
      <c r="E87" s="635" t="s">
        <v>20</v>
      </c>
      <c r="F87" s="411" t="s">
        <v>24</v>
      </c>
      <c r="G87" s="411" t="s">
        <v>22</v>
      </c>
      <c r="H87" s="412" t="s">
        <v>18</v>
      </c>
      <c r="I87" s="413"/>
      <c r="J87" s="414">
        <v>3118564.75</v>
      </c>
      <c r="K87" s="414"/>
      <c r="L87" s="414">
        <v>1561824</v>
      </c>
      <c r="M87" s="414">
        <v>3684335</v>
      </c>
      <c r="N87" s="414">
        <v>4326915</v>
      </c>
      <c r="O87" s="415">
        <v>284278.48693200003</v>
      </c>
      <c r="P87" s="414">
        <v>206872.25961600002</v>
      </c>
      <c r="Q87" s="414">
        <v>701501.85296400008</v>
      </c>
      <c r="R87" s="414">
        <v>2513688.7629104466</v>
      </c>
      <c r="S87" s="416">
        <f t="shared" si="17"/>
        <v>3706341.3624224467</v>
      </c>
      <c r="T87" s="417">
        <f t="shared" si="26"/>
        <v>-0.14342173062737615</v>
      </c>
      <c r="U87" s="442"/>
      <c r="V87" s="419">
        <f t="shared" si="18"/>
        <v>3706341.3624224467</v>
      </c>
      <c r="W87" s="425">
        <v>0</v>
      </c>
      <c r="X87" s="425">
        <v>0</v>
      </c>
      <c r="Y87" s="425">
        <v>658084</v>
      </c>
      <c r="Z87" s="452" t="s">
        <v>342</v>
      </c>
      <c r="AA87" s="425">
        <v>3894</v>
      </c>
      <c r="AB87" s="425">
        <v>0</v>
      </c>
      <c r="AC87" s="425">
        <v>11407270</v>
      </c>
      <c r="AD87" s="426">
        <v>0</v>
      </c>
      <c r="AE87" s="426">
        <v>67175</v>
      </c>
      <c r="AF87" s="421" t="s">
        <v>342</v>
      </c>
      <c r="AG87" s="422">
        <v>253681.48885200001</v>
      </c>
      <c r="AH87" s="423">
        <v>184606.52152800001</v>
      </c>
      <c r="AI87" s="423">
        <v>625998.94935600006</v>
      </c>
      <c r="AJ87" s="423">
        <v>2639264.2318951264</v>
      </c>
      <c r="AK87" s="424">
        <f t="shared" si="19"/>
        <v>3703551.1916311262</v>
      </c>
      <c r="AL87" s="417">
        <f t="shared" si="27"/>
        <v>-7.5280998658387493E-4</v>
      </c>
      <c r="AM87" s="442"/>
      <c r="AN87" s="424">
        <f t="shared" si="20"/>
        <v>3703551.1916311262</v>
      </c>
      <c r="AO87" s="425">
        <v>0</v>
      </c>
      <c r="AP87" s="425">
        <v>0</v>
      </c>
      <c r="AQ87" s="425">
        <v>690967</v>
      </c>
      <c r="AR87" s="425">
        <v>0</v>
      </c>
      <c r="AS87" s="425">
        <v>4088</v>
      </c>
      <c r="AT87" s="425">
        <v>0</v>
      </c>
      <c r="AU87" s="425">
        <v>11977532</v>
      </c>
      <c r="AV87" s="426">
        <v>0</v>
      </c>
      <c r="AW87" s="426">
        <v>70527</v>
      </c>
      <c r="AX87" s="421" t="s">
        <v>343</v>
      </c>
      <c r="AY87" s="427">
        <v>221545.41393600003</v>
      </c>
      <c r="AZ87" s="414">
        <v>161220.78337200001</v>
      </c>
      <c r="BA87" s="414">
        <v>546698.13118799997</v>
      </c>
      <c r="BB87" s="414">
        <v>2771170.9094499541</v>
      </c>
      <c r="BC87" s="424">
        <f t="shared" si="21"/>
        <v>3700635.2379459543</v>
      </c>
      <c r="BD87" s="417">
        <f t="shared" si="28"/>
        <v>-7.8733991628387654E-4</v>
      </c>
      <c r="BE87" s="442"/>
      <c r="BF87" s="424">
        <f t="shared" si="22"/>
        <v>3700635.2379459543</v>
      </c>
      <c r="BG87" s="425">
        <v>0</v>
      </c>
      <c r="BH87" s="425">
        <v>0</v>
      </c>
      <c r="BI87" s="425">
        <v>725523</v>
      </c>
      <c r="BJ87" s="425">
        <v>0</v>
      </c>
      <c r="BK87" s="425">
        <v>4292</v>
      </c>
      <c r="BL87" s="425">
        <v>0</v>
      </c>
      <c r="BM87" s="425">
        <v>12576438</v>
      </c>
      <c r="BN87" s="426">
        <v>0</v>
      </c>
      <c r="BO87" s="426">
        <v>74046</v>
      </c>
      <c r="BP87" s="421" t="s">
        <v>343</v>
      </c>
      <c r="BQ87" s="422">
        <v>187775.36949600003</v>
      </c>
      <c r="BR87" s="423">
        <v>136645.98987600001</v>
      </c>
      <c r="BS87" s="423">
        <v>463365.24656400009</v>
      </c>
      <c r="BT87" s="423">
        <v>2909782.5672365339</v>
      </c>
      <c r="BU87" s="424">
        <f t="shared" si="23"/>
        <v>3697569.173172534</v>
      </c>
      <c r="BV87" s="417">
        <f t="shared" si="29"/>
        <v>-8.2852390907950271E-4</v>
      </c>
      <c r="BW87" s="442"/>
      <c r="BX87" s="424">
        <f t="shared" si="24"/>
        <v>3697569.173172534</v>
      </c>
      <c r="BY87" s="425">
        <v>0</v>
      </c>
      <c r="BZ87" s="425">
        <v>0</v>
      </c>
      <c r="CA87" s="425">
        <v>761734</v>
      </c>
      <c r="CB87" s="425">
        <v>0</v>
      </c>
      <c r="CC87" s="425">
        <v>4507</v>
      </c>
      <c r="CD87" s="425">
        <v>0</v>
      </c>
      <c r="CE87" s="425">
        <v>13204936</v>
      </c>
      <c r="CF87" s="425">
        <v>0</v>
      </c>
      <c r="CG87" s="426">
        <v>77754</v>
      </c>
      <c r="CH87" s="421" t="s">
        <v>343</v>
      </c>
    </row>
    <row r="88" spans="1:86" s="365" customFormat="1">
      <c r="A88" s="407" t="str">
        <f t="shared" si="25"/>
        <v>CommercialMarket Support</v>
      </c>
      <c r="B88" s="437" t="s">
        <v>479</v>
      </c>
      <c r="C88" s="438"/>
      <c r="D88" s="439" t="s">
        <v>480</v>
      </c>
      <c r="E88" s="635" t="s">
        <v>20</v>
      </c>
      <c r="F88" s="411" t="s">
        <v>24</v>
      </c>
      <c r="G88" s="411" t="s">
        <v>22</v>
      </c>
      <c r="H88" s="412" t="s">
        <v>23</v>
      </c>
      <c r="I88" s="413"/>
      <c r="J88" s="414"/>
      <c r="K88" s="414"/>
      <c r="L88" s="414"/>
      <c r="M88" s="414">
        <v>21745</v>
      </c>
      <c r="N88" s="414">
        <v>215845</v>
      </c>
      <c r="O88" s="415">
        <v>17782.031234439997</v>
      </c>
      <c r="P88" s="414">
        <v>14818.359360639999</v>
      </c>
      <c r="Q88" s="414">
        <v>66188.671798039999</v>
      </c>
      <c r="R88" s="414">
        <v>103726.53144698034</v>
      </c>
      <c r="S88" s="416">
        <f t="shared" si="17"/>
        <v>202515.59384010034</v>
      </c>
      <c r="T88" s="417">
        <f t="shared" si="26"/>
        <v>-6.1754528295302938E-2</v>
      </c>
      <c r="U88" s="442"/>
      <c r="V88" s="419">
        <f t="shared" si="18"/>
        <v>202515.59384010034</v>
      </c>
      <c r="W88" s="425">
        <v>0</v>
      </c>
      <c r="X88" s="425">
        <v>0</v>
      </c>
      <c r="Y88" s="425">
        <v>44823</v>
      </c>
      <c r="Z88" s="452" t="s">
        <v>342</v>
      </c>
      <c r="AA88" s="425">
        <v>430</v>
      </c>
      <c r="AB88" s="425">
        <v>0</v>
      </c>
      <c r="AC88" s="425">
        <v>618834</v>
      </c>
      <c r="AD88" s="426">
        <v>0</v>
      </c>
      <c r="AE88" s="426">
        <v>5299</v>
      </c>
      <c r="AF88" s="421" t="s">
        <v>342</v>
      </c>
      <c r="AG88" s="422">
        <v>16989.897475319998</v>
      </c>
      <c r="AH88" s="423">
        <v>14158.247900279997</v>
      </c>
      <c r="AI88" s="423">
        <v>63240.173951239994</v>
      </c>
      <c r="AJ88" s="423">
        <v>105699.59446094264</v>
      </c>
      <c r="AK88" s="424">
        <f t="shared" si="19"/>
        <v>200087.91378778263</v>
      </c>
      <c r="AL88" s="417">
        <f t="shared" si="27"/>
        <v>-1.1987620342137822E-2</v>
      </c>
      <c r="AM88" s="442"/>
      <c r="AN88" s="424">
        <f t="shared" si="20"/>
        <v>200087.91378778263</v>
      </c>
      <c r="AO88" s="425">
        <v>0</v>
      </c>
      <c r="AP88" s="425">
        <v>0</v>
      </c>
      <c r="AQ88" s="425">
        <v>45676</v>
      </c>
      <c r="AR88" s="425">
        <v>0</v>
      </c>
      <c r="AS88" s="425">
        <v>438</v>
      </c>
      <c r="AT88" s="425">
        <v>0</v>
      </c>
      <c r="AU88" s="425">
        <v>630605</v>
      </c>
      <c r="AV88" s="426">
        <v>0</v>
      </c>
      <c r="AW88" s="426">
        <v>5399</v>
      </c>
      <c r="AX88" s="421" t="s">
        <v>343</v>
      </c>
      <c r="AY88" s="427">
        <v>13430.59563208</v>
      </c>
      <c r="AZ88" s="414">
        <v>11192.16302116</v>
      </c>
      <c r="BA88" s="414">
        <v>49991.66151012</v>
      </c>
      <c r="BB88" s="414">
        <v>79829.478856244197</v>
      </c>
      <c r="BC88" s="424">
        <f t="shared" si="21"/>
        <v>154443.8990196042</v>
      </c>
      <c r="BD88" s="417">
        <f t="shared" si="28"/>
        <v>-0.22811979946269725</v>
      </c>
      <c r="BE88" s="442"/>
      <c r="BF88" s="424">
        <f t="shared" si="22"/>
        <v>154443.8990196042</v>
      </c>
      <c r="BG88" s="425">
        <v>0</v>
      </c>
      <c r="BH88" s="425">
        <v>0</v>
      </c>
      <c r="BI88" s="425">
        <v>34089</v>
      </c>
      <c r="BJ88" s="425">
        <v>0</v>
      </c>
      <c r="BK88" s="425">
        <v>329</v>
      </c>
      <c r="BL88" s="425">
        <v>0</v>
      </c>
      <c r="BM88" s="425">
        <v>470158</v>
      </c>
      <c r="BN88" s="426">
        <v>0</v>
      </c>
      <c r="BO88" s="426">
        <v>4042</v>
      </c>
      <c r="BP88" s="421" t="s">
        <v>343</v>
      </c>
      <c r="BQ88" s="422">
        <v>10127.260945999999</v>
      </c>
      <c r="BR88" s="423">
        <v>8439.3841188799997</v>
      </c>
      <c r="BS88" s="423">
        <v>37695.915738799995</v>
      </c>
      <c r="BT88" s="423">
        <v>60194.944872620457</v>
      </c>
      <c r="BU88" s="424">
        <f t="shared" si="23"/>
        <v>116457.50567630045</v>
      </c>
      <c r="BV88" s="417">
        <f t="shared" si="29"/>
        <v>-0.24595593341296038</v>
      </c>
      <c r="BW88" s="442"/>
      <c r="BX88" s="424">
        <f t="shared" si="24"/>
        <v>116457.50567630045</v>
      </c>
      <c r="BY88" s="425">
        <v>0</v>
      </c>
      <c r="BZ88" s="425">
        <v>0</v>
      </c>
      <c r="CA88" s="425">
        <v>25705</v>
      </c>
      <c r="CB88" s="425">
        <v>0</v>
      </c>
      <c r="CC88" s="425">
        <v>248</v>
      </c>
      <c r="CD88" s="425">
        <v>0</v>
      </c>
      <c r="CE88" s="425">
        <v>354520</v>
      </c>
      <c r="CF88" s="425">
        <v>0</v>
      </c>
      <c r="CG88" s="426">
        <v>3048</v>
      </c>
      <c r="CH88" s="421" t="s">
        <v>343</v>
      </c>
    </row>
    <row r="89" spans="1:86" s="365" customFormat="1">
      <c r="A89" s="407" t="str">
        <f t="shared" si="25"/>
        <v>CommercialResource Acquisition</v>
      </c>
      <c r="B89" s="437" t="s">
        <v>481</v>
      </c>
      <c r="C89" s="438"/>
      <c r="D89" s="439" t="s">
        <v>482</v>
      </c>
      <c r="E89" s="635" t="s">
        <v>20</v>
      </c>
      <c r="F89" s="411" t="s">
        <v>24</v>
      </c>
      <c r="G89" s="411" t="s">
        <v>22</v>
      </c>
      <c r="H89" s="412" t="s">
        <v>18</v>
      </c>
      <c r="I89" s="413"/>
      <c r="J89" s="414">
        <v>2945663.84</v>
      </c>
      <c r="K89" s="414"/>
      <c r="L89" s="414">
        <v>1472832</v>
      </c>
      <c r="M89" s="414">
        <v>3845582</v>
      </c>
      <c r="N89" s="414">
        <v>4600481</v>
      </c>
      <c r="O89" s="415">
        <v>345023.05200000003</v>
      </c>
      <c r="P89" s="414">
        <v>264731.68920000002</v>
      </c>
      <c r="Q89" s="414">
        <v>1440938.5452000001</v>
      </c>
      <c r="R89" s="414">
        <v>1849573.5060000003</v>
      </c>
      <c r="S89" s="416">
        <f t="shared" si="17"/>
        <v>3900266.7924000006</v>
      </c>
      <c r="T89" s="417">
        <f t="shared" si="26"/>
        <v>-0.15220456460965698</v>
      </c>
      <c r="U89" s="442"/>
      <c r="V89" s="419">
        <f t="shared" si="18"/>
        <v>3900266.7924000006</v>
      </c>
      <c r="W89" s="425">
        <v>0</v>
      </c>
      <c r="X89" s="425">
        <v>0</v>
      </c>
      <c r="Y89" s="425">
        <v>691274</v>
      </c>
      <c r="Z89" s="452" t="s">
        <v>342</v>
      </c>
      <c r="AA89" s="425">
        <v>4044</v>
      </c>
      <c r="AB89" s="425">
        <v>0</v>
      </c>
      <c r="AC89" s="425">
        <v>7857184</v>
      </c>
      <c r="AD89" s="426">
        <v>0</v>
      </c>
      <c r="AE89" s="426">
        <v>45965</v>
      </c>
      <c r="AF89" s="421" t="s">
        <v>342</v>
      </c>
      <c r="AG89" s="422">
        <v>345023.05200000003</v>
      </c>
      <c r="AH89" s="423">
        <v>264731.68920000002</v>
      </c>
      <c r="AI89" s="423">
        <v>1440938.5452000001</v>
      </c>
      <c r="AJ89" s="423">
        <v>1849573.5060000003</v>
      </c>
      <c r="AK89" s="424">
        <f t="shared" si="19"/>
        <v>3900266.7924000006</v>
      </c>
      <c r="AL89" s="417">
        <f t="shared" si="27"/>
        <v>0</v>
      </c>
      <c r="AM89" s="442"/>
      <c r="AN89" s="424">
        <f t="shared" si="20"/>
        <v>3900266.7924000006</v>
      </c>
      <c r="AO89" s="425">
        <v>0</v>
      </c>
      <c r="AP89" s="425">
        <v>0</v>
      </c>
      <c r="AQ89" s="425">
        <v>691274</v>
      </c>
      <c r="AR89" s="425">
        <v>0</v>
      </c>
      <c r="AS89" s="425">
        <v>4044</v>
      </c>
      <c r="AT89" s="425">
        <v>0</v>
      </c>
      <c r="AU89" s="425">
        <v>7857184</v>
      </c>
      <c r="AV89" s="426">
        <v>0</v>
      </c>
      <c r="AW89" s="426">
        <v>45965</v>
      </c>
      <c r="AX89" s="421" t="s">
        <v>343</v>
      </c>
      <c r="AY89" s="427">
        <v>345023.05200000003</v>
      </c>
      <c r="AZ89" s="414">
        <v>264731.68920000002</v>
      </c>
      <c r="BA89" s="414">
        <v>1440938.5452000001</v>
      </c>
      <c r="BB89" s="414">
        <v>1849573.5060000003</v>
      </c>
      <c r="BC89" s="424">
        <f t="shared" si="21"/>
        <v>3900266.7924000006</v>
      </c>
      <c r="BD89" s="417">
        <f t="shared" si="28"/>
        <v>0</v>
      </c>
      <c r="BE89" s="442"/>
      <c r="BF89" s="424">
        <f t="shared" si="22"/>
        <v>3900266.7924000006</v>
      </c>
      <c r="BG89" s="425">
        <v>0</v>
      </c>
      <c r="BH89" s="425">
        <v>0</v>
      </c>
      <c r="BI89" s="425">
        <v>691274</v>
      </c>
      <c r="BJ89" s="425">
        <v>0</v>
      </c>
      <c r="BK89" s="425">
        <v>4044</v>
      </c>
      <c r="BL89" s="425">
        <v>0</v>
      </c>
      <c r="BM89" s="425">
        <v>7857184</v>
      </c>
      <c r="BN89" s="426">
        <v>0</v>
      </c>
      <c r="BO89" s="426">
        <v>45965</v>
      </c>
      <c r="BP89" s="421" t="s">
        <v>343</v>
      </c>
      <c r="BQ89" s="422">
        <v>345023.05200000003</v>
      </c>
      <c r="BR89" s="423">
        <v>264731.68920000002</v>
      </c>
      <c r="BS89" s="423">
        <v>1440938.5452000001</v>
      </c>
      <c r="BT89" s="423">
        <v>1849573.5060000003</v>
      </c>
      <c r="BU89" s="424">
        <f t="shared" si="23"/>
        <v>3900266.7924000006</v>
      </c>
      <c r="BV89" s="417">
        <f t="shared" si="29"/>
        <v>0</v>
      </c>
      <c r="BW89" s="442"/>
      <c r="BX89" s="424">
        <f t="shared" si="24"/>
        <v>3900266.7924000006</v>
      </c>
      <c r="BY89" s="425">
        <v>0</v>
      </c>
      <c r="BZ89" s="425">
        <v>0</v>
      </c>
      <c r="CA89" s="425">
        <v>691274</v>
      </c>
      <c r="CB89" s="425">
        <v>0</v>
      </c>
      <c r="CC89" s="425">
        <v>4044</v>
      </c>
      <c r="CD89" s="425">
        <v>0</v>
      </c>
      <c r="CE89" s="425">
        <v>7857184</v>
      </c>
      <c r="CF89" s="425">
        <v>0</v>
      </c>
      <c r="CG89" s="426">
        <v>45965</v>
      </c>
      <c r="CH89" s="421" t="s">
        <v>343</v>
      </c>
    </row>
    <row r="90" spans="1:86" s="365" customFormat="1">
      <c r="A90" s="407" t="str">
        <f t="shared" si="25"/>
        <v>CommercialResource Acquisition</v>
      </c>
      <c r="B90" s="437" t="s">
        <v>483</v>
      </c>
      <c r="C90" s="438"/>
      <c r="D90" s="443" t="s">
        <v>484</v>
      </c>
      <c r="E90" s="635" t="s">
        <v>20</v>
      </c>
      <c r="F90" s="411" t="s">
        <v>24</v>
      </c>
      <c r="G90" s="411" t="s">
        <v>22</v>
      </c>
      <c r="H90" s="412" t="s">
        <v>18</v>
      </c>
      <c r="I90" s="444"/>
      <c r="J90" s="414"/>
      <c r="K90" s="414"/>
      <c r="L90" s="414"/>
      <c r="M90" s="414"/>
      <c r="N90" s="414"/>
      <c r="O90" s="415">
        <v>36504.444943999995</v>
      </c>
      <c r="P90" s="414">
        <v>15532.713636</v>
      </c>
      <c r="Q90" s="414">
        <v>252166.54649999997</v>
      </c>
      <c r="R90" s="414">
        <v>530509.59485701984</v>
      </c>
      <c r="S90" s="416">
        <f t="shared" si="17"/>
        <v>834713.29993701982</v>
      </c>
      <c r="T90" s="417" t="e">
        <f t="shared" si="26"/>
        <v>#DIV/0!</v>
      </c>
      <c r="U90" s="442"/>
      <c r="V90" s="419">
        <f t="shared" si="18"/>
        <v>834713.29993701982</v>
      </c>
      <c r="W90" s="425">
        <v>0</v>
      </c>
      <c r="X90" s="425">
        <v>0</v>
      </c>
      <c r="Y90" s="425">
        <v>171363</v>
      </c>
      <c r="Z90" s="452" t="s">
        <v>342</v>
      </c>
      <c r="AA90" s="425">
        <v>1002</v>
      </c>
      <c r="AB90" s="425">
        <v>0</v>
      </c>
      <c r="AC90" s="425">
        <v>2642621</v>
      </c>
      <c r="AD90" s="426">
        <v>0</v>
      </c>
      <c r="AE90" s="426">
        <v>15459</v>
      </c>
      <c r="AF90" s="421" t="s">
        <v>342</v>
      </c>
      <c r="AG90" s="422">
        <v>36504.444943999995</v>
      </c>
      <c r="AH90" s="423">
        <v>15532.713636</v>
      </c>
      <c r="AI90" s="423">
        <v>378249.82016799995</v>
      </c>
      <c r="AJ90" s="423">
        <v>557035.0763999999</v>
      </c>
      <c r="AK90" s="424">
        <f t="shared" si="19"/>
        <v>987322.0551479999</v>
      </c>
      <c r="AL90" s="417">
        <f t="shared" si="27"/>
        <v>0.18282775082473779</v>
      </c>
      <c r="AM90" s="442"/>
      <c r="AN90" s="424">
        <f t="shared" si="20"/>
        <v>987322.0551479999</v>
      </c>
      <c r="AO90" s="425">
        <v>0</v>
      </c>
      <c r="AP90" s="425">
        <v>0</v>
      </c>
      <c r="AQ90" s="425">
        <v>178677</v>
      </c>
      <c r="AR90" s="425">
        <v>0</v>
      </c>
      <c r="AS90" s="425">
        <v>1045</v>
      </c>
      <c r="AT90" s="425">
        <v>0</v>
      </c>
      <c r="AU90" s="425">
        <v>3573544</v>
      </c>
      <c r="AV90" s="426">
        <v>0</v>
      </c>
      <c r="AW90" s="426">
        <v>20905</v>
      </c>
      <c r="AX90" s="421" t="s">
        <v>343</v>
      </c>
      <c r="AY90" s="427">
        <v>36504.444943999995</v>
      </c>
      <c r="AZ90" s="414">
        <v>15532.713636</v>
      </c>
      <c r="BA90" s="414">
        <v>397162.31125999993</v>
      </c>
      <c r="BB90" s="414">
        <v>584886.83439999993</v>
      </c>
      <c r="BC90" s="424">
        <f t="shared" si="21"/>
        <v>1034086.3042399999</v>
      </c>
      <c r="BD90" s="417">
        <f t="shared" si="28"/>
        <v>4.7364736610679664E-2</v>
      </c>
      <c r="BE90" s="442"/>
      <c r="BF90" s="424">
        <f t="shared" si="22"/>
        <v>1034086.3042399999</v>
      </c>
      <c r="BG90" s="425">
        <v>0</v>
      </c>
      <c r="BH90" s="425">
        <v>0</v>
      </c>
      <c r="BI90" s="425">
        <v>176388</v>
      </c>
      <c r="BJ90" s="425">
        <v>0</v>
      </c>
      <c r="BK90" s="425">
        <v>1032</v>
      </c>
      <c r="BL90" s="425">
        <v>0</v>
      </c>
      <c r="BM90" s="425">
        <v>3527753</v>
      </c>
      <c r="BN90" s="426">
        <v>0</v>
      </c>
      <c r="BO90" s="426">
        <v>20637</v>
      </c>
      <c r="BP90" s="421" t="s">
        <v>343</v>
      </c>
      <c r="BQ90" s="422">
        <v>36504.444943999995</v>
      </c>
      <c r="BR90" s="423">
        <v>15532.713636</v>
      </c>
      <c r="BS90" s="423">
        <v>417020.42619600001</v>
      </c>
      <c r="BT90" s="423">
        <v>614131.20120000001</v>
      </c>
      <c r="BU90" s="424">
        <f t="shared" si="23"/>
        <v>1083188.7859760001</v>
      </c>
      <c r="BV90" s="417">
        <f t="shared" si="29"/>
        <v>4.748393004981153E-2</v>
      </c>
      <c r="BW90" s="442"/>
      <c r="BX90" s="424">
        <f t="shared" si="24"/>
        <v>1083188.7859760001</v>
      </c>
      <c r="BY90" s="425">
        <v>0</v>
      </c>
      <c r="BZ90" s="425">
        <v>0</v>
      </c>
      <c r="CA90" s="425">
        <v>173294</v>
      </c>
      <c r="CB90" s="425">
        <v>0</v>
      </c>
      <c r="CC90" s="425">
        <v>1014</v>
      </c>
      <c r="CD90" s="425">
        <v>0</v>
      </c>
      <c r="CE90" s="425">
        <v>3465880</v>
      </c>
      <c r="CF90" s="425">
        <v>0</v>
      </c>
      <c r="CG90" s="426">
        <v>20275</v>
      </c>
      <c r="CH90" s="421" t="s">
        <v>343</v>
      </c>
    </row>
    <row r="91" spans="1:86" s="365" customFormat="1">
      <c r="A91" s="407" t="str">
        <f t="shared" si="25"/>
        <v>Emerging TechMarket Support</v>
      </c>
      <c r="B91" s="437" t="s">
        <v>485</v>
      </c>
      <c r="C91" s="438"/>
      <c r="D91" s="443" t="s">
        <v>486</v>
      </c>
      <c r="E91" s="635" t="s">
        <v>15</v>
      </c>
      <c r="F91" s="411" t="s">
        <v>24</v>
      </c>
      <c r="G91" s="411" t="s">
        <v>29</v>
      </c>
      <c r="H91" s="412" t="s">
        <v>23</v>
      </c>
      <c r="I91" s="444"/>
      <c r="J91" s="414">
        <v>731500</v>
      </c>
      <c r="K91" s="414"/>
      <c r="L91" s="414"/>
      <c r="M91" s="414">
        <v>858569</v>
      </c>
      <c r="N91" s="414">
        <v>1814026</v>
      </c>
      <c r="O91" s="415">
        <v>16720</v>
      </c>
      <c r="P91" s="414">
        <v>4807</v>
      </c>
      <c r="Q91" s="414">
        <v>1232473</v>
      </c>
      <c r="R91" s="414">
        <v>0</v>
      </c>
      <c r="S91" s="416">
        <f t="shared" si="17"/>
        <v>1254000</v>
      </c>
      <c r="T91" s="417">
        <f t="shared" si="26"/>
        <v>-0.30871994116953122</v>
      </c>
      <c r="U91" s="442"/>
      <c r="V91" s="419">
        <f t="shared" si="18"/>
        <v>1254000</v>
      </c>
      <c r="W91" s="425">
        <v>0</v>
      </c>
      <c r="X91" s="425">
        <v>0</v>
      </c>
      <c r="Y91" s="425">
        <v>0</v>
      </c>
      <c r="Z91" s="452" t="s">
        <v>342</v>
      </c>
      <c r="AA91" s="425">
        <v>0</v>
      </c>
      <c r="AB91" s="425">
        <v>0</v>
      </c>
      <c r="AC91" s="425" t="s">
        <v>342</v>
      </c>
      <c r="AD91" s="426">
        <v>0</v>
      </c>
      <c r="AE91" s="426" t="s">
        <v>342</v>
      </c>
      <c r="AF91" s="421" t="s">
        <v>342</v>
      </c>
      <c r="AG91" s="422">
        <v>16720</v>
      </c>
      <c r="AH91" s="423">
        <v>4807</v>
      </c>
      <c r="AI91" s="423">
        <v>1232473</v>
      </c>
      <c r="AJ91" s="423">
        <v>0</v>
      </c>
      <c r="AK91" s="424">
        <f t="shared" si="19"/>
        <v>1254000</v>
      </c>
      <c r="AL91" s="417">
        <f t="shared" si="27"/>
        <v>0</v>
      </c>
      <c r="AM91" s="442"/>
      <c r="AN91" s="424">
        <f t="shared" si="20"/>
        <v>1254000</v>
      </c>
      <c r="AO91" s="425">
        <v>0</v>
      </c>
      <c r="AP91" s="425">
        <v>0</v>
      </c>
      <c r="AQ91" s="425" t="s">
        <v>342</v>
      </c>
      <c r="AR91" s="425">
        <v>0</v>
      </c>
      <c r="AS91" s="425" t="s">
        <v>342</v>
      </c>
      <c r="AT91" s="425">
        <v>0</v>
      </c>
      <c r="AU91" s="425" t="s">
        <v>342</v>
      </c>
      <c r="AV91" s="426">
        <v>0</v>
      </c>
      <c r="AW91" s="426" t="s">
        <v>342</v>
      </c>
      <c r="AX91" s="421" t="s">
        <v>343</v>
      </c>
      <c r="AY91" s="427">
        <v>16720</v>
      </c>
      <c r="AZ91" s="414">
        <v>4807</v>
      </c>
      <c r="BA91" s="414">
        <v>1232473</v>
      </c>
      <c r="BB91" s="414">
        <v>0</v>
      </c>
      <c r="BC91" s="424">
        <f t="shared" si="21"/>
        <v>1254000</v>
      </c>
      <c r="BD91" s="417">
        <f t="shared" si="28"/>
        <v>0</v>
      </c>
      <c r="BE91" s="442"/>
      <c r="BF91" s="424">
        <f t="shared" si="22"/>
        <v>1254000</v>
      </c>
      <c r="BG91" s="425">
        <v>0</v>
      </c>
      <c r="BH91" s="425">
        <v>0</v>
      </c>
      <c r="BI91" s="425">
        <v>0</v>
      </c>
      <c r="BJ91" s="425">
        <v>0</v>
      </c>
      <c r="BK91" s="425" t="s">
        <v>342</v>
      </c>
      <c r="BL91" s="425">
        <v>0</v>
      </c>
      <c r="BM91" s="425" t="s">
        <v>342</v>
      </c>
      <c r="BN91" s="426">
        <v>0</v>
      </c>
      <c r="BO91" s="426" t="s">
        <v>342</v>
      </c>
      <c r="BP91" s="421" t="s">
        <v>343</v>
      </c>
      <c r="BQ91" s="422">
        <v>16720</v>
      </c>
      <c r="BR91" s="423">
        <v>4807</v>
      </c>
      <c r="BS91" s="423">
        <v>1232473</v>
      </c>
      <c r="BT91" s="423">
        <v>0</v>
      </c>
      <c r="BU91" s="424">
        <f t="shared" si="23"/>
        <v>1254000</v>
      </c>
      <c r="BV91" s="417">
        <f t="shared" si="29"/>
        <v>0</v>
      </c>
      <c r="BW91" s="442"/>
      <c r="BX91" s="424">
        <f t="shared" si="24"/>
        <v>1254000</v>
      </c>
      <c r="BY91" s="425">
        <v>0</v>
      </c>
      <c r="BZ91" s="425">
        <v>0</v>
      </c>
      <c r="CA91" s="425" t="s">
        <v>342</v>
      </c>
      <c r="CB91" s="425">
        <v>0</v>
      </c>
      <c r="CC91" s="425" t="s">
        <v>342</v>
      </c>
      <c r="CD91" s="425">
        <v>0</v>
      </c>
      <c r="CE91" s="425" t="s">
        <v>342</v>
      </c>
      <c r="CF91" s="425">
        <v>0</v>
      </c>
      <c r="CG91" s="426" t="s">
        <v>342</v>
      </c>
      <c r="CH91" s="421" t="s">
        <v>343</v>
      </c>
    </row>
    <row r="92" spans="1:86" s="365" customFormat="1">
      <c r="A92" s="407" t="str">
        <f t="shared" si="25"/>
        <v>IndustrialMarket Support</v>
      </c>
      <c r="B92" s="437" t="s">
        <v>487</v>
      </c>
      <c r="C92" s="438"/>
      <c r="D92" s="443" t="s">
        <v>488</v>
      </c>
      <c r="E92" s="635" t="s">
        <v>20</v>
      </c>
      <c r="F92" s="411" t="s">
        <v>24</v>
      </c>
      <c r="G92" s="411" t="s">
        <v>25</v>
      </c>
      <c r="H92" s="412" t="s">
        <v>23</v>
      </c>
      <c r="I92" s="444"/>
      <c r="J92" s="414"/>
      <c r="K92" s="414"/>
      <c r="L92" s="414"/>
      <c r="M92" s="414">
        <v>27604</v>
      </c>
      <c r="N92" s="414">
        <v>237418</v>
      </c>
      <c r="O92" s="415">
        <v>54972.896809599995</v>
      </c>
      <c r="P92" s="414">
        <v>45810.747344119991</v>
      </c>
      <c r="Q92" s="414">
        <v>204621.33814319997</v>
      </c>
      <c r="R92" s="414">
        <v>281319.255739994</v>
      </c>
      <c r="S92" s="416">
        <f t="shared" si="17"/>
        <v>586724.23803691403</v>
      </c>
      <c r="T92" s="417">
        <f t="shared" si="26"/>
        <v>1.4712710832241618</v>
      </c>
      <c r="U92" s="442"/>
      <c r="V92" s="419">
        <f t="shared" si="18"/>
        <v>586724.23803691403</v>
      </c>
      <c r="W92" s="425">
        <v>0</v>
      </c>
      <c r="X92" s="425">
        <v>0</v>
      </c>
      <c r="Y92" s="425">
        <v>389891.82089999999</v>
      </c>
      <c r="Z92" s="452" t="s">
        <v>342</v>
      </c>
      <c r="AA92" s="425">
        <v>2281</v>
      </c>
      <c r="AB92" s="425">
        <v>0</v>
      </c>
      <c r="AC92" s="425">
        <v>5848377</v>
      </c>
      <c r="AD92" s="426">
        <v>0</v>
      </c>
      <c r="AE92" s="426">
        <v>34213</v>
      </c>
      <c r="AF92" s="421" t="s">
        <v>342</v>
      </c>
      <c r="AG92" s="422">
        <v>52801.86852951999</v>
      </c>
      <c r="AH92" s="423">
        <v>44001.557110720001</v>
      </c>
      <c r="AI92" s="423">
        <v>196540.28843679998</v>
      </c>
      <c r="AJ92" s="423">
        <v>286670.44805133721</v>
      </c>
      <c r="AK92" s="424">
        <f t="shared" si="19"/>
        <v>580014.16212837724</v>
      </c>
      <c r="AL92" s="417">
        <f t="shared" si="27"/>
        <v>-1.1436507090601261E-2</v>
      </c>
      <c r="AM92" s="442"/>
      <c r="AN92" s="424">
        <f t="shared" si="20"/>
        <v>580014.16212837724</v>
      </c>
      <c r="AO92" s="425">
        <v>0</v>
      </c>
      <c r="AP92" s="425">
        <v>0</v>
      </c>
      <c r="AQ92" s="425">
        <v>397308</v>
      </c>
      <c r="AR92" s="425">
        <v>0</v>
      </c>
      <c r="AS92" s="425">
        <v>2324</v>
      </c>
      <c r="AT92" s="425">
        <v>0</v>
      </c>
      <c r="AU92" s="425">
        <v>5959624</v>
      </c>
      <c r="AV92" s="426">
        <v>0</v>
      </c>
      <c r="AW92" s="426">
        <v>34864</v>
      </c>
      <c r="AX92" s="421" t="s">
        <v>343</v>
      </c>
      <c r="AY92" s="427">
        <v>39499.575698439992</v>
      </c>
      <c r="AZ92" s="414">
        <v>32916.313080639993</v>
      </c>
      <c r="BA92" s="414">
        <v>147026.19842239999</v>
      </c>
      <c r="BB92" s="414">
        <v>224809.12472055072</v>
      </c>
      <c r="BC92" s="424">
        <f t="shared" si="21"/>
        <v>444251.21192203066</v>
      </c>
      <c r="BD92" s="417">
        <f t="shared" si="28"/>
        <v>-0.23406833672502211</v>
      </c>
      <c r="BE92" s="442"/>
      <c r="BF92" s="424">
        <f t="shared" si="22"/>
        <v>444251.21192203066</v>
      </c>
      <c r="BG92" s="425">
        <v>0</v>
      </c>
      <c r="BH92" s="425">
        <v>0</v>
      </c>
      <c r="BI92" s="425">
        <v>295994</v>
      </c>
      <c r="BJ92" s="425">
        <v>0</v>
      </c>
      <c r="BK92" s="425">
        <v>1732</v>
      </c>
      <c r="BL92" s="425">
        <v>0</v>
      </c>
      <c r="BM92" s="425">
        <v>4439903</v>
      </c>
      <c r="BN92" s="426">
        <v>0</v>
      </c>
      <c r="BO92" s="426">
        <v>25973</v>
      </c>
      <c r="BP92" s="421" t="s">
        <v>343</v>
      </c>
      <c r="BQ92" s="422">
        <v>29784.420684919998</v>
      </c>
      <c r="BR92" s="423">
        <v>24820.350572159998</v>
      </c>
      <c r="BS92" s="423">
        <v>110864.23258239999</v>
      </c>
      <c r="BT92" s="423">
        <v>169515.98661040299</v>
      </c>
      <c r="BU92" s="424">
        <f t="shared" si="23"/>
        <v>334984.99044988299</v>
      </c>
      <c r="BV92" s="417">
        <f t="shared" si="29"/>
        <v>-0.24595593335449289</v>
      </c>
      <c r="BW92" s="442"/>
      <c r="BX92" s="424">
        <f t="shared" si="24"/>
        <v>334984.99044988299</v>
      </c>
      <c r="BY92" s="425">
        <v>0</v>
      </c>
      <c r="BZ92" s="425">
        <v>0</v>
      </c>
      <c r="CA92" s="425">
        <v>223192</v>
      </c>
      <c r="CB92" s="425">
        <v>0</v>
      </c>
      <c r="CC92" s="425">
        <v>1306</v>
      </c>
      <c r="CD92" s="425">
        <v>0</v>
      </c>
      <c r="CE92" s="425">
        <v>3347882</v>
      </c>
      <c r="CF92" s="425">
        <v>0</v>
      </c>
      <c r="CG92" s="426">
        <v>19585</v>
      </c>
      <c r="CH92" s="421" t="s">
        <v>343</v>
      </c>
    </row>
    <row r="93" spans="1:86" s="365" customFormat="1">
      <c r="A93" s="407" t="str">
        <f t="shared" si="25"/>
        <v>PublicResource Acquisition</v>
      </c>
      <c r="B93" s="437" t="s">
        <v>489</v>
      </c>
      <c r="C93" s="438"/>
      <c r="D93" s="443" t="s">
        <v>490</v>
      </c>
      <c r="E93" s="635" t="s">
        <v>20</v>
      </c>
      <c r="F93" s="411" t="s">
        <v>24</v>
      </c>
      <c r="G93" s="411" t="s">
        <v>30</v>
      </c>
      <c r="H93" s="412" t="s">
        <v>18</v>
      </c>
      <c r="I93" s="444"/>
      <c r="J93" s="414">
        <v>34833.33</v>
      </c>
      <c r="K93" s="414"/>
      <c r="L93" s="414">
        <v>5842</v>
      </c>
      <c r="M93" s="414">
        <v>124593</v>
      </c>
      <c r="N93" s="414">
        <v>353654</v>
      </c>
      <c r="O93" s="415">
        <v>8025.5999999999995</v>
      </c>
      <c r="P93" s="414">
        <v>208.99999999999997</v>
      </c>
      <c r="Q93" s="414">
        <v>315429.13512582786</v>
      </c>
      <c r="R93" s="414">
        <v>249039.44347871174</v>
      </c>
      <c r="S93" s="416">
        <f t="shared" si="17"/>
        <v>572703.1786045396</v>
      </c>
      <c r="T93" s="417">
        <f t="shared" si="26"/>
        <v>0.6193883813120723</v>
      </c>
      <c r="U93" s="442"/>
      <c r="V93" s="419">
        <f t="shared" si="18"/>
        <v>572703.1786045396</v>
      </c>
      <c r="W93" s="425">
        <v>0</v>
      </c>
      <c r="X93" s="425">
        <v>0</v>
      </c>
      <c r="Y93" s="425">
        <v>67094</v>
      </c>
      <c r="Z93" s="452" t="s">
        <v>342</v>
      </c>
      <c r="AA93" s="425">
        <v>393</v>
      </c>
      <c r="AB93" s="425">
        <v>0</v>
      </c>
      <c r="AC93" s="425">
        <v>938557</v>
      </c>
      <c r="AD93" s="426">
        <v>0</v>
      </c>
      <c r="AE93" s="426">
        <v>5491</v>
      </c>
      <c r="AF93" s="421" t="s">
        <v>342</v>
      </c>
      <c r="AG93" s="422">
        <v>8025.5999999999995</v>
      </c>
      <c r="AH93" s="423">
        <v>208.99999999999997</v>
      </c>
      <c r="AI93" s="423">
        <v>250609.98161538079</v>
      </c>
      <c r="AJ93" s="423">
        <v>317818.02151301334</v>
      </c>
      <c r="AK93" s="424">
        <f t="shared" si="19"/>
        <v>576662.60312839411</v>
      </c>
      <c r="AL93" s="417">
        <f t="shared" si="27"/>
        <v>6.9135717624304576E-3</v>
      </c>
      <c r="AM93" s="442"/>
      <c r="AN93" s="424">
        <f t="shared" si="20"/>
        <v>576662.60312839411</v>
      </c>
      <c r="AO93" s="425">
        <v>0</v>
      </c>
      <c r="AP93" s="425">
        <v>0</v>
      </c>
      <c r="AQ93" s="425">
        <v>85904</v>
      </c>
      <c r="AR93" s="425">
        <v>0</v>
      </c>
      <c r="AS93" s="425">
        <v>503</v>
      </c>
      <c r="AT93" s="425">
        <v>0</v>
      </c>
      <c r="AU93" s="425">
        <v>1183124</v>
      </c>
      <c r="AV93" s="426">
        <v>0</v>
      </c>
      <c r="AW93" s="426">
        <v>6921</v>
      </c>
      <c r="AX93" s="421" t="s">
        <v>343</v>
      </c>
      <c r="AY93" s="427">
        <v>8025.5999999999995</v>
      </c>
      <c r="AZ93" s="414">
        <v>208.99999999999997</v>
      </c>
      <c r="BA93" s="414">
        <v>204716.34041538078</v>
      </c>
      <c r="BB93" s="414">
        <v>361529.64935382456</v>
      </c>
      <c r="BC93" s="424">
        <f t="shared" si="21"/>
        <v>574480.58976920531</v>
      </c>
      <c r="BD93" s="417">
        <f t="shared" si="28"/>
        <v>-3.7838648585002393E-3</v>
      </c>
      <c r="BE93" s="442"/>
      <c r="BF93" s="424">
        <f t="shared" si="22"/>
        <v>574480.58976920531</v>
      </c>
      <c r="BG93" s="425">
        <v>0</v>
      </c>
      <c r="BH93" s="425">
        <v>0</v>
      </c>
      <c r="BI93" s="425">
        <v>83083</v>
      </c>
      <c r="BJ93" s="425">
        <v>0</v>
      </c>
      <c r="BK93" s="425">
        <v>486</v>
      </c>
      <c r="BL93" s="425">
        <v>0</v>
      </c>
      <c r="BM93" s="425">
        <v>1249251</v>
      </c>
      <c r="BN93" s="426">
        <v>0</v>
      </c>
      <c r="BO93" s="426">
        <v>7308</v>
      </c>
      <c r="BP93" s="421" t="s">
        <v>343</v>
      </c>
      <c r="BQ93" s="422">
        <v>8025.5999999999995</v>
      </c>
      <c r="BR93" s="423">
        <v>208.99999999999997</v>
      </c>
      <c r="BS93" s="423">
        <v>217878.59646730253</v>
      </c>
      <c r="BT93" s="423">
        <v>352348.38173911342</v>
      </c>
      <c r="BU93" s="424">
        <f t="shared" si="23"/>
        <v>578461.57820641599</v>
      </c>
      <c r="BV93" s="417">
        <f t="shared" si="29"/>
        <v>6.9297179192947447E-3</v>
      </c>
      <c r="BW93" s="442"/>
      <c r="BX93" s="424">
        <f t="shared" si="24"/>
        <v>578461.57820641599</v>
      </c>
      <c r="BY93" s="425">
        <v>0</v>
      </c>
      <c r="BZ93" s="425">
        <v>0</v>
      </c>
      <c r="CA93" s="425">
        <v>79885</v>
      </c>
      <c r="CB93" s="425">
        <v>0</v>
      </c>
      <c r="CC93" s="425">
        <v>467</v>
      </c>
      <c r="CD93" s="425">
        <v>0</v>
      </c>
      <c r="CE93" s="425">
        <v>1085002</v>
      </c>
      <c r="CF93" s="425">
        <v>0</v>
      </c>
      <c r="CG93" s="426">
        <v>6347</v>
      </c>
      <c r="CH93" s="421" t="s">
        <v>343</v>
      </c>
    </row>
    <row r="94" spans="1:86" s="365" customFormat="1">
      <c r="A94" s="407" t="str">
        <f t="shared" si="25"/>
        <v>PublicResource Acquisition</v>
      </c>
      <c r="B94" s="437" t="s">
        <v>491</v>
      </c>
      <c r="C94" s="438"/>
      <c r="D94" s="443" t="s">
        <v>492</v>
      </c>
      <c r="E94" s="635" t="s">
        <v>20</v>
      </c>
      <c r="F94" s="411" t="s">
        <v>24</v>
      </c>
      <c r="G94" s="411" t="s">
        <v>30</v>
      </c>
      <c r="H94" s="412" t="s">
        <v>18</v>
      </c>
      <c r="I94" s="444"/>
      <c r="J94" s="414"/>
      <c r="K94" s="414"/>
      <c r="L94" s="414"/>
      <c r="M94" s="414">
        <v>166259</v>
      </c>
      <c r="N94" s="414">
        <v>512913</v>
      </c>
      <c r="O94" s="415">
        <v>12587.156753599998</v>
      </c>
      <c r="P94" s="414">
        <v>7552.2940521600003</v>
      </c>
      <c r="Q94" s="414">
        <v>105732.11669679999</v>
      </c>
      <c r="R94" s="414">
        <v>208528.43246399995</v>
      </c>
      <c r="S94" s="416">
        <f t="shared" si="17"/>
        <v>334399.99996655993</v>
      </c>
      <c r="T94" s="417">
        <f t="shared" si="26"/>
        <v>-0.34803758148738689</v>
      </c>
      <c r="U94" s="442"/>
      <c r="V94" s="419">
        <f t="shared" si="18"/>
        <v>334399.99996655993</v>
      </c>
      <c r="W94" s="425">
        <v>0</v>
      </c>
      <c r="X94" s="425">
        <v>0</v>
      </c>
      <c r="Y94" s="425">
        <v>84771</v>
      </c>
      <c r="Z94" s="452" t="s">
        <v>342</v>
      </c>
      <c r="AA94" s="425">
        <v>496</v>
      </c>
      <c r="AB94" s="425">
        <v>0</v>
      </c>
      <c r="AC94" s="425">
        <v>1313956</v>
      </c>
      <c r="AD94" s="426">
        <v>0</v>
      </c>
      <c r="AE94" s="426">
        <v>7687</v>
      </c>
      <c r="AF94" s="421" t="s">
        <v>342</v>
      </c>
      <c r="AG94" s="422">
        <v>11961.57145788</v>
      </c>
      <c r="AH94" s="423">
        <v>7176.942874727999</v>
      </c>
      <c r="AI94" s="423">
        <v>100477.20026959998</v>
      </c>
      <c r="AJ94" s="423">
        <v>214784.28546299998</v>
      </c>
      <c r="AK94" s="424">
        <f t="shared" si="19"/>
        <v>334400.00006520795</v>
      </c>
      <c r="AL94" s="417">
        <f t="shared" si="27"/>
        <v>2.9500004611116279E-10</v>
      </c>
      <c r="AM94" s="442"/>
      <c r="AN94" s="424">
        <f t="shared" si="20"/>
        <v>334400.00006520795</v>
      </c>
      <c r="AO94" s="425">
        <v>0</v>
      </c>
      <c r="AP94" s="425">
        <v>0</v>
      </c>
      <c r="AQ94" s="425">
        <v>87314</v>
      </c>
      <c r="AR94" s="425">
        <v>0</v>
      </c>
      <c r="AS94" s="425">
        <v>511</v>
      </c>
      <c r="AT94" s="425">
        <v>0</v>
      </c>
      <c r="AU94" s="425">
        <v>1222403</v>
      </c>
      <c r="AV94" s="426">
        <v>0</v>
      </c>
      <c r="AW94" s="426">
        <v>7151</v>
      </c>
      <c r="AX94" s="421" t="s">
        <v>343</v>
      </c>
      <c r="AY94" s="427">
        <v>11317.21860588</v>
      </c>
      <c r="AZ94" s="414">
        <v>6790.3311635279988</v>
      </c>
      <c r="BA94" s="414">
        <v>95064.636312799994</v>
      </c>
      <c r="BB94" s="414">
        <v>221227.813983</v>
      </c>
      <c r="BC94" s="424">
        <f t="shared" si="21"/>
        <v>334400.00006520801</v>
      </c>
      <c r="BD94" s="417">
        <f t="shared" si="28"/>
        <v>1.7406597159723961E-16</v>
      </c>
      <c r="BE94" s="442"/>
      <c r="BF94" s="424">
        <f t="shared" si="22"/>
        <v>334400.00006520801</v>
      </c>
      <c r="BG94" s="425">
        <v>0</v>
      </c>
      <c r="BH94" s="425">
        <v>0</v>
      </c>
      <c r="BI94" s="425">
        <v>89934</v>
      </c>
      <c r="BJ94" s="425">
        <v>0</v>
      </c>
      <c r="BK94" s="425">
        <v>526</v>
      </c>
      <c r="BL94" s="425">
        <v>0</v>
      </c>
      <c r="BM94" s="425">
        <v>1124174</v>
      </c>
      <c r="BN94" s="426">
        <v>0</v>
      </c>
      <c r="BO94" s="426">
        <v>6576</v>
      </c>
      <c r="BP94" s="421" t="s">
        <v>343</v>
      </c>
      <c r="BQ94" s="422">
        <v>10653.53515996</v>
      </c>
      <c r="BR94" s="423">
        <v>6392.1210959759992</v>
      </c>
      <c r="BS94" s="423">
        <v>89489.695323599997</v>
      </c>
      <c r="BT94" s="423">
        <v>227864.64842129999</v>
      </c>
      <c r="BU94" s="424">
        <f t="shared" si="23"/>
        <v>334400.00000083598</v>
      </c>
      <c r="BV94" s="417">
        <f t="shared" si="29"/>
        <v>-1.9250008018730202E-10</v>
      </c>
      <c r="BW94" s="442"/>
      <c r="BX94" s="424">
        <f t="shared" si="24"/>
        <v>334400.00000083598</v>
      </c>
      <c r="BY94" s="425">
        <v>0</v>
      </c>
      <c r="BZ94" s="425">
        <v>0</v>
      </c>
      <c r="CA94" s="425">
        <v>92632</v>
      </c>
      <c r="CB94" s="425">
        <v>0</v>
      </c>
      <c r="CC94" s="425">
        <v>542</v>
      </c>
      <c r="CD94" s="425">
        <v>0</v>
      </c>
      <c r="CE94" s="425">
        <v>1157899</v>
      </c>
      <c r="CF94" s="425">
        <v>0</v>
      </c>
      <c r="CG94" s="426">
        <v>6774</v>
      </c>
      <c r="CH94" s="421" t="s">
        <v>343</v>
      </c>
    </row>
    <row r="95" spans="1:86" s="365" customFormat="1">
      <c r="A95" s="407" t="str">
        <f t="shared" si="25"/>
        <v>PublicMarket Support</v>
      </c>
      <c r="B95" s="408" t="s">
        <v>493</v>
      </c>
      <c r="C95" s="409"/>
      <c r="D95" s="447" t="s">
        <v>494</v>
      </c>
      <c r="E95" s="635" t="s">
        <v>20</v>
      </c>
      <c r="F95" s="411" t="s">
        <v>24</v>
      </c>
      <c r="G95" s="411" t="s">
        <v>30</v>
      </c>
      <c r="H95" s="412" t="s">
        <v>23</v>
      </c>
      <c r="I95" s="448"/>
      <c r="J95" s="414"/>
      <c r="K95" s="414"/>
      <c r="L95" s="414"/>
      <c r="M95" s="414">
        <v>6543</v>
      </c>
      <c r="N95" s="414">
        <v>56578</v>
      </c>
      <c r="O95" s="429">
        <v>11486.418267720001</v>
      </c>
      <c r="P95" s="430">
        <v>9572.015218919998</v>
      </c>
      <c r="Q95" s="430">
        <v>42755.001306159997</v>
      </c>
      <c r="R95" s="430">
        <v>68401.280810726865</v>
      </c>
      <c r="S95" s="445">
        <f t="shared" si="17"/>
        <v>132214.71560352686</v>
      </c>
      <c r="T95" s="417">
        <f t="shared" si="26"/>
        <v>1.3368573580460048</v>
      </c>
      <c r="U95" s="418"/>
      <c r="V95" s="419">
        <f t="shared" si="18"/>
        <v>132214.71560352686</v>
      </c>
      <c r="W95" s="434">
        <v>0</v>
      </c>
      <c r="X95" s="434">
        <v>0</v>
      </c>
      <c r="Y95" s="425">
        <v>28558</v>
      </c>
      <c r="Z95" s="420" t="s">
        <v>342</v>
      </c>
      <c r="AA95" s="425">
        <v>167</v>
      </c>
      <c r="AB95" s="434">
        <v>0</v>
      </c>
      <c r="AC95" s="434">
        <v>428365</v>
      </c>
      <c r="AD95" s="435">
        <v>0</v>
      </c>
      <c r="AE95" s="435">
        <v>2506</v>
      </c>
      <c r="AF95" s="431" t="s">
        <v>342</v>
      </c>
      <c r="AG95" s="432">
        <v>10939.18663728</v>
      </c>
      <c r="AH95" s="433">
        <v>9115.9888727599991</v>
      </c>
      <c r="AI95" s="433">
        <v>40718.083602679995</v>
      </c>
      <c r="AJ95" s="433">
        <v>69702.394766034457</v>
      </c>
      <c r="AK95" s="424">
        <f t="shared" si="19"/>
        <v>130475.65387875444</v>
      </c>
      <c r="AL95" s="417">
        <f t="shared" si="27"/>
        <v>-1.315331441613013E-2</v>
      </c>
      <c r="AM95" s="418"/>
      <c r="AN95" s="424">
        <f t="shared" si="20"/>
        <v>130475.65387875444</v>
      </c>
      <c r="AO95" s="434">
        <v>0</v>
      </c>
      <c r="AP95" s="434">
        <v>0</v>
      </c>
      <c r="AQ95" s="434">
        <v>29101</v>
      </c>
      <c r="AR95" s="434">
        <v>0</v>
      </c>
      <c r="AS95" s="434">
        <v>170</v>
      </c>
      <c r="AT95" s="434">
        <v>0</v>
      </c>
      <c r="AU95" s="434">
        <v>436513</v>
      </c>
      <c r="AV95" s="435">
        <v>0</v>
      </c>
      <c r="AW95" s="435">
        <v>2554</v>
      </c>
      <c r="AX95" s="431" t="s">
        <v>343</v>
      </c>
      <c r="AY95" s="436">
        <v>8245.8323104079991</v>
      </c>
      <c r="AZ95" s="430">
        <v>6871.5269270119989</v>
      </c>
      <c r="BA95" s="430">
        <v>30692.820274599995</v>
      </c>
      <c r="BB95" s="430">
        <v>54661.143006253653</v>
      </c>
      <c r="BC95" s="424">
        <f t="shared" si="21"/>
        <v>100471.32251827365</v>
      </c>
      <c r="BD95" s="417">
        <f t="shared" si="28"/>
        <v>-0.22996114959778288</v>
      </c>
      <c r="BE95" s="418"/>
      <c r="BF95" s="424">
        <f t="shared" si="22"/>
        <v>100471.32251827365</v>
      </c>
      <c r="BG95" s="434">
        <v>0</v>
      </c>
      <c r="BH95" s="434">
        <v>0</v>
      </c>
      <c r="BI95" s="434">
        <v>21680</v>
      </c>
      <c r="BJ95" s="434">
        <v>0</v>
      </c>
      <c r="BK95" s="434">
        <v>127</v>
      </c>
      <c r="BL95" s="434">
        <v>0</v>
      </c>
      <c r="BM95" s="434">
        <v>325201</v>
      </c>
      <c r="BN95" s="435">
        <v>0</v>
      </c>
      <c r="BO95" s="435">
        <v>1902</v>
      </c>
      <c r="BP95" s="431" t="s">
        <v>343</v>
      </c>
      <c r="BQ95" s="432">
        <v>6217.7209289359998</v>
      </c>
      <c r="BR95" s="433">
        <v>5181.4341071680001</v>
      </c>
      <c r="BS95" s="433">
        <v>23143.739012239999</v>
      </c>
      <c r="BT95" s="433">
        <v>41216.910558170319</v>
      </c>
      <c r="BU95" s="424">
        <f t="shared" si="23"/>
        <v>75759.804606514313</v>
      </c>
      <c r="BV95" s="417">
        <f t="shared" si="29"/>
        <v>-0.24595593341836247</v>
      </c>
      <c r="BW95" s="418"/>
      <c r="BX95" s="424">
        <f t="shared" si="24"/>
        <v>75759.804606514313</v>
      </c>
      <c r="BY95" s="434">
        <v>0</v>
      </c>
      <c r="BZ95" s="434">
        <v>0</v>
      </c>
      <c r="CA95" s="434">
        <v>16348</v>
      </c>
      <c r="CB95" s="434">
        <v>0</v>
      </c>
      <c r="CC95" s="434">
        <v>96</v>
      </c>
      <c r="CD95" s="434">
        <v>0</v>
      </c>
      <c r="CE95" s="434">
        <v>245216</v>
      </c>
      <c r="CF95" s="434">
        <v>0</v>
      </c>
      <c r="CG95" s="435">
        <v>1435</v>
      </c>
      <c r="CH95" s="431" t="s">
        <v>343</v>
      </c>
    </row>
    <row r="96" spans="1:86" s="365" customFormat="1">
      <c r="A96" s="407" t="str">
        <f t="shared" si="25"/>
        <v>PublicResource Acquisition</v>
      </c>
      <c r="B96" s="437" t="s">
        <v>495</v>
      </c>
      <c r="C96" s="438"/>
      <c r="D96" s="443" t="s">
        <v>496</v>
      </c>
      <c r="E96" s="635" t="s">
        <v>20</v>
      </c>
      <c r="F96" s="411" t="s">
        <v>24</v>
      </c>
      <c r="G96" s="411" t="s">
        <v>30</v>
      </c>
      <c r="H96" s="412" t="s">
        <v>18</v>
      </c>
      <c r="I96" s="444"/>
      <c r="J96" s="414"/>
      <c r="K96" s="414"/>
      <c r="L96" s="414"/>
      <c r="M96" s="414">
        <v>166259</v>
      </c>
      <c r="N96" s="414">
        <v>512913</v>
      </c>
      <c r="O96" s="415">
        <v>17668.17906128</v>
      </c>
      <c r="P96" s="414">
        <v>10600.907438439999</v>
      </c>
      <c r="Q96" s="414">
        <v>148412.704088</v>
      </c>
      <c r="R96" s="414">
        <v>266398.20938720001</v>
      </c>
      <c r="S96" s="416">
        <f t="shared" si="17"/>
        <v>443079.99997492001</v>
      </c>
      <c r="T96" s="417">
        <f t="shared" si="26"/>
        <v>-0.13614979543329958</v>
      </c>
      <c r="U96" s="442"/>
      <c r="V96" s="419">
        <f t="shared" si="18"/>
        <v>443079.99997492001</v>
      </c>
      <c r="W96" s="425">
        <v>0</v>
      </c>
      <c r="X96" s="425">
        <v>0</v>
      </c>
      <c r="Y96" s="425">
        <v>75837</v>
      </c>
      <c r="Z96" s="452" t="s">
        <v>342</v>
      </c>
      <c r="AA96" s="425">
        <v>444</v>
      </c>
      <c r="AB96" s="425">
        <v>0</v>
      </c>
      <c r="AC96" s="425">
        <v>963136</v>
      </c>
      <c r="AD96" s="426">
        <v>0</v>
      </c>
      <c r="AE96" s="426">
        <v>5634</v>
      </c>
      <c r="AF96" s="421" t="s">
        <v>342</v>
      </c>
      <c r="AG96" s="422">
        <v>16868.984429439999</v>
      </c>
      <c r="AH96" s="423">
        <v>10121.390654319999</v>
      </c>
      <c r="AI96" s="423">
        <v>141699.46917719999</v>
      </c>
      <c r="AJ96" s="423">
        <v>274390.15567216004</v>
      </c>
      <c r="AK96" s="424">
        <f t="shared" si="19"/>
        <v>443079.99993312004</v>
      </c>
      <c r="AL96" s="417">
        <f t="shared" si="27"/>
        <v>-9.4339552772012778E-11</v>
      </c>
      <c r="AM96" s="442"/>
      <c r="AN96" s="424">
        <f t="shared" si="20"/>
        <v>443079.99993312004</v>
      </c>
      <c r="AO96" s="425">
        <v>0</v>
      </c>
      <c r="AP96" s="425">
        <v>0</v>
      </c>
      <c r="AQ96" s="425">
        <v>78113</v>
      </c>
      <c r="AR96" s="425">
        <v>0</v>
      </c>
      <c r="AS96" s="425">
        <v>457</v>
      </c>
      <c r="AT96" s="425">
        <v>0</v>
      </c>
      <c r="AU96" s="425">
        <v>984219</v>
      </c>
      <c r="AV96" s="426">
        <v>0</v>
      </c>
      <c r="AW96" s="426">
        <v>5758</v>
      </c>
      <c r="AX96" s="421" t="s">
        <v>343</v>
      </c>
      <c r="AY96" s="427">
        <v>16045.813969679999</v>
      </c>
      <c r="AZ96" s="414">
        <v>9627.4883834799984</v>
      </c>
      <c r="BA96" s="414">
        <v>134784.837352</v>
      </c>
      <c r="BB96" s="414">
        <v>282621.86033663998</v>
      </c>
      <c r="BC96" s="424">
        <f t="shared" si="21"/>
        <v>443080.00004179997</v>
      </c>
      <c r="BD96" s="417">
        <f t="shared" si="28"/>
        <v>2.4528286350448201E-10</v>
      </c>
      <c r="BE96" s="442"/>
      <c r="BF96" s="424">
        <f t="shared" si="22"/>
        <v>443080.00004179997</v>
      </c>
      <c r="BG96" s="425">
        <v>0</v>
      </c>
      <c r="BH96" s="425">
        <v>0</v>
      </c>
      <c r="BI96" s="425">
        <v>80456</v>
      </c>
      <c r="BJ96" s="425">
        <v>0</v>
      </c>
      <c r="BK96" s="425">
        <v>471</v>
      </c>
      <c r="BL96" s="425">
        <v>0</v>
      </c>
      <c r="BM96" s="425">
        <v>965472</v>
      </c>
      <c r="BN96" s="426">
        <v>0</v>
      </c>
      <c r="BO96" s="426">
        <v>5648</v>
      </c>
      <c r="BP96" s="421" t="s">
        <v>343</v>
      </c>
      <c r="BQ96" s="422">
        <v>15197.948387599999</v>
      </c>
      <c r="BR96" s="423">
        <v>9118.7690325599979</v>
      </c>
      <c r="BS96" s="423">
        <v>127662.76642239999</v>
      </c>
      <c r="BT96" s="423">
        <v>291100.51615743997</v>
      </c>
      <c r="BU96" s="424">
        <f t="shared" si="23"/>
        <v>443079.99999999994</v>
      </c>
      <c r="BV96" s="417">
        <f t="shared" si="29"/>
        <v>-9.4339684128317471E-11</v>
      </c>
      <c r="BW96" s="442"/>
      <c r="BX96" s="424">
        <f t="shared" si="24"/>
        <v>443079.99999999994</v>
      </c>
      <c r="BY96" s="425">
        <v>0</v>
      </c>
      <c r="BZ96" s="425">
        <v>0</v>
      </c>
      <c r="CA96" s="425">
        <v>82870</v>
      </c>
      <c r="CB96" s="425">
        <v>0</v>
      </c>
      <c r="CC96" s="425">
        <v>485</v>
      </c>
      <c r="CD96" s="425">
        <v>0</v>
      </c>
      <c r="CE96" s="425">
        <v>994436</v>
      </c>
      <c r="CF96" s="425">
        <v>0</v>
      </c>
      <c r="CG96" s="426">
        <v>5817</v>
      </c>
      <c r="CH96" s="421" t="s">
        <v>343</v>
      </c>
    </row>
    <row r="97" spans="1:86" s="365" customFormat="1">
      <c r="A97" s="407" t="str">
        <f t="shared" si="25"/>
        <v>ResidentialMarket Support</v>
      </c>
      <c r="B97" s="437" t="s">
        <v>497</v>
      </c>
      <c r="C97" s="438"/>
      <c r="D97" s="443" t="s">
        <v>498</v>
      </c>
      <c r="E97" s="635" t="s">
        <v>20</v>
      </c>
      <c r="F97" s="411" t="s">
        <v>24</v>
      </c>
      <c r="G97" s="411" t="s">
        <v>17</v>
      </c>
      <c r="H97" s="412" t="s">
        <v>23</v>
      </c>
      <c r="I97" s="444"/>
      <c r="J97" s="414"/>
      <c r="K97" s="414"/>
      <c r="L97" s="414"/>
      <c r="M97" s="414"/>
      <c r="N97" s="414">
        <v>576840</v>
      </c>
      <c r="O97" s="415">
        <v>57683.999999999993</v>
      </c>
      <c r="P97" s="414">
        <v>34610.399999999994</v>
      </c>
      <c r="Q97" s="414">
        <v>196125.59999999998</v>
      </c>
      <c r="R97" s="414">
        <v>288420</v>
      </c>
      <c r="S97" s="416">
        <f t="shared" si="17"/>
        <v>576840</v>
      </c>
      <c r="T97" s="417">
        <f t="shared" si="26"/>
        <v>0</v>
      </c>
      <c r="U97" s="442"/>
      <c r="V97" s="419">
        <f t="shared" si="18"/>
        <v>576840</v>
      </c>
      <c r="W97" s="425">
        <v>0</v>
      </c>
      <c r="X97" s="425">
        <v>0</v>
      </c>
      <c r="Y97" s="425">
        <v>46387</v>
      </c>
      <c r="Z97" s="452" t="s">
        <v>342</v>
      </c>
      <c r="AA97" s="425">
        <v>271</v>
      </c>
      <c r="AB97" s="425">
        <v>0</v>
      </c>
      <c r="AC97" s="425">
        <v>695800</v>
      </c>
      <c r="AD97" s="426">
        <v>0</v>
      </c>
      <c r="AE97" s="426">
        <v>4070</v>
      </c>
      <c r="AF97" s="421" t="s">
        <v>342</v>
      </c>
      <c r="AG97" s="422">
        <v>57683.999999999993</v>
      </c>
      <c r="AH97" s="423">
        <v>34610.399999999994</v>
      </c>
      <c r="AI97" s="423">
        <v>196125.59999999998</v>
      </c>
      <c r="AJ97" s="423">
        <v>288420</v>
      </c>
      <c r="AK97" s="424">
        <f t="shared" si="19"/>
        <v>576840</v>
      </c>
      <c r="AL97" s="417">
        <f t="shared" si="27"/>
        <v>0</v>
      </c>
      <c r="AM97" s="442"/>
      <c r="AN97" s="424">
        <f t="shared" si="20"/>
        <v>576840</v>
      </c>
      <c r="AO97" s="425">
        <v>0</v>
      </c>
      <c r="AP97" s="425">
        <v>0</v>
      </c>
      <c r="AQ97" s="425">
        <v>47301</v>
      </c>
      <c r="AR97" s="425">
        <v>0</v>
      </c>
      <c r="AS97" s="425">
        <v>277</v>
      </c>
      <c r="AT97" s="425">
        <v>0</v>
      </c>
      <c r="AU97" s="425">
        <v>709508</v>
      </c>
      <c r="AV97" s="426">
        <v>0</v>
      </c>
      <c r="AW97" s="426">
        <v>4151</v>
      </c>
      <c r="AX97" s="421" t="s">
        <v>343</v>
      </c>
      <c r="AY97" s="427">
        <v>57683.999999999993</v>
      </c>
      <c r="AZ97" s="414">
        <v>34610.399999999994</v>
      </c>
      <c r="BA97" s="414">
        <v>196125.59999999998</v>
      </c>
      <c r="BB97" s="414">
        <v>288420</v>
      </c>
      <c r="BC97" s="424">
        <f t="shared" si="21"/>
        <v>576840</v>
      </c>
      <c r="BD97" s="417">
        <f t="shared" si="28"/>
        <v>0</v>
      </c>
      <c r="BE97" s="442"/>
      <c r="BF97" s="424">
        <f t="shared" si="22"/>
        <v>576840</v>
      </c>
      <c r="BG97" s="425">
        <v>0</v>
      </c>
      <c r="BH97" s="425">
        <v>0</v>
      </c>
      <c r="BI97" s="425">
        <v>52030</v>
      </c>
      <c r="BJ97" s="425">
        <v>0</v>
      </c>
      <c r="BK97" s="425">
        <v>304</v>
      </c>
      <c r="BL97" s="425">
        <v>0</v>
      </c>
      <c r="BM97" s="425">
        <v>780451</v>
      </c>
      <c r="BN97" s="426">
        <v>0</v>
      </c>
      <c r="BO97" s="426">
        <v>4566</v>
      </c>
      <c r="BP97" s="421" t="s">
        <v>343</v>
      </c>
      <c r="BQ97" s="422">
        <v>57683.999999999993</v>
      </c>
      <c r="BR97" s="423">
        <v>34610.399999999994</v>
      </c>
      <c r="BS97" s="423">
        <v>196125.59999999998</v>
      </c>
      <c r="BT97" s="423">
        <v>288420</v>
      </c>
      <c r="BU97" s="424">
        <f t="shared" si="23"/>
        <v>576840</v>
      </c>
      <c r="BV97" s="417">
        <f t="shared" si="29"/>
        <v>0</v>
      </c>
      <c r="BW97" s="442"/>
      <c r="BX97" s="424">
        <f t="shared" si="24"/>
        <v>576840</v>
      </c>
      <c r="BY97" s="425">
        <v>0</v>
      </c>
      <c r="BZ97" s="425">
        <v>0</v>
      </c>
      <c r="CA97" s="425">
        <v>57233</v>
      </c>
      <c r="CB97" s="425">
        <v>0</v>
      </c>
      <c r="CC97" s="425">
        <v>335</v>
      </c>
      <c r="CD97" s="425">
        <v>0</v>
      </c>
      <c r="CE97" s="425">
        <v>858501</v>
      </c>
      <c r="CF97" s="425">
        <v>0</v>
      </c>
      <c r="CG97" s="426">
        <v>5022</v>
      </c>
      <c r="CH97" s="421" t="s">
        <v>343</v>
      </c>
    </row>
    <row r="98" spans="1:86" s="467" customFormat="1">
      <c r="A98" s="453" t="str">
        <f t="shared" si="25"/>
        <v>ResidentialMarket Support</v>
      </c>
      <c r="B98" s="454" t="s">
        <v>499</v>
      </c>
      <c r="C98" s="455"/>
      <c r="D98" s="456" t="s">
        <v>500</v>
      </c>
      <c r="E98" s="636" t="s">
        <v>20</v>
      </c>
      <c r="F98" s="457" t="s">
        <v>24</v>
      </c>
      <c r="G98" s="457" t="s">
        <v>17</v>
      </c>
      <c r="H98" s="458" t="s">
        <v>23</v>
      </c>
      <c r="I98" s="459"/>
      <c r="J98" s="460">
        <v>442411</v>
      </c>
      <c r="K98" s="460"/>
      <c r="L98" s="460">
        <v>-9</v>
      </c>
      <c r="M98" s="460">
        <v>158492</v>
      </c>
      <c r="N98" s="460">
        <v>212807</v>
      </c>
      <c r="O98" s="461">
        <v>14897.937999999998</v>
      </c>
      <c r="P98" s="460">
        <v>12911.601999999999</v>
      </c>
      <c r="Q98" s="460">
        <v>71510.186000000002</v>
      </c>
      <c r="R98" s="460">
        <v>159259.50930826628</v>
      </c>
      <c r="S98" s="419">
        <f t="shared" si="17"/>
        <v>258579.23530826627</v>
      </c>
      <c r="T98" s="462">
        <f t="shared" si="26"/>
        <v>0.21508801547066719</v>
      </c>
      <c r="U98" s="463"/>
      <c r="V98" s="419">
        <f t="shared" si="18"/>
        <v>258579.23530826627</v>
      </c>
      <c r="W98" s="425">
        <v>0</v>
      </c>
      <c r="X98" s="425">
        <v>0</v>
      </c>
      <c r="Y98" s="425">
        <v>6629</v>
      </c>
      <c r="Z98" s="452" t="s">
        <v>342</v>
      </c>
      <c r="AA98" s="425">
        <v>1494</v>
      </c>
      <c r="AB98" s="425">
        <v>0</v>
      </c>
      <c r="AC98" s="425">
        <v>119318</v>
      </c>
      <c r="AD98" s="426">
        <v>0</v>
      </c>
      <c r="AE98" s="426">
        <v>21804</v>
      </c>
      <c r="AF98" s="421" t="s">
        <v>342</v>
      </c>
      <c r="AG98" s="464">
        <v>14980.785599999999</v>
      </c>
      <c r="AH98" s="465">
        <v>12983.3308</v>
      </c>
      <c r="AI98" s="465">
        <v>71907.703999999998</v>
      </c>
      <c r="AJ98" s="465">
        <v>163977.84535901487</v>
      </c>
      <c r="AK98" s="424">
        <f t="shared" si="19"/>
        <v>263849.6657590149</v>
      </c>
      <c r="AL98" s="462">
        <f t="shared" si="27"/>
        <v>2.0382264819003963E-2</v>
      </c>
      <c r="AM98" s="463"/>
      <c r="AN98" s="424">
        <f t="shared" si="20"/>
        <v>263849.6657590149</v>
      </c>
      <c r="AO98" s="425">
        <v>0</v>
      </c>
      <c r="AP98" s="425">
        <v>0</v>
      </c>
      <c r="AQ98" s="425">
        <v>6322</v>
      </c>
      <c r="AR98" s="425">
        <v>0</v>
      </c>
      <c r="AS98" s="425">
        <v>1492</v>
      </c>
      <c r="AT98" s="425">
        <v>0</v>
      </c>
      <c r="AU98" s="425">
        <v>113791</v>
      </c>
      <c r="AV98" s="426">
        <v>0</v>
      </c>
      <c r="AW98" s="426">
        <v>21772</v>
      </c>
      <c r="AX98" s="421" t="s">
        <v>343</v>
      </c>
      <c r="AY98" s="466">
        <v>14927.783199999998</v>
      </c>
      <c r="AZ98" s="460">
        <v>12937.434399999998</v>
      </c>
      <c r="BA98" s="460">
        <v>71653.225599999991</v>
      </c>
      <c r="BB98" s="460">
        <v>159938.05549615499</v>
      </c>
      <c r="BC98" s="424">
        <f t="shared" si="21"/>
        <v>259456.49869615497</v>
      </c>
      <c r="BD98" s="462">
        <f t="shared" si="28"/>
        <v>-1.6650265787611002E-2</v>
      </c>
      <c r="BE98" s="463"/>
      <c r="BF98" s="424">
        <f t="shared" si="22"/>
        <v>259456.49869615497</v>
      </c>
      <c r="BG98" s="425">
        <v>0</v>
      </c>
      <c r="BH98" s="425">
        <v>0</v>
      </c>
      <c r="BI98" s="425">
        <v>5914</v>
      </c>
      <c r="BJ98" s="425">
        <v>0</v>
      </c>
      <c r="BK98" s="425">
        <v>1490</v>
      </c>
      <c r="BL98" s="425">
        <v>0</v>
      </c>
      <c r="BM98" s="425">
        <v>106453</v>
      </c>
      <c r="BN98" s="426">
        <v>0</v>
      </c>
      <c r="BO98" s="426">
        <v>21729</v>
      </c>
      <c r="BP98" s="421" t="s">
        <v>343</v>
      </c>
      <c r="BQ98" s="464">
        <v>14399.932799999999</v>
      </c>
      <c r="BR98" s="465">
        <v>12479.975199999999</v>
      </c>
      <c r="BS98" s="465">
        <v>69119.811199999996</v>
      </c>
      <c r="BT98" s="465">
        <v>183724.43054259801</v>
      </c>
      <c r="BU98" s="424">
        <f t="shared" si="23"/>
        <v>279724.14974259801</v>
      </c>
      <c r="BV98" s="462">
        <f t="shared" si="29"/>
        <v>7.811579647568638E-2</v>
      </c>
      <c r="BW98" s="463"/>
      <c r="BX98" s="424">
        <f t="shared" si="24"/>
        <v>279724.14974259801</v>
      </c>
      <c r="BY98" s="425">
        <v>0</v>
      </c>
      <c r="BZ98" s="425">
        <v>0</v>
      </c>
      <c r="CA98" s="425">
        <v>8837</v>
      </c>
      <c r="CB98" s="425">
        <v>0</v>
      </c>
      <c r="CC98" s="425">
        <v>1507</v>
      </c>
      <c r="CD98" s="425">
        <v>0</v>
      </c>
      <c r="CE98" s="425">
        <v>159060</v>
      </c>
      <c r="CF98" s="425">
        <v>0</v>
      </c>
      <c r="CG98" s="426">
        <v>22037</v>
      </c>
      <c r="CH98" s="421" t="s">
        <v>343</v>
      </c>
    </row>
    <row r="99" spans="1:86" s="365" customFormat="1">
      <c r="A99" s="407" t="str">
        <f t="shared" si="25"/>
        <v>ResidentialMarket Support</v>
      </c>
      <c r="B99" s="437" t="s">
        <v>501</v>
      </c>
      <c r="C99" s="438"/>
      <c r="D99" s="446" t="s">
        <v>502</v>
      </c>
      <c r="E99" s="635" t="s">
        <v>20</v>
      </c>
      <c r="F99" s="411" t="s">
        <v>24</v>
      </c>
      <c r="G99" s="411" t="s">
        <v>17</v>
      </c>
      <c r="H99" s="412" t="s">
        <v>23</v>
      </c>
      <c r="I99" s="413"/>
      <c r="J99" s="414"/>
      <c r="K99" s="414"/>
      <c r="L99" s="414"/>
      <c r="M99" s="414">
        <v>18334</v>
      </c>
      <c r="N99" s="414">
        <v>160267</v>
      </c>
      <c r="O99" s="415">
        <v>33751.534012240001</v>
      </c>
      <c r="P99" s="414">
        <v>28126.278346319996</v>
      </c>
      <c r="Q99" s="414">
        <v>125630.7099168</v>
      </c>
      <c r="R99" s="414">
        <v>201183.80545201295</v>
      </c>
      <c r="S99" s="416">
        <f t="shared" si="17"/>
        <v>388692.32772737299</v>
      </c>
      <c r="T99" s="417">
        <f t="shared" si="26"/>
        <v>1.4252798625254919</v>
      </c>
      <c r="U99" s="442"/>
      <c r="V99" s="419">
        <f t="shared" si="18"/>
        <v>388692.32772737299</v>
      </c>
      <c r="W99" s="425">
        <v>0</v>
      </c>
      <c r="X99" s="425">
        <v>0</v>
      </c>
      <c r="Y99" s="425">
        <v>176594</v>
      </c>
      <c r="Z99" s="452" t="s">
        <v>342</v>
      </c>
      <c r="AA99" s="425">
        <v>1033</v>
      </c>
      <c r="AB99" s="425">
        <v>0</v>
      </c>
      <c r="AC99" s="425">
        <v>2648917</v>
      </c>
      <c r="AD99" s="426">
        <v>0</v>
      </c>
      <c r="AE99" s="426">
        <v>15496</v>
      </c>
      <c r="AF99" s="421" t="s">
        <v>342</v>
      </c>
      <c r="AG99" s="422">
        <v>32144.1480844</v>
      </c>
      <c r="AH99" s="423">
        <v>26786.790073119995</v>
      </c>
      <c r="AI99" s="423">
        <v>119647.66231879998</v>
      </c>
      <c r="AJ99" s="423">
        <v>205010.6790510079</v>
      </c>
      <c r="AK99" s="424">
        <f t="shared" si="19"/>
        <v>383589.27952732786</v>
      </c>
      <c r="AL99" s="417">
        <f t="shared" si="27"/>
        <v>-1.3128759782530065E-2</v>
      </c>
      <c r="AM99" s="442"/>
      <c r="AN99" s="424">
        <f t="shared" si="20"/>
        <v>383589.27952732786</v>
      </c>
      <c r="AO99" s="425">
        <v>0</v>
      </c>
      <c r="AP99" s="425">
        <v>0</v>
      </c>
      <c r="AQ99" s="425">
        <v>179954</v>
      </c>
      <c r="AR99" s="425">
        <v>0</v>
      </c>
      <c r="AS99" s="425">
        <v>1053</v>
      </c>
      <c r="AT99" s="425">
        <v>0</v>
      </c>
      <c r="AU99" s="425">
        <v>2699304</v>
      </c>
      <c r="AV99" s="426">
        <v>0</v>
      </c>
      <c r="AW99" s="426">
        <v>15791</v>
      </c>
      <c r="AX99" s="421" t="s">
        <v>343</v>
      </c>
      <c r="AY99" s="427">
        <v>24082.721396360001</v>
      </c>
      <c r="AZ99" s="414">
        <v>20068.934498359999</v>
      </c>
      <c r="BA99" s="414">
        <v>89641.240805599984</v>
      </c>
      <c r="BB99" s="414">
        <v>160770.91875753982</v>
      </c>
      <c r="BC99" s="424">
        <f t="shared" si="21"/>
        <v>294563.81545785978</v>
      </c>
      <c r="BD99" s="417">
        <f t="shared" si="28"/>
        <v>-0.23208538095529777</v>
      </c>
      <c r="BE99" s="442"/>
      <c r="BF99" s="424">
        <f t="shared" si="22"/>
        <v>294563.81545785978</v>
      </c>
      <c r="BG99" s="425">
        <v>0</v>
      </c>
      <c r="BH99" s="425">
        <v>0</v>
      </c>
      <c r="BI99" s="425">
        <v>134065</v>
      </c>
      <c r="BJ99" s="425">
        <v>0</v>
      </c>
      <c r="BK99" s="425">
        <v>784</v>
      </c>
      <c r="BL99" s="425">
        <v>0</v>
      </c>
      <c r="BM99" s="425">
        <v>2010974</v>
      </c>
      <c r="BN99" s="426">
        <v>0</v>
      </c>
      <c r="BO99" s="426">
        <v>11764</v>
      </c>
      <c r="BP99" s="421" t="s">
        <v>343</v>
      </c>
      <c r="BQ99" s="422">
        <v>18159.433176719998</v>
      </c>
      <c r="BR99" s="423">
        <v>15132.8609806</v>
      </c>
      <c r="BS99" s="423">
        <v>67593.445718919989</v>
      </c>
      <c r="BT99" s="423">
        <v>121228.35738355818</v>
      </c>
      <c r="BU99" s="424">
        <f t="shared" si="23"/>
        <v>222114.09725979817</v>
      </c>
      <c r="BV99" s="417">
        <f t="shared" si="29"/>
        <v>-0.2459559334721689</v>
      </c>
      <c r="BW99" s="442"/>
      <c r="BX99" s="424">
        <f t="shared" si="24"/>
        <v>222114.09725979817</v>
      </c>
      <c r="BY99" s="425">
        <v>0</v>
      </c>
      <c r="BZ99" s="425">
        <v>0</v>
      </c>
      <c r="CA99" s="425">
        <v>101091</v>
      </c>
      <c r="CB99" s="425">
        <v>0</v>
      </c>
      <c r="CC99" s="425">
        <v>591</v>
      </c>
      <c r="CD99" s="425">
        <v>0</v>
      </c>
      <c r="CE99" s="425">
        <v>1516363</v>
      </c>
      <c r="CF99" s="425">
        <v>0</v>
      </c>
      <c r="CG99" s="426">
        <v>8871</v>
      </c>
      <c r="CH99" s="421" t="s">
        <v>343</v>
      </c>
    </row>
    <row r="100" spans="1:86" s="365" customFormat="1">
      <c r="A100" s="407" t="str">
        <f t="shared" si="25"/>
        <v>ResidentialResource Acquisition</v>
      </c>
      <c r="B100" s="437" t="s">
        <v>503</v>
      </c>
      <c r="C100" s="438"/>
      <c r="D100" s="443" t="s">
        <v>504</v>
      </c>
      <c r="E100" s="635" t="s">
        <v>20</v>
      </c>
      <c r="F100" s="411" t="s">
        <v>24</v>
      </c>
      <c r="G100" s="411" t="s">
        <v>17</v>
      </c>
      <c r="H100" s="412" t="s">
        <v>18</v>
      </c>
      <c r="I100" s="444"/>
      <c r="J100" s="414">
        <v>606100</v>
      </c>
      <c r="K100" s="414"/>
      <c r="L100" s="414">
        <v>51531</v>
      </c>
      <c r="M100" s="414">
        <v>1231846</v>
      </c>
      <c r="N100" s="414">
        <v>1275873</v>
      </c>
      <c r="O100" s="415">
        <v>54391.701583999988</v>
      </c>
      <c r="P100" s="414">
        <v>128774.28577199999</v>
      </c>
      <c r="Q100" s="414">
        <v>467514.32543199998</v>
      </c>
      <c r="R100" s="414">
        <v>834273.66</v>
      </c>
      <c r="S100" s="416">
        <f t="shared" si="17"/>
        <v>1484953.972788</v>
      </c>
      <c r="T100" s="417">
        <f t="shared" si="26"/>
        <v>0.16387287197706982</v>
      </c>
      <c r="U100" s="442"/>
      <c r="V100" s="419">
        <f t="shared" si="18"/>
        <v>1484953.972788</v>
      </c>
      <c r="W100" s="425">
        <v>0</v>
      </c>
      <c r="X100" s="425">
        <v>0</v>
      </c>
      <c r="Y100" s="425">
        <v>158050</v>
      </c>
      <c r="Z100" s="452" t="s">
        <v>342</v>
      </c>
      <c r="AA100" s="425">
        <v>925</v>
      </c>
      <c r="AB100" s="425">
        <v>0</v>
      </c>
      <c r="AC100" s="425">
        <v>1580503</v>
      </c>
      <c r="AD100" s="426">
        <v>0</v>
      </c>
      <c r="AE100" s="426">
        <v>9246</v>
      </c>
      <c r="AF100" s="421" t="s">
        <v>342</v>
      </c>
      <c r="AG100" s="422">
        <v>41915.886319999998</v>
      </c>
      <c r="AH100" s="423">
        <v>94310.745055999985</v>
      </c>
      <c r="AI100" s="423">
        <v>387721.95180399995</v>
      </c>
      <c r="AJ100" s="423">
        <v>664375.47</v>
      </c>
      <c r="AK100" s="424">
        <f t="shared" si="19"/>
        <v>1188324.0531799998</v>
      </c>
      <c r="AL100" s="417">
        <f t="shared" si="27"/>
        <v>-0.19975697903355061</v>
      </c>
      <c r="AM100" s="442"/>
      <c r="AN100" s="424">
        <f t="shared" si="20"/>
        <v>1188324.0531799998</v>
      </c>
      <c r="AO100" s="425">
        <v>0</v>
      </c>
      <c r="AP100" s="425">
        <v>0</v>
      </c>
      <c r="AQ100" s="425">
        <v>73328</v>
      </c>
      <c r="AR100" s="425">
        <v>0</v>
      </c>
      <c r="AS100" s="425">
        <v>429</v>
      </c>
      <c r="AT100" s="425">
        <v>0</v>
      </c>
      <c r="AU100" s="425">
        <v>733280</v>
      </c>
      <c r="AV100" s="426">
        <v>0</v>
      </c>
      <c r="AW100" s="426">
        <v>4290</v>
      </c>
      <c r="AX100" s="421" t="s">
        <v>343</v>
      </c>
      <c r="AY100" s="427">
        <v>48327.072507999997</v>
      </c>
      <c r="AZ100" s="414">
        <v>75368.467283999984</v>
      </c>
      <c r="BA100" s="414">
        <v>422861.88423599995</v>
      </c>
      <c r="BB100" s="414">
        <v>770882.28799999994</v>
      </c>
      <c r="BC100" s="424">
        <f t="shared" si="21"/>
        <v>1317439.712028</v>
      </c>
      <c r="BD100" s="417">
        <f t="shared" si="28"/>
        <v>0.10865357686102699</v>
      </c>
      <c r="BE100" s="442"/>
      <c r="BF100" s="424">
        <f t="shared" si="22"/>
        <v>1317439.712028</v>
      </c>
      <c r="BG100" s="425">
        <v>0</v>
      </c>
      <c r="BH100" s="425">
        <v>0</v>
      </c>
      <c r="BI100" s="425">
        <v>60843</v>
      </c>
      <c r="BJ100" s="425">
        <v>0</v>
      </c>
      <c r="BK100" s="425">
        <v>356</v>
      </c>
      <c r="BL100" s="425">
        <v>0</v>
      </c>
      <c r="BM100" s="425">
        <v>608434</v>
      </c>
      <c r="BN100" s="426">
        <v>0</v>
      </c>
      <c r="BO100" s="426">
        <v>3559</v>
      </c>
      <c r="BP100" s="421" t="s">
        <v>343</v>
      </c>
      <c r="BQ100" s="422">
        <v>53462.719991999991</v>
      </c>
      <c r="BR100" s="423">
        <v>80194.079151999991</v>
      </c>
      <c r="BS100" s="423">
        <v>534627.19657599996</v>
      </c>
      <c r="BT100" s="423">
        <v>903637.41599999997</v>
      </c>
      <c r="BU100" s="424">
        <f t="shared" si="23"/>
        <v>1571921.41172</v>
      </c>
      <c r="BV100" s="417">
        <f t="shared" si="29"/>
        <v>0.19316382933399182</v>
      </c>
      <c r="BW100" s="442"/>
      <c r="BX100" s="424">
        <f t="shared" si="24"/>
        <v>1571921.41172</v>
      </c>
      <c r="BY100" s="425">
        <v>0</v>
      </c>
      <c r="BZ100" s="425">
        <v>0</v>
      </c>
      <c r="CA100" s="425">
        <v>50682</v>
      </c>
      <c r="CB100" s="425">
        <v>0</v>
      </c>
      <c r="CC100" s="425">
        <v>296</v>
      </c>
      <c r="CD100" s="425">
        <v>0</v>
      </c>
      <c r="CE100" s="425">
        <v>506816</v>
      </c>
      <c r="CF100" s="425">
        <v>0</v>
      </c>
      <c r="CG100" s="426">
        <v>2965</v>
      </c>
      <c r="CH100" s="421" t="s">
        <v>343</v>
      </c>
    </row>
    <row r="101" spans="1:86" s="365" customFormat="1">
      <c r="A101" s="407" t="str">
        <f t="shared" si="25"/>
        <v>ResidentialResource Acquisition</v>
      </c>
      <c r="B101" s="437" t="s">
        <v>505</v>
      </c>
      <c r="C101" s="438"/>
      <c r="D101" s="443" t="s">
        <v>506</v>
      </c>
      <c r="E101" s="635" t="s">
        <v>20</v>
      </c>
      <c r="F101" s="411" t="s">
        <v>24</v>
      </c>
      <c r="G101" s="411" t="s">
        <v>17</v>
      </c>
      <c r="H101" s="412" t="s">
        <v>18</v>
      </c>
      <c r="I101" s="444"/>
      <c r="J101" s="414"/>
      <c r="K101" s="414"/>
      <c r="L101" s="414"/>
      <c r="M101" s="414"/>
      <c r="N101" s="414"/>
      <c r="O101" s="415">
        <v>8013.1711879999993</v>
      </c>
      <c r="P101" s="414">
        <v>3409.620148</v>
      </c>
      <c r="Q101" s="414">
        <v>55353.632444000003</v>
      </c>
      <c r="R101" s="414">
        <v>242304.51520021117</v>
      </c>
      <c r="S101" s="416">
        <f t="shared" si="17"/>
        <v>309080.93898021115</v>
      </c>
      <c r="T101" s="417" t="e">
        <f t="shared" si="26"/>
        <v>#DIV/0!</v>
      </c>
      <c r="U101" s="442"/>
      <c r="V101" s="419">
        <f t="shared" si="18"/>
        <v>309080.93898021115</v>
      </c>
      <c r="W101" s="425">
        <v>0</v>
      </c>
      <c r="X101" s="425">
        <v>0</v>
      </c>
      <c r="Y101" s="425">
        <v>191902</v>
      </c>
      <c r="Z101" s="452" t="s">
        <v>342</v>
      </c>
      <c r="AA101" s="425">
        <v>1123</v>
      </c>
      <c r="AB101" s="425">
        <v>0</v>
      </c>
      <c r="AC101" s="425">
        <v>3838078</v>
      </c>
      <c r="AD101" s="426">
        <v>0</v>
      </c>
      <c r="AE101" s="426">
        <v>22453</v>
      </c>
      <c r="AF101" s="421" t="s">
        <v>342</v>
      </c>
      <c r="AG101" s="422">
        <v>8013.1711879999993</v>
      </c>
      <c r="AH101" s="423">
        <v>3409.620148</v>
      </c>
      <c r="AI101" s="423">
        <v>83030.448248000001</v>
      </c>
      <c r="AJ101" s="423">
        <v>107795.1776</v>
      </c>
      <c r="AK101" s="424">
        <f t="shared" si="19"/>
        <v>202248.41718399999</v>
      </c>
      <c r="AL101" s="417">
        <f t="shared" si="27"/>
        <v>-0.34564577857404238</v>
      </c>
      <c r="AM101" s="442"/>
      <c r="AN101" s="424">
        <f t="shared" si="20"/>
        <v>202248.41718399999</v>
      </c>
      <c r="AO101" s="425">
        <v>0</v>
      </c>
      <c r="AP101" s="425">
        <v>0</v>
      </c>
      <c r="AQ101" s="425">
        <v>74865</v>
      </c>
      <c r="AR101" s="425">
        <v>0</v>
      </c>
      <c r="AS101" s="425">
        <v>438</v>
      </c>
      <c r="AT101" s="425">
        <v>0</v>
      </c>
      <c r="AU101" s="425">
        <v>1497293</v>
      </c>
      <c r="AV101" s="426">
        <v>0</v>
      </c>
      <c r="AW101" s="426">
        <v>8759</v>
      </c>
      <c r="AX101" s="421" t="s">
        <v>343</v>
      </c>
      <c r="AY101" s="427">
        <v>8013.1711879999993</v>
      </c>
      <c r="AZ101" s="414">
        <v>3409.620148</v>
      </c>
      <c r="BA101" s="414">
        <v>87181.970743999991</v>
      </c>
      <c r="BB101" s="414">
        <v>113184.95319999999</v>
      </c>
      <c r="BC101" s="424">
        <f t="shared" si="21"/>
        <v>211789.71527999997</v>
      </c>
      <c r="BD101" s="417">
        <f t="shared" si="28"/>
        <v>4.7176132346784083E-2</v>
      </c>
      <c r="BE101" s="442"/>
      <c r="BF101" s="424">
        <f t="shared" si="22"/>
        <v>211789.71527999997</v>
      </c>
      <c r="BG101" s="425">
        <v>0</v>
      </c>
      <c r="BH101" s="425">
        <v>0</v>
      </c>
      <c r="BI101" s="425">
        <v>72493</v>
      </c>
      <c r="BJ101" s="425">
        <v>0</v>
      </c>
      <c r="BK101" s="425">
        <v>424</v>
      </c>
      <c r="BL101" s="425">
        <v>0</v>
      </c>
      <c r="BM101" s="425">
        <v>1449851</v>
      </c>
      <c r="BN101" s="426">
        <v>0</v>
      </c>
      <c r="BO101" s="426">
        <v>8482</v>
      </c>
      <c r="BP101" s="421" t="s">
        <v>343</v>
      </c>
      <c r="BQ101" s="422">
        <v>8013.1711879999993</v>
      </c>
      <c r="BR101" s="423">
        <v>3409.620148</v>
      </c>
      <c r="BS101" s="423">
        <v>91541.069532000009</v>
      </c>
      <c r="BT101" s="423">
        <v>118844.17159999999</v>
      </c>
      <c r="BU101" s="424">
        <f t="shared" si="23"/>
        <v>221808.03246799999</v>
      </c>
      <c r="BV101" s="417">
        <f t="shared" si="29"/>
        <v>4.7303133557524919E-2</v>
      </c>
      <c r="BW101" s="442"/>
      <c r="BX101" s="424">
        <f t="shared" si="24"/>
        <v>221808.03246799999</v>
      </c>
      <c r="BY101" s="425">
        <v>0</v>
      </c>
      <c r="BZ101" s="425">
        <v>0</v>
      </c>
      <c r="CA101" s="425">
        <v>72611</v>
      </c>
      <c r="CB101" s="425">
        <v>0</v>
      </c>
      <c r="CC101" s="425">
        <v>425</v>
      </c>
      <c r="CD101" s="425">
        <v>0</v>
      </c>
      <c r="CE101" s="425">
        <v>1452223</v>
      </c>
      <c r="CF101" s="425">
        <v>0</v>
      </c>
      <c r="CG101" s="426">
        <v>8496</v>
      </c>
      <c r="CH101" s="421" t="s">
        <v>343</v>
      </c>
    </row>
    <row r="102" spans="1:86" s="365" customFormat="1">
      <c r="A102" s="407" t="str">
        <f t="shared" si="25"/>
        <v>WE&amp;TEquity</v>
      </c>
      <c r="B102" s="437" t="s">
        <v>507</v>
      </c>
      <c r="C102" s="438"/>
      <c r="D102" s="439" t="s">
        <v>508</v>
      </c>
      <c r="E102" s="635" t="s">
        <v>15</v>
      </c>
      <c r="F102" s="411" t="s">
        <v>24</v>
      </c>
      <c r="G102" s="411" t="s">
        <v>32</v>
      </c>
      <c r="H102" s="412" t="s">
        <v>26</v>
      </c>
      <c r="I102" s="468"/>
      <c r="J102" s="414">
        <v>103022.95</v>
      </c>
      <c r="K102" s="414"/>
      <c r="L102" s="414"/>
      <c r="M102" s="414">
        <v>146806</v>
      </c>
      <c r="N102" s="414">
        <v>158112</v>
      </c>
      <c r="O102" s="415">
        <v>18893.599999999999</v>
      </c>
      <c r="P102" s="414">
        <v>5852</v>
      </c>
      <c r="Q102" s="414">
        <v>142454.39999999999</v>
      </c>
      <c r="R102" s="414">
        <v>0</v>
      </c>
      <c r="S102" s="416">
        <f t="shared" si="17"/>
        <v>167200</v>
      </c>
      <c r="T102" s="417">
        <f t="shared" si="26"/>
        <v>5.7478243270592998E-2</v>
      </c>
      <c r="U102" s="442"/>
      <c r="V102" s="419">
        <f t="shared" si="18"/>
        <v>167200</v>
      </c>
      <c r="W102" s="425">
        <v>0</v>
      </c>
      <c r="X102" s="425">
        <v>0</v>
      </c>
      <c r="Y102" s="425">
        <v>0</v>
      </c>
      <c r="Z102" s="452" t="s">
        <v>342</v>
      </c>
      <c r="AA102" s="425">
        <v>0</v>
      </c>
      <c r="AB102" s="425">
        <v>0</v>
      </c>
      <c r="AC102" s="425">
        <v>0</v>
      </c>
      <c r="AD102" s="426">
        <v>0</v>
      </c>
      <c r="AE102" s="426" t="s">
        <v>342</v>
      </c>
      <c r="AF102" s="421" t="s">
        <v>342</v>
      </c>
      <c r="AG102" s="422">
        <v>18893.599999999999</v>
      </c>
      <c r="AH102" s="423">
        <v>5852</v>
      </c>
      <c r="AI102" s="423">
        <v>142454.39999999999</v>
      </c>
      <c r="AJ102" s="423">
        <v>0</v>
      </c>
      <c r="AK102" s="424">
        <f t="shared" si="19"/>
        <v>167200</v>
      </c>
      <c r="AL102" s="417">
        <f t="shared" si="27"/>
        <v>0</v>
      </c>
      <c r="AM102" s="442"/>
      <c r="AN102" s="424">
        <f t="shared" si="20"/>
        <v>167200</v>
      </c>
      <c r="AO102" s="425">
        <v>0</v>
      </c>
      <c r="AP102" s="425">
        <v>0</v>
      </c>
      <c r="AQ102" s="425">
        <v>0</v>
      </c>
      <c r="AR102" s="425">
        <v>0</v>
      </c>
      <c r="AS102" s="425">
        <v>0</v>
      </c>
      <c r="AT102" s="425">
        <v>0</v>
      </c>
      <c r="AU102" s="425">
        <v>0</v>
      </c>
      <c r="AV102" s="426">
        <v>0</v>
      </c>
      <c r="AW102" s="426">
        <v>0</v>
      </c>
      <c r="AX102" s="421" t="s">
        <v>343</v>
      </c>
      <c r="AY102" s="427">
        <v>18893.599999999999</v>
      </c>
      <c r="AZ102" s="414">
        <v>5852</v>
      </c>
      <c r="BA102" s="414">
        <v>142454.39999999999</v>
      </c>
      <c r="BB102" s="414">
        <v>0</v>
      </c>
      <c r="BC102" s="424">
        <f t="shared" si="21"/>
        <v>167200</v>
      </c>
      <c r="BD102" s="417">
        <f t="shared" si="28"/>
        <v>0</v>
      </c>
      <c r="BE102" s="442"/>
      <c r="BF102" s="424">
        <f t="shared" si="22"/>
        <v>167200</v>
      </c>
      <c r="BG102" s="425">
        <v>0</v>
      </c>
      <c r="BH102" s="425">
        <v>0</v>
      </c>
      <c r="BI102" s="425">
        <v>0</v>
      </c>
      <c r="BJ102" s="425">
        <v>0</v>
      </c>
      <c r="BK102" s="425">
        <v>0</v>
      </c>
      <c r="BL102" s="425">
        <v>0</v>
      </c>
      <c r="BM102" s="425">
        <v>0</v>
      </c>
      <c r="BN102" s="426">
        <v>0</v>
      </c>
      <c r="BO102" s="426" t="s">
        <v>342</v>
      </c>
      <c r="BP102" s="421" t="s">
        <v>343</v>
      </c>
      <c r="BQ102" s="422">
        <v>18893.599999999999</v>
      </c>
      <c r="BR102" s="423">
        <v>5852</v>
      </c>
      <c r="BS102" s="423">
        <v>142454.39999999999</v>
      </c>
      <c r="BT102" s="423">
        <v>0</v>
      </c>
      <c r="BU102" s="424">
        <f t="shared" si="23"/>
        <v>167200</v>
      </c>
      <c r="BV102" s="417">
        <f t="shared" si="29"/>
        <v>0</v>
      </c>
      <c r="BW102" s="442"/>
      <c r="BX102" s="424">
        <f t="shared" si="24"/>
        <v>167200</v>
      </c>
      <c r="BY102" s="425">
        <v>0</v>
      </c>
      <c r="BZ102" s="425">
        <v>0</v>
      </c>
      <c r="CA102" s="425">
        <v>0</v>
      </c>
      <c r="CB102" s="425">
        <v>0</v>
      </c>
      <c r="CC102" s="425">
        <v>0</v>
      </c>
      <c r="CD102" s="425">
        <v>0</v>
      </c>
      <c r="CE102" s="425">
        <v>0</v>
      </c>
      <c r="CF102" s="425">
        <v>0</v>
      </c>
      <c r="CG102" s="425">
        <v>0</v>
      </c>
      <c r="CH102" s="421" t="s">
        <v>343</v>
      </c>
    </row>
    <row r="103" spans="1:86" s="365" customFormat="1">
      <c r="A103" s="407" t="str">
        <f t="shared" si="25"/>
        <v>WE&amp;TMarket Support</v>
      </c>
      <c r="B103" s="437" t="s">
        <v>509</v>
      </c>
      <c r="C103" s="438"/>
      <c r="D103" s="439" t="s">
        <v>510</v>
      </c>
      <c r="E103" s="635" t="s">
        <v>15</v>
      </c>
      <c r="F103" s="411" t="s">
        <v>24</v>
      </c>
      <c r="G103" s="411" t="s">
        <v>32</v>
      </c>
      <c r="H103" s="412" t="s">
        <v>23</v>
      </c>
      <c r="I103" s="413"/>
      <c r="J103" s="414">
        <v>48766.67</v>
      </c>
      <c r="K103" s="414"/>
      <c r="L103" s="414"/>
      <c r="M103" s="414">
        <v>83600</v>
      </c>
      <c r="N103" s="414">
        <v>83600</v>
      </c>
      <c r="O103" s="415">
        <v>835.99999999999989</v>
      </c>
      <c r="P103" s="414">
        <v>5225</v>
      </c>
      <c r="Q103" s="414">
        <v>77539</v>
      </c>
      <c r="R103" s="414">
        <v>0</v>
      </c>
      <c r="S103" s="416">
        <f t="shared" ref="S103:S106" si="30">SUM(O103:R103)</f>
        <v>83600</v>
      </c>
      <c r="T103" s="417">
        <f t="shared" si="26"/>
        <v>0</v>
      </c>
      <c r="U103" s="442"/>
      <c r="V103" s="419">
        <f t="shared" ref="V103:V108" si="31">S103+U103</f>
        <v>83600</v>
      </c>
      <c r="W103" s="425">
        <v>0</v>
      </c>
      <c r="X103" s="425">
        <v>0</v>
      </c>
      <c r="Y103" s="425">
        <v>0</v>
      </c>
      <c r="Z103" s="452" t="s">
        <v>342</v>
      </c>
      <c r="AA103" s="425">
        <v>0</v>
      </c>
      <c r="AB103" s="425">
        <v>0</v>
      </c>
      <c r="AC103" s="425">
        <v>0</v>
      </c>
      <c r="AD103" s="426">
        <v>0</v>
      </c>
      <c r="AE103" s="426" t="s">
        <v>342</v>
      </c>
      <c r="AF103" s="421" t="s">
        <v>343</v>
      </c>
      <c r="AG103" s="422">
        <v>835.99999999999989</v>
      </c>
      <c r="AH103" s="423">
        <v>5225</v>
      </c>
      <c r="AI103" s="423">
        <v>77539</v>
      </c>
      <c r="AJ103" s="423">
        <v>0</v>
      </c>
      <c r="AK103" s="424">
        <f t="shared" ref="AK103:AK106" si="32">SUM(AG103:AJ103)</f>
        <v>83600</v>
      </c>
      <c r="AL103" s="417">
        <f t="shared" si="27"/>
        <v>0</v>
      </c>
      <c r="AM103" s="442"/>
      <c r="AN103" s="424">
        <f t="shared" ref="AN103:AN108" si="33">AK103+AM103</f>
        <v>83600</v>
      </c>
      <c r="AO103" s="425">
        <v>0</v>
      </c>
      <c r="AP103" s="425">
        <v>0</v>
      </c>
      <c r="AQ103" s="425">
        <v>0</v>
      </c>
      <c r="AR103" s="425">
        <v>0</v>
      </c>
      <c r="AS103" s="425">
        <v>0</v>
      </c>
      <c r="AT103" s="425">
        <v>0</v>
      </c>
      <c r="AU103" s="425">
        <v>0</v>
      </c>
      <c r="AV103" s="426">
        <v>0</v>
      </c>
      <c r="AW103" s="426">
        <v>0</v>
      </c>
      <c r="AX103" s="421" t="s">
        <v>511</v>
      </c>
      <c r="AY103" s="427">
        <v>835.99999999999989</v>
      </c>
      <c r="AZ103" s="414">
        <v>5225</v>
      </c>
      <c r="BA103" s="414">
        <v>77539</v>
      </c>
      <c r="BB103" s="414">
        <v>0</v>
      </c>
      <c r="BC103" s="424">
        <f t="shared" si="21"/>
        <v>83600</v>
      </c>
      <c r="BD103" s="417">
        <f t="shared" si="28"/>
        <v>0</v>
      </c>
      <c r="BE103" s="442"/>
      <c r="BF103" s="424">
        <f t="shared" si="22"/>
        <v>83600</v>
      </c>
      <c r="BG103" s="425">
        <v>0</v>
      </c>
      <c r="BH103" s="425">
        <v>0</v>
      </c>
      <c r="BI103" s="425">
        <v>0</v>
      </c>
      <c r="BJ103" s="425">
        <v>0</v>
      </c>
      <c r="BK103" s="425">
        <v>0</v>
      </c>
      <c r="BL103" s="425">
        <v>0</v>
      </c>
      <c r="BM103" s="425">
        <v>0</v>
      </c>
      <c r="BN103" s="426">
        <v>0</v>
      </c>
      <c r="BO103" s="426" t="s">
        <v>342</v>
      </c>
      <c r="BP103" s="421" t="s">
        <v>511</v>
      </c>
      <c r="BQ103" s="422">
        <v>835.99999999999989</v>
      </c>
      <c r="BR103" s="423">
        <v>5225</v>
      </c>
      <c r="BS103" s="423">
        <v>77539</v>
      </c>
      <c r="BT103" s="423">
        <v>0</v>
      </c>
      <c r="BU103" s="424">
        <f t="shared" si="23"/>
        <v>83600</v>
      </c>
      <c r="BV103" s="417">
        <f t="shared" si="29"/>
        <v>0</v>
      </c>
      <c r="BW103" s="442"/>
      <c r="BX103" s="424">
        <f t="shared" si="24"/>
        <v>83600</v>
      </c>
      <c r="BY103" s="425">
        <v>0</v>
      </c>
      <c r="BZ103" s="425">
        <v>0</v>
      </c>
      <c r="CA103" s="425">
        <v>0</v>
      </c>
      <c r="CB103" s="425">
        <v>0</v>
      </c>
      <c r="CC103" s="425">
        <v>0</v>
      </c>
      <c r="CD103" s="425">
        <v>0</v>
      </c>
      <c r="CE103" s="425">
        <v>0</v>
      </c>
      <c r="CF103" s="425">
        <v>0</v>
      </c>
      <c r="CG103" s="425">
        <v>0</v>
      </c>
      <c r="CH103" s="421" t="s">
        <v>511</v>
      </c>
    </row>
    <row r="104" spans="1:86" s="365" customFormat="1">
      <c r="A104" s="407" t="str">
        <f t="shared" si="25"/>
        <v>IndustrialResource Acquisition</v>
      </c>
      <c r="B104" s="437" t="s">
        <v>512</v>
      </c>
      <c r="C104" s="438"/>
      <c r="D104" s="439" t="s">
        <v>513</v>
      </c>
      <c r="E104" s="635" t="s">
        <v>20</v>
      </c>
      <c r="F104" s="411" t="s">
        <v>21</v>
      </c>
      <c r="G104" s="411" t="s">
        <v>25</v>
      </c>
      <c r="H104" s="412" t="s">
        <v>18</v>
      </c>
      <c r="I104" s="413"/>
      <c r="J104" s="414">
        <v>2032000</v>
      </c>
      <c r="K104" s="414"/>
      <c r="L104" s="414">
        <v>632373</v>
      </c>
      <c r="M104" s="414">
        <v>1530497</v>
      </c>
      <c r="N104" s="414"/>
      <c r="O104" s="415">
        <v>235480.90505588704</v>
      </c>
      <c r="P104" s="414">
        <v>75632.884951044238</v>
      </c>
      <c r="Q104" s="414">
        <v>1321993.385922106</v>
      </c>
      <c r="R104" s="414">
        <v>532500</v>
      </c>
      <c r="S104" s="416">
        <f t="shared" si="30"/>
        <v>2165607.1759290374</v>
      </c>
      <c r="T104" s="417" t="e">
        <f t="shared" si="26"/>
        <v>#DIV/0!</v>
      </c>
      <c r="U104" s="442"/>
      <c r="V104" s="419">
        <f t="shared" si="31"/>
        <v>2165607.1759290374</v>
      </c>
      <c r="W104" s="425">
        <v>0</v>
      </c>
      <c r="X104" s="425">
        <v>0</v>
      </c>
      <c r="Y104" s="425">
        <v>639000</v>
      </c>
      <c r="Z104" s="425">
        <v>0</v>
      </c>
      <c r="AA104" s="425">
        <v>3738.15</v>
      </c>
      <c r="AB104" s="425">
        <v>0</v>
      </c>
      <c r="AC104" s="425">
        <v>3195000</v>
      </c>
      <c r="AD104" s="426">
        <v>0</v>
      </c>
      <c r="AE104" s="426">
        <v>18690.75</v>
      </c>
      <c r="AF104" s="421" t="s">
        <v>343</v>
      </c>
      <c r="AG104" s="422">
        <v>237975.62954940816</v>
      </c>
      <c r="AH104" s="423">
        <v>75702.877886742062</v>
      </c>
      <c r="AI104" s="423">
        <v>1323499.0781440591</v>
      </c>
      <c r="AJ104" s="423">
        <v>532500</v>
      </c>
      <c r="AK104" s="424">
        <f t="shared" si="32"/>
        <v>2169677.5855802093</v>
      </c>
      <c r="AL104" s="417">
        <f t="shared" si="27"/>
        <v>1.8795697097862133E-3</v>
      </c>
      <c r="AM104" s="442"/>
      <c r="AN104" s="424">
        <f t="shared" si="33"/>
        <v>2169677.5855802093</v>
      </c>
      <c r="AO104" s="425">
        <v>0</v>
      </c>
      <c r="AP104" s="425">
        <v>0</v>
      </c>
      <c r="AQ104" s="425">
        <v>639000</v>
      </c>
      <c r="AR104" s="425">
        <v>0</v>
      </c>
      <c r="AS104" s="425">
        <v>3738.15</v>
      </c>
      <c r="AT104" s="425">
        <v>0</v>
      </c>
      <c r="AU104" s="425">
        <v>3195000</v>
      </c>
      <c r="AV104" s="426">
        <v>0</v>
      </c>
      <c r="AW104" s="426">
        <v>18690.75</v>
      </c>
      <c r="AX104" s="421" t="s">
        <v>511</v>
      </c>
      <c r="AY104" s="427">
        <v>239797.96430141575</v>
      </c>
      <c r="AZ104" s="414">
        <v>75778.383964635272</v>
      </c>
      <c r="BA104" s="414">
        <v>1325215.4033285682</v>
      </c>
      <c r="BB104" s="414">
        <v>532500</v>
      </c>
      <c r="BC104" s="424">
        <f t="shared" si="21"/>
        <v>2173291.7515946194</v>
      </c>
      <c r="BD104" s="417">
        <f t="shared" si="28"/>
        <v>1.6657617880324828E-3</v>
      </c>
      <c r="BE104" s="442"/>
      <c r="BF104" s="424">
        <f t="shared" si="22"/>
        <v>2173291.7515946194</v>
      </c>
      <c r="BG104" s="425">
        <v>0</v>
      </c>
      <c r="BH104" s="425">
        <v>0</v>
      </c>
      <c r="BI104" s="425">
        <v>639000</v>
      </c>
      <c r="BJ104" s="425">
        <v>0</v>
      </c>
      <c r="BK104" s="425">
        <v>3738.15</v>
      </c>
      <c r="BL104" s="425">
        <v>0</v>
      </c>
      <c r="BM104" s="425">
        <v>3195000</v>
      </c>
      <c r="BN104" s="426">
        <v>0</v>
      </c>
      <c r="BO104" s="426">
        <v>18690.75</v>
      </c>
      <c r="BP104" s="421" t="s">
        <v>511</v>
      </c>
      <c r="BQ104" s="422">
        <v>244395.60939805137</v>
      </c>
      <c r="BR104" s="423">
        <v>75857.245868212616</v>
      </c>
      <c r="BS104" s="423">
        <v>1327045.2563226463</v>
      </c>
      <c r="BT104" s="423">
        <v>532500</v>
      </c>
      <c r="BU104" s="424">
        <f t="shared" si="23"/>
        <v>2179798.1115889102</v>
      </c>
      <c r="BV104" s="417">
        <f t="shared" si="29"/>
        <v>2.9937812028766595E-3</v>
      </c>
      <c r="BW104" s="442"/>
      <c r="BX104" s="424">
        <f t="shared" si="24"/>
        <v>2179798.1115889102</v>
      </c>
      <c r="BY104" s="425">
        <v>0</v>
      </c>
      <c r="BZ104" s="425">
        <v>0</v>
      </c>
      <c r="CA104" s="425">
        <v>639000</v>
      </c>
      <c r="CB104" s="425">
        <v>0</v>
      </c>
      <c r="CC104" s="425">
        <v>3738.15</v>
      </c>
      <c r="CD104" s="425">
        <v>0</v>
      </c>
      <c r="CE104" s="425">
        <v>3195000</v>
      </c>
      <c r="CF104" s="426">
        <v>0</v>
      </c>
      <c r="CG104" s="426">
        <v>18690.75</v>
      </c>
      <c r="CH104" s="421" t="s">
        <v>511</v>
      </c>
    </row>
    <row r="105" spans="1:86" s="365" customFormat="1">
      <c r="A105" s="407" t="str">
        <f t="shared" si="25"/>
        <v>CommercialResource Acquisition</v>
      </c>
      <c r="B105" s="437" t="s">
        <v>514</v>
      </c>
      <c r="C105" s="438"/>
      <c r="D105" s="439" t="s">
        <v>515</v>
      </c>
      <c r="E105" s="635" t="s">
        <v>20</v>
      </c>
      <c r="F105" s="411" t="s">
        <v>21</v>
      </c>
      <c r="G105" s="411" t="s">
        <v>22</v>
      </c>
      <c r="H105" s="412" t="s">
        <v>18</v>
      </c>
      <c r="I105" s="413"/>
      <c r="J105" s="414"/>
      <c r="K105" s="414"/>
      <c r="L105" s="414"/>
      <c r="M105" s="414"/>
      <c r="N105" s="414"/>
      <c r="O105" s="415">
        <v>221648.99237264923</v>
      </c>
      <c r="P105" s="414">
        <v>73731.356930845621</v>
      </c>
      <c r="Q105" s="414">
        <v>1290725.6454237599</v>
      </c>
      <c r="R105" s="414">
        <v>530000</v>
      </c>
      <c r="S105" s="416">
        <f t="shared" si="30"/>
        <v>2116105.9947272548</v>
      </c>
      <c r="T105" s="417" t="e">
        <f t="shared" si="26"/>
        <v>#DIV/0!</v>
      </c>
      <c r="U105" s="442"/>
      <c r="V105" s="419">
        <f t="shared" si="31"/>
        <v>2116105.9947272548</v>
      </c>
      <c r="W105" s="425">
        <v>0</v>
      </c>
      <c r="X105" s="425">
        <v>0</v>
      </c>
      <c r="Y105" s="425">
        <v>477000</v>
      </c>
      <c r="Z105" s="425">
        <v>0</v>
      </c>
      <c r="AA105" s="425">
        <v>2790.45</v>
      </c>
      <c r="AB105" s="425">
        <v>0</v>
      </c>
      <c r="AC105" s="425">
        <v>2385000</v>
      </c>
      <c r="AD105" s="426">
        <v>0</v>
      </c>
      <c r="AE105" s="426">
        <v>13952.25</v>
      </c>
      <c r="AF105" s="421" t="s">
        <v>343</v>
      </c>
      <c r="AG105" s="422">
        <v>223755.23926476348</v>
      </c>
      <c r="AH105" s="423">
        <v>73750.799412983906</v>
      </c>
      <c r="AI105" s="423">
        <v>1291485.2278403419</v>
      </c>
      <c r="AJ105" s="423">
        <v>530000</v>
      </c>
      <c r="AK105" s="424">
        <f t="shared" si="32"/>
        <v>2118991.266518089</v>
      </c>
      <c r="AL105" s="417">
        <f t="shared" si="27"/>
        <v>1.3634816961075841E-3</v>
      </c>
      <c r="AM105" s="442"/>
      <c r="AN105" s="424">
        <f t="shared" si="33"/>
        <v>2118991.266518089</v>
      </c>
      <c r="AO105" s="425">
        <v>0</v>
      </c>
      <c r="AP105" s="425">
        <v>0</v>
      </c>
      <c r="AQ105" s="425">
        <v>477000</v>
      </c>
      <c r="AR105" s="425">
        <v>0</v>
      </c>
      <c r="AS105" s="425">
        <v>2790.45</v>
      </c>
      <c r="AT105" s="425">
        <v>0</v>
      </c>
      <c r="AU105" s="425">
        <v>2385000</v>
      </c>
      <c r="AV105" s="426">
        <v>0</v>
      </c>
      <c r="AW105" s="426">
        <v>13952.25</v>
      </c>
      <c r="AX105" s="421" t="s">
        <v>511</v>
      </c>
      <c r="AY105" s="427">
        <v>225175.52359344659</v>
      </c>
      <c r="AZ105" s="414">
        <v>73771.773323509799</v>
      </c>
      <c r="BA105" s="414">
        <v>1292377.4833582302</v>
      </c>
      <c r="BB105" s="414">
        <v>530000</v>
      </c>
      <c r="BC105" s="424">
        <f t="shared" si="21"/>
        <v>2121324.7802751865</v>
      </c>
      <c r="BD105" s="417">
        <f t="shared" si="28"/>
        <v>1.1012380248890538E-3</v>
      </c>
      <c r="BE105" s="442"/>
      <c r="BF105" s="424">
        <f t="shared" si="22"/>
        <v>2121324.7802751865</v>
      </c>
      <c r="BG105" s="425">
        <v>0</v>
      </c>
      <c r="BH105" s="425">
        <v>0</v>
      </c>
      <c r="BI105" s="425">
        <v>477000</v>
      </c>
      <c r="BJ105" s="425">
        <v>0</v>
      </c>
      <c r="BK105" s="425">
        <v>2790.45</v>
      </c>
      <c r="BL105" s="425">
        <v>0</v>
      </c>
      <c r="BM105" s="425">
        <v>2385000</v>
      </c>
      <c r="BN105" s="426">
        <v>0</v>
      </c>
      <c r="BO105" s="426">
        <v>13952.25</v>
      </c>
      <c r="BP105" s="421" t="s">
        <v>511</v>
      </c>
      <c r="BQ105" s="422">
        <v>229285.57768384781</v>
      </c>
      <c r="BR105" s="423">
        <v>73793.67940783684</v>
      </c>
      <c r="BS105" s="423">
        <v>1293338.8746769135</v>
      </c>
      <c r="BT105" s="423">
        <v>530000</v>
      </c>
      <c r="BU105" s="424">
        <f t="shared" si="23"/>
        <v>2126418.1317685982</v>
      </c>
      <c r="BV105" s="417">
        <f t="shared" si="29"/>
        <v>2.4010238982599204E-3</v>
      </c>
      <c r="BW105" s="442"/>
      <c r="BX105" s="424">
        <f t="shared" si="24"/>
        <v>2126418.1317685982</v>
      </c>
      <c r="BY105" s="425">
        <v>0</v>
      </c>
      <c r="BZ105" s="425">
        <v>0</v>
      </c>
      <c r="CA105" s="425">
        <v>477000</v>
      </c>
      <c r="CB105" s="425">
        <v>0</v>
      </c>
      <c r="CC105" s="425">
        <v>2790.45</v>
      </c>
      <c r="CD105" s="425">
        <v>0</v>
      </c>
      <c r="CE105" s="425">
        <v>2385000</v>
      </c>
      <c r="CF105" s="426">
        <v>0</v>
      </c>
      <c r="CG105" s="426">
        <v>13952.25</v>
      </c>
      <c r="CH105" s="421" t="s">
        <v>511</v>
      </c>
    </row>
    <row r="106" spans="1:86" s="365" customFormat="1" ht="15.75">
      <c r="A106" s="407" t="str">
        <f t="shared" si="25"/>
        <v>CommercialResource Acquisition</v>
      </c>
      <c r="B106" s="408" t="s">
        <v>516</v>
      </c>
      <c r="C106" s="409"/>
      <c r="D106" s="410" t="s">
        <v>517</v>
      </c>
      <c r="E106" s="635" t="s">
        <v>20</v>
      </c>
      <c r="F106" s="411" t="s">
        <v>21</v>
      </c>
      <c r="G106" s="411" t="s">
        <v>22</v>
      </c>
      <c r="H106" s="412" t="s">
        <v>18</v>
      </c>
      <c r="I106" s="428"/>
      <c r="J106" s="414"/>
      <c r="K106" s="414"/>
      <c r="L106" s="414"/>
      <c r="M106" s="414"/>
      <c r="N106" s="414"/>
      <c r="O106" s="429">
        <v>315627.8657098249</v>
      </c>
      <c r="P106" s="430">
        <v>151997.41803615208</v>
      </c>
      <c r="Q106" s="430">
        <v>957736.310033296</v>
      </c>
      <c r="R106" s="430">
        <v>1492500.95</v>
      </c>
      <c r="S106" s="445">
        <f t="shared" si="30"/>
        <v>2917862.5437792726</v>
      </c>
      <c r="T106" s="417" t="e">
        <f t="shared" si="26"/>
        <v>#DIV/0!</v>
      </c>
      <c r="U106" s="418"/>
      <c r="V106" s="419">
        <f t="shared" si="31"/>
        <v>2917862.5437792726</v>
      </c>
      <c r="W106" s="434">
        <v>142128.20000000001</v>
      </c>
      <c r="X106" s="434">
        <v>0</v>
      </c>
      <c r="Y106" s="434">
        <v>526400.75</v>
      </c>
      <c r="Z106" s="434">
        <v>20.76</v>
      </c>
      <c r="AA106" s="434">
        <v>3079.44</v>
      </c>
      <c r="AB106" s="434">
        <v>1478133.31</v>
      </c>
      <c r="AC106" s="434">
        <v>5474567.7999999998</v>
      </c>
      <c r="AD106" s="435">
        <v>274.5</v>
      </c>
      <c r="AE106" s="435">
        <v>32026.22</v>
      </c>
      <c r="AF106" s="431" t="s">
        <v>343</v>
      </c>
      <c r="AG106" s="432">
        <v>318457.14104450488</v>
      </c>
      <c r="AH106" s="433">
        <v>152065.98470994635</v>
      </c>
      <c r="AI106" s="433">
        <v>959869.5806551571</v>
      </c>
      <c r="AJ106" s="433">
        <v>1492500.95</v>
      </c>
      <c r="AK106" s="424">
        <f t="shared" si="32"/>
        <v>2922893.6564096082</v>
      </c>
      <c r="AL106" s="417">
        <f t="shared" si="27"/>
        <v>1.7242459351149621E-3</v>
      </c>
      <c r="AM106" s="418"/>
      <c r="AN106" s="424">
        <f t="shared" si="33"/>
        <v>2922893.6564096082</v>
      </c>
      <c r="AO106" s="434">
        <v>142128.20250000001</v>
      </c>
      <c r="AP106" s="434">
        <v>0</v>
      </c>
      <c r="AQ106" s="434">
        <v>526400.75</v>
      </c>
      <c r="AR106" s="434">
        <v>23.530153460000001</v>
      </c>
      <c r="AS106" s="434">
        <v>3079.4443879999999</v>
      </c>
      <c r="AT106" s="434">
        <v>1478133.3060000001</v>
      </c>
      <c r="AU106" s="434">
        <v>5474567.7999999998</v>
      </c>
      <c r="AV106" s="435">
        <v>284.13532090000001</v>
      </c>
      <c r="AW106" s="435">
        <v>32026.22163</v>
      </c>
      <c r="AX106" s="431" t="s">
        <v>511</v>
      </c>
      <c r="AY106" s="436">
        <v>320648.67308403895</v>
      </c>
      <c r="AZ106" s="430">
        <v>152454.71374503267</v>
      </c>
      <c r="BA106" s="430">
        <v>975545.63176921313</v>
      </c>
      <c r="BB106" s="430">
        <v>1492500.95</v>
      </c>
      <c r="BC106" s="424">
        <f t="shared" si="21"/>
        <v>2941149.9685982848</v>
      </c>
      <c r="BD106" s="417">
        <f t="shared" si="28"/>
        <v>6.2459720861353695E-3</v>
      </c>
      <c r="BE106" s="418"/>
      <c r="BF106" s="424">
        <f t="shared" si="22"/>
        <v>2941149.9685982848</v>
      </c>
      <c r="BG106" s="434">
        <v>142128.20250000001</v>
      </c>
      <c r="BH106" s="434">
        <v>0</v>
      </c>
      <c r="BI106" s="434">
        <v>526400.75</v>
      </c>
      <c r="BJ106" s="434">
        <v>24.962046449999999</v>
      </c>
      <c r="BK106" s="434">
        <v>3079.4443879999999</v>
      </c>
      <c r="BL106" s="434">
        <v>1478133.3060000001</v>
      </c>
      <c r="BM106" s="434">
        <v>5474567.7999999998</v>
      </c>
      <c r="BN106" s="435">
        <v>291.79013070000002</v>
      </c>
      <c r="BO106" s="435">
        <v>32026.22163</v>
      </c>
      <c r="BP106" s="431" t="s">
        <v>511</v>
      </c>
      <c r="BQ106" s="432">
        <v>326182.59663194534</v>
      </c>
      <c r="BR106" s="433">
        <v>152539.3980261228</v>
      </c>
      <c r="BS106" s="433">
        <v>977567.26660184155</v>
      </c>
      <c r="BT106" s="433">
        <v>1492500.95</v>
      </c>
      <c r="BU106" s="424">
        <f t="shared" si="23"/>
        <v>2948790.2112599099</v>
      </c>
      <c r="BV106" s="417">
        <f t="shared" si="29"/>
        <v>2.5977059120403817E-3</v>
      </c>
      <c r="BW106" s="418"/>
      <c r="BX106" s="424">
        <f t="shared" si="24"/>
        <v>2948790.2112599099</v>
      </c>
      <c r="BY106" s="434">
        <v>142128.20250000001</v>
      </c>
      <c r="BZ106" s="434">
        <v>0</v>
      </c>
      <c r="CA106" s="434">
        <v>526400.75</v>
      </c>
      <c r="CB106" s="434">
        <v>26.079920420000001</v>
      </c>
      <c r="CC106" s="434">
        <v>3079.4443879999999</v>
      </c>
      <c r="CD106" s="434">
        <v>1478133.3060000001</v>
      </c>
      <c r="CE106" s="434">
        <v>5474567.7999999998</v>
      </c>
      <c r="CF106" s="435">
        <v>298.78847400000001</v>
      </c>
      <c r="CG106" s="435">
        <v>32026.22163</v>
      </c>
      <c r="CH106" s="431" t="s">
        <v>511</v>
      </c>
    </row>
    <row r="107" spans="1:86" s="365" customFormat="1">
      <c r="A107" s="407" t="str">
        <f t="shared" si="25"/>
        <v>ResidentialMarket Support</v>
      </c>
      <c r="B107" s="408" t="s">
        <v>518</v>
      </c>
      <c r="C107" s="409"/>
      <c r="D107" s="410" t="s">
        <v>519</v>
      </c>
      <c r="E107" s="635" t="s">
        <v>15</v>
      </c>
      <c r="F107" s="411" t="s">
        <v>16</v>
      </c>
      <c r="G107" s="411" t="s">
        <v>17</v>
      </c>
      <c r="H107" s="412" t="s">
        <v>23</v>
      </c>
      <c r="I107" s="428"/>
      <c r="J107" s="414"/>
      <c r="K107" s="414"/>
      <c r="L107" s="414"/>
      <c r="M107" s="414"/>
      <c r="N107" s="414"/>
      <c r="O107" s="429">
        <v>112506.74169898979</v>
      </c>
      <c r="P107" s="430">
        <v>4420.9831743690474</v>
      </c>
      <c r="Q107" s="430">
        <v>642639.45094530773</v>
      </c>
      <c r="R107" s="430">
        <v>0</v>
      </c>
      <c r="S107" s="445">
        <f t="shared" ref="S107:S108" si="34">SUM(O107:R107)</f>
        <v>759567.17581866658</v>
      </c>
      <c r="T107" s="417" t="e">
        <f t="shared" ref="T107:T108" si="35">(S107-N107)/N107</f>
        <v>#DIV/0!</v>
      </c>
      <c r="U107" s="418"/>
      <c r="V107" s="419">
        <f t="shared" si="31"/>
        <v>759567.17581866658</v>
      </c>
      <c r="W107" s="434">
        <v>0</v>
      </c>
      <c r="X107" s="434">
        <v>0</v>
      </c>
      <c r="Y107" s="434">
        <v>0</v>
      </c>
      <c r="Z107" s="434">
        <v>0</v>
      </c>
      <c r="AA107" s="434">
        <v>0</v>
      </c>
      <c r="AB107" s="434">
        <v>0</v>
      </c>
      <c r="AC107" s="434">
        <v>0</v>
      </c>
      <c r="AD107" s="435">
        <v>0</v>
      </c>
      <c r="AE107" s="435">
        <v>0</v>
      </c>
      <c r="AF107" s="431" t="s">
        <v>343</v>
      </c>
      <c r="AG107" s="432">
        <v>113943.84311879118</v>
      </c>
      <c r="AH107" s="433">
        <v>4538.5111320270735</v>
      </c>
      <c r="AI107" s="433">
        <v>649035.254139542</v>
      </c>
      <c r="AJ107" s="433">
        <v>0</v>
      </c>
      <c r="AK107" s="424">
        <f t="shared" ref="AK107:AK108" si="36">SUM(AG107:AJ107)</f>
        <v>767517.60839036026</v>
      </c>
      <c r="AL107" s="417">
        <f t="shared" ref="AL107:AL108" si="37">(AK107-S107)/S107</f>
        <v>1.0467056535354681E-2</v>
      </c>
      <c r="AM107" s="418"/>
      <c r="AN107" s="424">
        <f t="shared" si="33"/>
        <v>767517.60839036026</v>
      </c>
      <c r="AO107" s="434">
        <v>0</v>
      </c>
      <c r="AP107" s="434">
        <v>0</v>
      </c>
      <c r="AQ107" s="434">
        <v>0</v>
      </c>
      <c r="AR107" s="434">
        <v>0</v>
      </c>
      <c r="AS107" s="434">
        <v>0</v>
      </c>
      <c r="AT107" s="434">
        <v>0</v>
      </c>
      <c r="AU107" s="434">
        <v>0</v>
      </c>
      <c r="AV107" s="435">
        <v>0</v>
      </c>
      <c r="AW107" s="435">
        <v>0</v>
      </c>
      <c r="AX107" s="431" t="s">
        <v>511</v>
      </c>
      <c r="AY107" s="436">
        <v>115844.47273900107</v>
      </c>
      <c r="AZ107" s="430">
        <v>4665.2964288156973</v>
      </c>
      <c r="BA107" s="430">
        <v>658344.69487502985</v>
      </c>
      <c r="BB107" s="430">
        <v>0</v>
      </c>
      <c r="BC107" s="424">
        <f t="shared" ref="BC107:BC108" si="38">SUM(AY107:BB107)</f>
        <v>778854.46404284658</v>
      </c>
      <c r="BD107" s="417">
        <f t="shared" ref="BD107:BD108" si="39">(BC107-AK107)/AK107</f>
        <v>1.4770808550258545E-2</v>
      </c>
      <c r="BE107" s="418"/>
      <c r="BF107" s="424">
        <f t="shared" si="22"/>
        <v>778854.46404284658</v>
      </c>
      <c r="BG107" s="434">
        <v>0</v>
      </c>
      <c r="BH107" s="434">
        <v>0</v>
      </c>
      <c r="BI107" s="434">
        <v>0</v>
      </c>
      <c r="BJ107" s="434">
        <v>0</v>
      </c>
      <c r="BK107" s="434">
        <v>0</v>
      </c>
      <c r="BL107" s="434">
        <v>0</v>
      </c>
      <c r="BM107" s="434">
        <v>0</v>
      </c>
      <c r="BN107" s="435">
        <v>0</v>
      </c>
      <c r="BO107" s="435">
        <v>0</v>
      </c>
      <c r="BP107" s="431" t="s">
        <v>511</v>
      </c>
      <c r="BQ107" s="432">
        <v>117971.35623481199</v>
      </c>
      <c r="BR107" s="433">
        <v>4797.716627683817</v>
      </c>
      <c r="BS107" s="433">
        <v>669043.17303828278</v>
      </c>
      <c r="BT107" s="433">
        <v>0</v>
      </c>
      <c r="BU107" s="424">
        <f t="shared" ref="BU107:BU108" si="40">SUM(BQ107:BT107)</f>
        <v>791812.24590077857</v>
      </c>
      <c r="BV107" s="417">
        <f t="shared" si="29"/>
        <v>1.6636974500564908E-2</v>
      </c>
      <c r="BW107" s="418"/>
      <c r="BX107" s="424">
        <f t="shared" si="24"/>
        <v>791812.24590077857</v>
      </c>
      <c r="BY107" s="434">
        <v>0</v>
      </c>
      <c r="BZ107" s="434">
        <v>0</v>
      </c>
      <c r="CA107" s="434">
        <v>0</v>
      </c>
      <c r="CB107" s="434">
        <v>0</v>
      </c>
      <c r="CC107" s="434">
        <v>0</v>
      </c>
      <c r="CD107" s="434">
        <v>0</v>
      </c>
      <c r="CE107" s="434">
        <v>0</v>
      </c>
      <c r="CF107" s="435">
        <v>0</v>
      </c>
      <c r="CG107" s="435">
        <v>0</v>
      </c>
      <c r="CH107" s="431" t="s">
        <v>511</v>
      </c>
    </row>
    <row r="108" spans="1:86" s="365" customFormat="1">
      <c r="A108" s="407" t="str">
        <f t="shared" si="25"/>
        <v>CommercialMarket Support</v>
      </c>
      <c r="B108" s="408" t="s">
        <v>518</v>
      </c>
      <c r="C108" s="409"/>
      <c r="D108" s="410" t="s">
        <v>519</v>
      </c>
      <c r="E108" s="635" t="s">
        <v>15</v>
      </c>
      <c r="F108" s="411" t="s">
        <v>16</v>
      </c>
      <c r="G108" s="411" t="s">
        <v>22</v>
      </c>
      <c r="H108" s="412" t="s">
        <v>23</v>
      </c>
      <c r="I108" s="428"/>
      <c r="J108" s="414"/>
      <c r="K108" s="414"/>
      <c r="L108" s="414"/>
      <c r="M108" s="414"/>
      <c r="N108" s="414"/>
      <c r="O108" s="429">
        <v>112506.74169898979</v>
      </c>
      <c r="P108" s="430">
        <v>4420.9831743690474</v>
      </c>
      <c r="Q108" s="430">
        <v>642639.45094530773</v>
      </c>
      <c r="R108" s="430">
        <v>0</v>
      </c>
      <c r="S108" s="445">
        <f t="shared" si="34"/>
        <v>759567.17581866658</v>
      </c>
      <c r="T108" s="417" t="e">
        <f t="shared" si="35"/>
        <v>#DIV/0!</v>
      </c>
      <c r="U108" s="418"/>
      <c r="V108" s="419">
        <f t="shared" si="31"/>
        <v>759567.17581866658</v>
      </c>
      <c r="W108" s="434">
        <v>0</v>
      </c>
      <c r="X108" s="434">
        <v>0</v>
      </c>
      <c r="Y108" s="434">
        <v>0</v>
      </c>
      <c r="Z108" s="434">
        <v>0</v>
      </c>
      <c r="AA108" s="434">
        <v>0</v>
      </c>
      <c r="AB108" s="434">
        <v>0</v>
      </c>
      <c r="AC108" s="434">
        <v>0</v>
      </c>
      <c r="AD108" s="435">
        <v>0</v>
      </c>
      <c r="AE108" s="435">
        <v>0</v>
      </c>
      <c r="AF108" s="431" t="s">
        <v>343</v>
      </c>
      <c r="AG108" s="432">
        <v>113943.84311879118</v>
      </c>
      <c r="AH108" s="433">
        <v>4538.5111320270735</v>
      </c>
      <c r="AI108" s="433">
        <v>649035.254139542</v>
      </c>
      <c r="AJ108" s="433">
        <v>0</v>
      </c>
      <c r="AK108" s="424">
        <f t="shared" si="36"/>
        <v>767517.60839036026</v>
      </c>
      <c r="AL108" s="417">
        <f t="shared" si="37"/>
        <v>1.0467056535354681E-2</v>
      </c>
      <c r="AM108" s="418"/>
      <c r="AN108" s="424">
        <f t="shared" si="33"/>
        <v>767517.60839036026</v>
      </c>
      <c r="AO108" s="434">
        <v>0</v>
      </c>
      <c r="AP108" s="434">
        <v>0</v>
      </c>
      <c r="AQ108" s="434">
        <v>0</v>
      </c>
      <c r="AR108" s="434">
        <v>0</v>
      </c>
      <c r="AS108" s="434">
        <v>0</v>
      </c>
      <c r="AT108" s="434">
        <v>0</v>
      </c>
      <c r="AU108" s="434">
        <v>0</v>
      </c>
      <c r="AV108" s="435">
        <v>0</v>
      </c>
      <c r="AW108" s="435">
        <v>0</v>
      </c>
      <c r="AX108" s="431" t="s">
        <v>511</v>
      </c>
      <c r="AY108" s="436">
        <v>115844.47273900107</v>
      </c>
      <c r="AZ108" s="430">
        <v>4665.2964288156973</v>
      </c>
      <c r="BA108" s="430">
        <v>658344.69487502985</v>
      </c>
      <c r="BB108" s="430">
        <v>0</v>
      </c>
      <c r="BC108" s="424">
        <f t="shared" si="38"/>
        <v>778854.46404284658</v>
      </c>
      <c r="BD108" s="417">
        <f t="shared" si="39"/>
        <v>1.4770808550258545E-2</v>
      </c>
      <c r="BE108" s="418"/>
      <c r="BF108" s="424">
        <f t="shared" si="22"/>
        <v>778854.46404284658</v>
      </c>
      <c r="BG108" s="434">
        <v>0</v>
      </c>
      <c r="BH108" s="434">
        <v>0</v>
      </c>
      <c r="BI108" s="434">
        <v>0</v>
      </c>
      <c r="BJ108" s="434">
        <v>0</v>
      </c>
      <c r="BK108" s="434">
        <v>0</v>
      </c>
      <c r="BL108" s="434">
        <v>0</v>
      </c>
      <c r="BM108" s="434">
        <v>0</v>
      </c>
      <c r="BN108" s="435">
        <v>0</v>
      </c>
      <c r="BO108" s="435">
        <v>0</v>
      </c>
      <c r="BP108" s="431" t="s">
        <v>511</v>
      </c>
      <c r="BQ108" s="432">
        <v>117971.35623481199</v>
      </c>
      <c r="BR108" s="433">
        <v>4797.716627683817</v>
      </c>
      <c r="BS108" s="433">
        <v>669043.17303828278</v>
      </c>
      <c r="BT108" s="433">
        <v>0</v>
      </c>
      <c r="BU108" s="424">
        <f t="shared" si="40"/>
        <v>791812.24590077857</v>
      </c>
      <c r="BV108" s="417">
        <f t="shared" si="29"/>
        <v>1.6636974500564908E-2</v>
      </c>
      <c r="BW108" s="418"/>
      <c r="BX108" s="424">
        <f t="shared" si="24"/>
        <v>791812.24590077857</v>
      </c>
      <c r="BY108" s="434">
        <v>0</v>
      </c>
      <c r="BZ108" s="434">
        <v>0</v>
      </c>
      <c r="CA108" s="434">
        <v>0</v>
      </c>
      <c r="CB108" s="434">
        <v>0</v>
      </c>
      <c r="CC108" s="434">
        <v>0</v>
      </c>
      <c r="CD108" s="434">
        <v>0</v>
      </c>
      <c r="CE108" s="434">
        <v>0</v>
      </c>
      <c r="CF108" s="435">
        <v>0</v>
      </c>
      <c r="CG108" s="435">
        <v>0</v>
      </c>
      <c r="CH108" s="431" t="s">
        <v>511</v>
      </c>
    </row>
    <row r="109" spans="1:86" s="365" customFormat="1">
      <c r="A109" s="407"/>
      <c r="B109" s="469" t="s">
        <v>520</v>
      </c>
      <c r="C109" s="409"/>
      <c r="D109" s="410"/>
      <c r="E109" s="637"/>
      <c r="F109" s="411"/>
      <c r="G109" s="411"/>
      <c r="H109" s="412"/>
      <c r="I109" s="428"/>
      <c r="J109" s="414"/>
      <c r="K109" s="414"/>
      <c r="L109" s="414"/>
      <c r="M109" s="414"/>
      <c r="N109" s="414"/>
      <c r="O109" s="429"/>
      <c r="P109" s="430"/>
      <c r="Q109" s="430"/>
      <c r="R109" s="430"/>
      <c r="S109" s="445"/>
      <c r="T109" s="417"/>
      <c r="U109" s="418"/>
      <c r="V109" s="419"/>
      <c r="W109" s="434"/>
      <c r="X109" s="434"/>
      <c r="Y109" s="434"/>
      <c r="Z109" s="434"/>
      <c r="AA109" s="434"/>
      <c r="AB109" s="434"/>
      <c r="AC109" s="434"/>
      <c r="AD109" s="435"/>
      <c r="AE109" s="435"/>
      <c r="AF109" s="431"/>
      <c r="AG109" s="432"/>
      <c r="AH109" s="433"/>
      <c r="AI109" s="433"/>
      <c r="AJ109" s="433"/>
      <c r="AK109" s="424"/>
      <c r="AL109" s="417"/>
      <c r="AM109" s="418"/>
      <c r="AN109" s="424"/>
      <c r="AO109" s="434"/>
      <c r="AP109" s="434"/>
      <c r="AQ109" s="434"/>
      <c r="AR109" s="434"/>
      <c r="AS109" s="434"/>
      <c r="AT109" s="434"/>
      <c r="AU109" s="434"/>
      <c r="AV109" s="435"/>
      <c r="AW109" s="435"/>
      <c r="AX109" s="431"/>
      <c r="AY109" s="436"/>
      <c r="AZ109" s="430"/>
      <c r="BA109" s="430"/>
      <c r="BB109" s="430"/>
      <c r="BC109" s="424"/>
      <c r="BD109" s="417"/>
      <c r="BE109" s="418"/>
      <c r="BF109" s="424"/>
      <c r="BG109" s="434"/>
      <c r="BH109" s="434"/>
      <c r="BI109" s="434"/>
      <c r="BJ109" s="434"/>
      <c r="BK109" s="434"/>
      <c r="BL109" s="434"/>
      <c r="BM109" s="434"/>
      <c r="BN109" s="435"/>
      <c r="BO109" s="435"/>
      <c r="BP109" s="431"/>
      <c r="BQ109" s="432"/>
      <c r="BR109" s="433"/>
      <c r="BS109" s="433"/>
      <c r="BT109" s="433"/>
      <c r="BU109" s="424"/>
      <c r="BV109" s="417"/>
      <c r="BW109" s="418"/>
      <c r="BX109" s="424"/>
      <c r="BY109" s="434"/>
      <c r="BZ109" s="434"/>
      <c r="CA109" s="434"/>
      <c r="CB109" s="434"/>
      <c r="CC109" s="434"/>
      <c r="CD109" s="434"/>
      <c r="CE109" s="434"/>
      <c r="CF109" s="435"/>
      <c r="CG109" s="435"/>
      <c r="CH109" s="431"/>
    </row>
    <row r="110" spans="1:86" s="365" customFormat="1">
      <c r="A110" s="407"/>
      <c r="B110" s="408"/>
      <c r="C110" s="470" t="s">
        <v>521</v>
      </c>
      <c r="D110" s="410" t="s">
        <v>522</v>
      </c>
      <c r="E110" s="637" t="s">
        <v>20</v>
      </c>
      <c r="F110" s="411" t="s">
        <v>16</v>
      </c>
      <c r="G110" s="411" t="s">
        <v>17</v>
      </c>
      <c r="H110" s="412" t="s">
        <v>18</v>
      </c>
      <c r="I110" s="428"/>
      <c r="J110" s="414">
        <v>500000</v>
      </c>
      <c r="K110" s="414"/>
      <c r="L110" s="414">
        <v>454295</v>
      </c>
      <c r="M110" s="414"/>
      <c r="N110" s="414"/>
      <c r="O110" s="429"/>
      <c r="P110" s="430"/>
      <c r="Q110" s="430"/>
      <c r="R110" s="430"/>
      <c r="S110" s="445"/>
      <c r="T110" s="417"/>
      <c r="U110" s="418"/>
      <c r="V110" s="419"/>
      <c r="W110" s="434"/>
      <c r="X110" s="434"/>
      <c r="Y110" s="434"/>
      <c r="Z110" s="434"/>
      <c r="AA110" s="434"/>
      <c r="AB110" s="434"/>
      <c r="AC110" s="434"/>
      <c r="AD110" s="435"/>
      <c r="AE110" s="435"/>
      <c r="AF110" s="431"/>
      <c r="AG110" s="432"/>
      <c r="AH110" s="433"/>
      <c r="AI110" s="433"/>
      <c r="AJ110" s="433"/>
      <c r="AK110" s="424"/>
      <c r="AL110" s="417"/>
      <c r="AM110" s="418"/>
      <c r="AN110" s="424"/>
      <c r="AO110" s="434"/>
      <c r="AP110" s="434"/>
      <c r="AQ110" s="434"/>
      <c r="AR110" s="434"/>
      <c r="AS110" s="434"/>
      <c r="AT110" s="434"/>
      <c r="AU110" s="434"/>
      <c r="AV110" s="435"/>
      <c r="AW110" s="435"/>
      <c r="AX110" s="431"/>
      <c r="AY110" s="436"/>
      <c r="AZ110" s="430"/>
      <c r="BA110" s="430"/>
      <c r="BB110" s="430"/>
      <c r="BC110" s="424"/>
      <c r="BD110" s="417"/>
      <c r="BE110" s="418"/>
      <c r="BF110" s="424"/>
      <c r="BG110" s="434"/>
      <c r="BH110" s="434"/>
      <c r="BI110" s="434"/>
      <c r="BJ110" s="434"/>
      <c r="BK110" s="434"/>
      <c r="BL110" s="434"/>
      <c r="BM110" s="434"/>
      <c r="BN110" s="435"/>
      <c r="BO110" s="435"/>
      <c r="BP110" s="431"/>
      <c r="BQ110" s="432"/>
      <c r="BR110" s="433"/>
      <c r="BS110" s="433"/>
      <c r="BT110" s="433"/>
      <c r="BU110" s="424"/>
      <c r="BV110" s="417"/>
      <c r="BW110" s="418"/>
      <c r="BX110" s="424"/>
      <c r="BY110" s="434"/>
      <c r="BZ110" s="434"/>
      <c r="CA110" s="434"/>
      <c r="CB110" s="434"/>
      <c r="CC110" s="434"/>
      <c r="CD110" s="434"/>
      <c r="CE110" s="434"/>
      <c r="CF110" s="435"/>
      <c r="CG110" s="435"/>
      <c r="CH110" s="431"/>
    </row>
    <row r="111" spans="1:86" s="365" customFormat="1">
      <c r="A111" s="407"/>
      <c r="B111" s="408"/>
      <c r="C111" s="470" t="s">
        <v>523</v>
      </c>
      <c r="D111" s="410" t="s">
        <v>524</v>
      </c>
      <c r="E111" s="637" t="s">
        <v>15</v>
      </c>
      <c r="F111" s="411" t="s">
        <v>16</v>
      </c>
      <c r="G111" s="411" t="s">
        <v>22</v>
      </c>
      <c r="H111" s="412" t="s">
        <v>23</v>
      </c>
      <c r="I111" s="428"/>
      <c r="J111" s="414">
        <v>307000</v>
      </c>
      <c r="K111" s="414"/>
      <c r="L111" s="414">
        <v>453407</v>
      </c>
      <c r="M111" s="414"/>
      <c r="N111" s="414"/>
      <c r="O111" s="429"/>
      <c r="P111" s="430"/>
      <c r="Q111" s="430"/>
      <c r="R111" s="430"/>
      <c r="S111" s="445"/>
      <c r="T111" s="417"/>
      <c r="U111" s="418"/>
      <c r="V111" s="419"/>
      <c r="W111" s="434"/>
      <c r="X111" s="434"/>
      <c r="Y111" s="434"/>
      <c r="Z111" s="434"/>
      <c r="AA111" s="434"/>
      <c r="AB111" s="434"/>
      <c r="AC111" s="434"/>
      <c r="AD111" s="435"/>
      <c r="AE111" s="435"/>
      <c r="AF111" s="431"/>
      <c r="AG111" s="432"/>
      <c r="AH111" s="433"/>
      <c r="AI111" s="433"/>
      <c r="AJ111" s="433"/>
      <c r="AK111" s="424"/>
      <c r="AL111" s="417"/>
      <c r="AM111" s="418"/>
      <c r="AN111" s="424"/>
      <c r="AO111" s="434"/>
      <c r="AP111" s="434"/>
      <c r="AQ111" s="434"/>
      <c r="AR111" s="434"/>
      <c r="AS111" s="434"/>
      <c r="AT111" s="434"/>
      <c r="AU111" s="434"/>
      <c r="AV111" s="435"/>
      <c r="AW111" s="435"/>
      <c r="AX111" s="431"/>
      <c r="AY111" s="436"/>
      <c r="AZ111" s="430"/>
      <c r="BA111" s="430"/>
      <c r="BB111" s="430"/>
      <c r="BC111" s="424"/>
      <c r="BD111" s="417"/>
      <c r="BE111" s="418"/>
      <c r="BF111" s="424"/>
      <c r="BG111" s="434"/>
      <c r="BH111" s="434"/>
      <c r="BI111" s="434"/>
      <c r="BJ111" s="434"/>
      <c r="BK111" s="434"/>
      <c r="BL111" s="434"/>
      <c r="BM111" s="434"/>
      <c r="BN111" s="435"/>
      <c r="BO111" s="435"/>
      <c r="BP111" s="431"/>
      <c r="BQ111" s="432"/>
      <c r="BR111" s="433"/>
      <c r="BS111" s="433"/>
      <c r="BT111" s="433"/>
      <c r="BU111" s="424"/>
      <c r="BV111" s="417"/>
      <c r="BW111" s="418"/>
      <c r="BX111" s="424"/>
      <c r="BY111" s="434"/>
      <c r="BZ111" s="434"/>
      <c r="CA111" s="434"/>
      <c r="CB111" s="434"/>
      <c r="CC111" s="434"/>
      <c r="CD111" s="434"/>
      <c r="CE111" s="434"/>
      <c r="CF111" s="435"/>
      <c r="CG111" s="435"/>
      <c r="CH111" s="431"/>
    </row>
    <row r="112" spans="1:86" s="365" customFormat="1">
      <c r="A112" s="407"/>
      <c r="B112" s="408"/>
      <c r="C112" s="470" t="s">
        <v>525</v>
      </c>
      <c r="D112" s="410" t="s">
        <v>526</v>
      </c>
      <c r="E112" s="637" t="s">
        <v>20</v>
      </c>
      <c r="F112" s="411" t="s">
        <v>16</v>
      </c>
      <c r="G112" s="411" t="s">
        <v>22</v>
      </c>
      <c r="H112" s="412" t="s">
        <v>18</v>
      </c>
      <c r="I112" s="428"/>
      <c r="J112" s="414">
        <v>3092000</v>
      </c>
      <c r="K112" s="414"/>
      <c r="L112" s="414">
        <v>1122186</v>
      </c>
      <c r="M112" s="414"/>
      <c r="N112" s="414"/>
      <c r="O112" s="429"/>
      <c r="P112" s="430"/>
      <c r="Q112" s="430"/>
      <c r="R112" s="430"/>
      <c r="S112" s="445"/>
      <c r="T112" s="417"/>
      <c r="U112" s="418"/>
      <c r="V112" s="419"/>
      <c r="W112" s="434"/>
      <c r="X112" s="434"/>
      <c r="Y112" s="434"/>
      <c r="Z112" s="434"/>
      <c r="AA112" s="434"/>
      <c r="AB112" s="434"/>
      <c r="AC112" s="434"/>
      <c r="AD112" s="435"/>
      <c r="AE112" s="435"/>
      <c r="AF112" s="431"/>
      <c r="AG112" s="432"/>
      <c r="AH112" s="433"/>
      <c r="AI112" s="433"/>
      <c r="AJ112" s="433"/>
      <c r="AK112" s="424"/>
      <c r="AL112" s="417"/>
      <c r="AM112" s="418"/>
      <c r="AN112" s="424"/>
      <c r="AO112" s="434"/>
      <c r="AP112" s="434"/>
      <c r="AQ112" s="434"/>
      <c r="AR112" s="434"/>
      <c r="AS112" s="434"/>
      <c r="AT112" s="434"/>
      <c r="AU112" s="434"/>
      <c r="AV112" s="435"/>
      <c r="AW112" s="435"/>
      <c r="AX112" s="431"/>
      <c r="AY112" s="436"/>
      <c r="AZ112" s="430"/>
      <c r="BA112" s="430"/>
      <c r="BB112" s="430"/>
      <c r="BC112" s="424"/>
      <c r="BD112" s="417"/>
      <c r="BE112" s="418"/>
      <c r="BF112" s="424"/>
      <c r="BG112" s="434"/>
      <c r="BH112" s="434"/>
      <c r="BI112" s="434"/>
      <c r="BJ112" s="434"/>
      <c r="BK112" s="434"/>
      <c r="BL112" s="434"/>
      <c r="BM112" s="434"/>
      <c r="BN112" s="435"/>
      <c r="BO112" s="435"/>
      <c r="BP112" s="431"/>
      <c r="BQ112" s="432"/>
      <c r="BR112" s="433"/>
      <c r="BS112" s="433"/>
      <c r="BT112" s="433"/>
      <c r="BU112" s="424"/>
      <c r="BV112" s="417"/>
      <c r="BW112" s="418"/>
      <c r="BX112" s="424"/>
      <c r="BY112" s="434"/>
      <c r="BZ112" s="434"/>
      <c r="CA112" s="434"/>
      <c r="CB112" s="434"/>
      <c r="CC112" s="434"/>
      <c r="CD112" s="434"/>
      <c r="CE112" s="434"/>
      <c r="CF112" s="435"/>
      <c r="CG112" s="435"/>
      <c r="CH112" s="431"/>
    </row>
    <row r="113" spans="1:86" s="365" customFormat="1">
      <c r="A113" s="407"/>
      <c r="B113" s="408"/>
      <c r="C113" s="470" t="s">
        <v>527</v>
      </c>
      <c r="D113" s="410" t="s">
        <v>528</v>
      </c>
      <c r="E113" s="637" t="s">
        <v>20</v>
      </c>
      <c r="F113" s="411" t="s">
        <v>16</v>
      </c>
      <c r="G113" s="411" t="s">
        <v>22</v>
      </c>
      <c r="H113" s="412" t="s">
        <v>18</v>
      </c>
      <c r="I113" s="428"/>
      <c r="J113" s="414">
        <v>4612640</v>
      </c>
      <c r="K113" s="414"/>
      <c r="L113" s="414">
        <v>4617723</v>
      </c>
      <c r="M113" s="414"/>
      <c r="N113" s="414"/>
      <c r="O113" s="429"/>
      <c r="P113" s="430"/>
      <c r="Q113" s="430"/>
      <c r="R113" s="430"/>
      <c r="S113" s="445"/>
      <c r="T113" s="417"/>
      <c r="U113" s="418"/>
      <c r="V113" s="419"/>
      <c r="W113" s="434"/>
      <c r="X113" s="434"/>
      <c r="Y113" s="434"/>
      <c r="Z113" s="434"/>
      <c r="AA113" s="434"/>
      <c r="AB113" s="434"/>
      <c r="AC113" s="434"/>
      <c r="AD113" s="435"/>
      <c r="AE113" s="435"/>
      <c r="AF113" s="431"/>
      <c r="AG113" s="432"/>
      <c r="AH113" s="433"/>
      <c r="AI113" s="433"/>
      <c r="AJ113" s="433"/>
      <c r="AK113" s="424"/>
      <c r="AL113" s="417"/>
      <c r="AM113" s="418"/>
      <c r="AN113" s="424"/>
      <c r="AO113" s="434"/>
      <c r="AP113" s="434"/>
      <c r="AQ113" s="434"/>
      <c r="AR113" s="434"/>
      <c r="AS113" s="434"/>
      <c r="AT113" s="434"/>
      <c r="AU113" s="434"/>
      <c r="AV113" s="435"/>
      <c r="AW113" s="435"/>
      <c r="AX113" s="431"/>
      <c r="AY113" s="436"/>
      <c r="AZ113" s="430"/>
      <c r="BA113" s="430"/>
      <c r="BB113" s="430"/>
      <c r="BC113" s="424"/>
      <c r="BD113" s="417"/>
      <c r="BE113" s="418"/>
      <c r="BF113" s="424"/>
      <c r="BG113" s="434"/>
      <c r="BH113" s="434"/>
      <c r="BI113" s="434"/>
      <c r="BJ113" s="434"/>
      <c r="BK113" s="434"/>
      <c r="BL113" s="434"/>
      <c r="BM113" s="434"/>
      <c r="BN113" s="435"/>
      <c r="BO113" s="435"/>
      <c r="BP113" s="431"/>
      <c r="BQ113" s="432"/>
      <c r="BR113" s="433"/>
      <c r="BS113" s="433"/>
      <c r="BT113" s="433"/>
      <c r="BU113" s="424"/>
      <c r="BV113" s="417"/>
      <c r="BW113" s="418"/>
      <c r="BX113" s="424"/>
      <c r="BY113" s="434"/>
      <c r="BZ113" s="434"/>
      <c r="CA113" s="434"/>
      <c r="CB113" s="434"/>
      <c r="CC113" s="434"/>
      <c r="CD113" s="434"/>
      <c r="CE113" s="434"/>
      <c r="CF113" s="435"/>
      <c r="CG113" s="435"/>
      <c r="CH113" s="431"/>
    </row>
    <row r="114" spans="1:86" s="365" customFormat="1">
      <c r="A114" s="407"/>
      <c r="B114" s="408"/>
      <c r="C114" s="470" t="s">
        <v>529</v>
      </c>
      <c r="D114" s="410" t="s">
        <v>530</v>
      </c>
      <c r="E114" s="637" t="s">
        <v>15</v>
      </c>
      <c r="F114" s="411" t="s">
        <v>16</v>
      </c>
      <c r="G114" s="411" t="s">
        <v>25</v>
      </c>
      <c r="H114" s="412" t="s">
        <v>23</v>
      </c>
      <c r="I114" s="428"/>
      <c r="J114" s="414">
        <v>255000</v>
      </c>
      <c r="K114" s="414"/>
      <c r="L114" s="414">
        <v>17241</v>
      </c>
      <c r="M114" s="414"/>
      <c r="N114" s="414"/>
      <c r="O114" s="429"/>
      <c r="P114" s="430"/>
      <c r="Q114" s="430"/>
      <c r="R114" s="430"/>
      <c r="S114" s="445"/>
      <c r="T114" s="417"/>
      <c r="U114" s="418"/>
      <c r="V114" s="419"/>
      <c r="W114" s="434"/>
      <c r="X114" s="434"/>
      <c r="Y114" s="434"/>
      <c r="Z114" s="434"/>
      <c r="AA114" s="434"/>
      <c r="AB114" s="434"/>
      <c r="AC114" s="434"/>
      <c r="AD114" s="435"/>
      <c r="AE114" s="435"/>
      <c r="AF114" s="431"/>
      <c r="AG114" s="432"/>
      <c r="AH114" s="433"/>
      <c r="AI114" s="433"/>
      <c r="AJ114" s="433"/>
      <c r="AK114" s="424"/>
      <c r="AL114" s="417"/>
      <c r="AM114" s="418"/>
      <c r="AN114" s="424"/>
      <c r="AO114" s="434"/>
      <c r="AP114" s="434"/>
      <c r="AQ114" s="434"/>
      <c r="AR114" s="434"/>
      <c r="AS114" s="434"/>
      <c r="AT114" s="434"/>
      <c r="AU114" s="434"/>
      <c r="AV114" s="435"/>
      <c r="AW114" s="435"/>
      <c r="AX114" s="431"/>
      <c r="AY114" s="436"/>
      <c r="AZ114" s="430"/>
      <c r="BA114" s="430"/>
      <c r="BB114" s="430"/>
      <c r="BC114" s="424"/>
      <c r="BD114" s="417"/>
      <c r="BE114" s="418"/>
      <c r="BF114" s="424"/>
      <c r="BG114" s="434"/>
      <c r="BH114" s="434"/>
      <c r="BI114" s="434"/>
      <c r="BJ114" s="434"/>
      <c r="BK114" s="434"/>
      <c r="BL114" s="434"/>
      <c r="BM114" s="434"/>
      <c r="BN114" s="435"/>
      <c r="BO114" s="435"/>
      <c r="BP114" s="431"/>
      <c r="BQ114" s="432"/>
      <c r="BR114" s="433"/>
      <c r="BS114" s="433"/>
      <c r="BT114" s="433"/>
      <c r="BU114" s="424"/>
      <c r="BV114" s="417"/>
      <c r="BW114" s="418"/>
      <c r="BX114" s="424"/>
      <c r="BY114" s="434"/>
      <c r="BZ114" s="434"/>
      <c r="CA114" s="434"/>
      <c r="CB114" s="434"/>
      <c r="CC114" s="434"/>
      <c r="CD114" s="434"/>
      <c r="CE114" s="434"/>
      <c r="CF114" s="435"/>
      <c r="CG114" s="435"/>
      <c r="CH114" s="431"/>
    </row>
    <row r="115" spans="1:86" s="365" customFormat="1">
      <c r="A115" s="407"/>
      <c r="B115" s="408"/>
      <c r="C115" s="470" t="s">
        <v>531</v>
      </c>
      <c r="D115" s="410" t="s">
        <v>532</v>
      </c>
      <c r="E115" s="637" t="s">
        <v>20</v>
      </c>
      <c r="F115" s="411" t="s">
        <v>16</v>
      </c>
      <c r="G115" s="411" t="s">
        <v>25</v>
      </c>
      <c r="H115" s="412" t="s">
        <v>18</v>
      </c>
      <c r="I115" s="428"/>
      <c r="J115" s="414">
        <v>8045000</v>
      </c>
      <c r="K115" s="414"/>
      <c r="L115" s="414">
        <v>1505726</v>
      </c>
      <c r="M115" s="414"/>
      <c r="N115" s="414"/>
      <c r="O115" s="429"/>
      <c r="P115" s="430"/>
      <c r="Q115" s="430"/>
      <c r="R115" s="430"/>
      <c r="S115" s="445"/>
      <c r="T115" s="417"/>
      <c r="U115" s="418"/>
      <c r="V115" s="419"/>
      <c r="W115" s="434"/>
      <c r="X115" s="434"/>
      <c r="Y115" s="434"/>
      <c r="Z115" s="434"/>
      <c r="AA115" s="434"/>
      <c r="AB115" s="434"/>
      <c r="AC115" s="434"/>
      <c r="AD115" s="435"/>
      <c r="AE115" s="435"/>
      <c r="AF115" s="431"/>
      <c r="AG115" s="432"/>
      <c r="AH115" s="433"/>
      <c r="AI115" s="433"/>
      <c r="AJ115" s="433"/>
      <c r="AK115" s="424"/>
      <c r="AL115" s="417"/>
      <c r="AM115" s="418"/>
      <c r="AN115" s="424"/>
      <c r="AO115" s="434"/>
      <c r="AP115" s="434"/>
      <c r="AQ115" s="434"/>
      <c r="AR115" s="434"/>
      <c r="AS115" s="434"/>
      <c r="AT115" s="434"/>
      <c r="AU115" s="434"/>
      <c r="AV115" s="435"/>
      <c r="AW115" s="435"/>
      <c r="AX115" s="431"/>
      <c r="AY115" s="436"/>
      <c r="AZ115" s="430"/>
      <c r="BA115" s="430"/>
      <c r="BB115" s="430"/>
      <c r="BC115" s="424"/>
      <c r="BD115" s="417"/>
      <c r="BE115" s="418"/>
      <c r="BF115" s="424"/>
      <c r="BG115" s="434"/>
      <c r="BH115" s="434"/>
      <c r="BI115" s="434"/>
      <c r="BJ115" s="434"/>
      <c r="BK115" s="434"/>
      <c r="BL115" s="434"/>
      <c r="BM115" s="434"/>
      <c r="BN115" s="435"/>
      <c r="BO115" s="435"/>
      <c r="BP115" s="431"/>
      <c r="BQ115" s="432"/>
      <c r="BR115" s="433"/>
      <c r="BS115" s="433"/>
      <c r="BT115" s="433"/>
      <c r="BU115" s="424"/>
      <c r="BV115" s="417"/>
      <c r="BW115" s="418"/>
      <c r="BX115" s="424"/>
      <c r="BY115" s="434"/>
      <c r="BZ115" s="434"/>
      <c r="CA115" s="434"/>
      <c r="CB115" s="434"/>
      <c r="CC115" s="434"/>
      <c r="CD115" s="434"/>
      <c r="CE115" s="434"/>
      <c r="CF115" s="435"/>
      <c r="CG115" s="435"/>
      <c r="CH115" s="431"/>
    </row>
    <row r="116" spans="1:86" s="365" customFormat="1">
      <c r="A116" s="407"/>
      <c r="B116" s="408"/>
      <c r="C116" s="470" t="s">
        <v>533</v>
      </c>
      <c r="D116" s="410" t="s">
        <v>534</v>
      </c>
      <c r="E116" s="637" t="s">
        <v>20</v>
      </c>
      <c r="F116" s="411" t="s">
        <v>16</v>
      </c>
      <c r="G116" s="411" t="s">
        <v>25</v>
      </c>
      <c r="H116" s="412" t="s">
        <v>18</v>
      </c>
      <c r="I116" s="428"/>
      <c r="J116" s="414">
        <v>1332000</v>
      </c>
      <c r="K116" s="414"/>
      <c r="L116" s="414">
        <v>952586</v>
      </c>
      <c r="M116" s="414"/>
      <c r="N116" s="414"/>
      <c r="O116" s="429"/>
      <c r="P116" s="430"/>
      <c r="Q116" s="430"/>
      <c r="R116" s="430"/>
      <c r="S116" s="445"/>
      <c r="T116" s="417"/>
      <c r="U116" s="418"/>
      <c r="V116" s="419"/>
      <c r="W116" s="434"/>
      <c r="X116" s="434"/>
      <c r="Y116" s="434"/>
      <c r="Z116" s="434"/>
      <c r="AA116" s="434"/>
      <c r="AB116" s="434"/>
      <c r="AC116" s="434"/>
      <c r="AD116" s="435"/>
      <c r="AE116" s="435"/>
      <c r="AF116" s="431"/>
      <c r="AG116" s="432"/>
      <c r="AH116" s="433"/>
      <c r="AI116" s="433"/>
      <c r="AJ116" s="433"/>
      <c r="AK116" s="424"/>
      <c r="AL116" s="417"/>
      <c r="AM116" s="418"/>
      <c r="AN116" s="424"/>
      <c r="AO116" s="434"/>
      <c r="AP116" s="434"/>
      <c r="AQ116" s="434"/>
      <c r="AR116" s="434"/>
      <c r="AS116" s="434"/>
      <c r="AT116" s="434"/>
      <c r="AU116" s="434"/>
      <c r="AV116" s="435"/>
      <c r="AW116" s="435"/>
      <c r="AX116" s="431"/>
      <c r="AY116" s="436"/>
      <c r="AZ116" s="430"/>
      <c r="BA116" s="430"/>
      <c r="BB116" s="430"/>
      <c r="BC116" s="424"/>
      <c r="BD116" s="417"/>
      <c r="BE116" s="418"/>
      <c r="BF116" s="424"/>
      <c r="BG116" s="434"/>
      <c r="BH116" s="434"/>
      <c r="BI116" s="434"/>
      <c r="BJ116" s="434"/>
      <c r="BK116" s="434"/>
      <c r="BL116" s="434"/>
      <c r="BM116" s="434"/>
      <c r="BN116" s="435"/>
      <c r="BO116" s="435"/>
      <c r="BP116" s="431"/>
      <c r="BQ116" s="432"/>
      <c r="BR116" s="433"/>
      <c r="BS116" s="433"/>
      <c r="BT116" s="433"/>
      <c r="BU116" s="424"/>
      <c r="BV116" s="417"/>
      <c r="BW116" s="418"/>
      <c r="BX116" s="424"/>
      <c r="BY116" s="434"/>
      <c r="BZ116" s="434"/>
      <c r="CA116" s="434"/>
      <c r="CB116" s="434"/>
      <c r="CC116" s="434"/>
      <c r="CD116" s="434"/>
      <c r="CE116" s="434"/>
      <c r="CF116" s="435"/>
      <c r="CG116" s="435"/>
      <c r="CH116" s="431"/>
    </row>
    <row r="117" spans="1:86" s="365" customFormat="1">
      <c r="A117" s="407"/>
      <c r="B117" s="408"/>
      <c r="C117" s="470" t="s">
        <v>535</v>
      </c>
      <c r="D117" s="410" t="s">
        <v>536</v>
      </c>
      <c r="E117" s="637" t="s">
        <v>15</v>
      </c>
      <c r="F117" s="411" t="s">
        <v>16</v>
      </c>
      <c r="G117" s="411" t="s">
        <v>27</v>
      </c>
      <c r="H117" s="412" t="s">
        <v>23</v>
      </c>
      <c r="I117" s="428"/>
      <c r="J117" s="414">
        <v>58000</v>
      </c>
      <c r="K117" s="414"/>
      <c r="L117" s="414">
        <v>14725</v>
      </c>
      <c r="M117" s="414"/>
      <c r="N117" s="414"/>
      <c r="O117" s="429"/>
      <c r="P117" s="430"/>
      <c r="Q117" s="430"/>
      <c r="R117" s="430"/>
      <c r="S117" s="445"/>
      <c r="T117" s="417"/>
      <c r="U117" s="418"/>
      <c r="V117" s="419"/>
      <c r="W117" s="434"/>
      <c r="X117" s="434"/>
      <c r="Y117" s="434"/>
      <c r="Z117" s="434"/>
      <c r="AA117" s="434"/>
      <c r="AB117" s="434"/>
      <c r="AC117" s="434"/>
      <c r="AD117" s="435"/>
      <c r="AE117" s="435"/>
      <c r="AF117" s="431"/>
      <c r="AG117" s="432"/>
      <c r="AH117" s="433"/>
      <c r="AI117" s="433"/>
      <c r="AJ117" s="433"/>
      <c r="AK117" s="424"/>
      <c r="AL117" s="417"/>
      <c r="AM117" s="418"/>
      <c r="AN117" s="424"/>
      <c r="AO117" s="434"/>
      <c r="AP117" s="434"/>
      <c r="AQ117" s="434"/>
      <c r="AR117" s="434"/>
      <c r="AS117" s="434"/>
      <c r="AT117" s="434"/>
      <c r="AU117" s="434"/>
      <c r="AV117" s="435"/>
      <c r="AW117" s="435"/>
      <c r="AX117" s="431"/>
      <c r="AY117" s="436"/>
      <c r="AZ117" s="430"/>
      <c r="BA117" s="430"/>
      <c r="BB117" s="430"/>
      <c r="BC117" s="424"/>
      <c r="BD117" s="417"/>
      <c r="BE117" s="418"/>
      <c r="BF117" s="424"/>
      <c r="BG117" s="434"/>
      <c r="BH117" s="434"/>
      <c r="BI117" s="434"/>
      <c r="BJ117" s="434"/>
      <c r="BK117" s="434"/>
      <c r="BL117" s="434"/>
      <c r="BM117" s="434"/>
      <c r="BN117" s="435"/>
      <c r="BO117" s="435"/>
      <c r="BP117" s="431"/>
      <c r="BQ117" s="432"/>
      <c r="BR117" s="433"/>
      <c r="BS117" s="433"/>
      <c r="BT117" s="433"/>
      <c r="BU117" s="424"/>
      <c r="BV117" s="417"/>
      <c r="BW117" s="418"/>
      <c r="BX117" s="424"/>
      <c r="BY117" s="434"/>
      <c r="BZ117" s="434"/>
      <c r="CA117" s="434"/>
      <c r="CB117" s="434"/>
      <c r="CC117" s="434"/>
      <c r="CD117" s="434"/>
      <c r="CE117" s="434"/>
      <c r="CF117" s="435"/>
      <c r="CG117" s="435"/>
      <c r="CH117" s="431"/>
    </row>
    <row r="118" spans="1:86" s="365" customFormat="1">
      <c r="A118" s="407"/>
      <c r="B118" s="408"/>
      <c r="C118" s="470" t="s">
        <v>537</v>
      </c>
      <c r="D118" s="410" t="s">
        <v>538</v>
      </c>
      <c r="E118" s="637" t="s">
        <v>20</v>
      </c>
      <c r="F118" s="411" t="s">
        <v>16</v>
      </c>
      <c r="G118" s="411" t="s">
        <v>27</v>
      </c>
      <c r="H118" s="412" t="s">
        <v>18</v>
      </c>
      <c r="I118" s="428"/>
      <c r="J118" s="414">
        <v>959000</v>
      </c>
      <c r="K118" s="414"/>
      <c r="L118" s="414">
        <v>371981</v>
      </c>
      <c r="M118" s="414"/>
      <c r="N118" s="414"/>
      <c r="O118" s="429"/>
      <c r="P118" s="430"/>
      <c r="Q118" s="430"/>
      <c r="R118" s="430"/>
      <c r="S118" s="445"/>
      <c r="T118" s="417"/>
      <c r="U118" s="418"/>
      <c r="V118" s="419"/>
      <c r="W118" s="434"/>
      <c r="X118" s="434"/>
      <c r="Y118" s="434"/>
      <c r="Z118" s="434"/>
      <c r="AA118" s="434"/>
      <c r="AB118" s="434"/>
      <c r="AC118" s="434"/>
      <c r="AD118" s="435"/>
      <c r="AE118" s="435"/>
      <c r="AF118" s="431"/>
      <c r="AG118" s="432"/>
      <c r="AH118" s="433"/>
      <c r="AI118" s="433"/>
      <c r="AJ118" s="433"/>
      <c r="AK118" s="424"/>
      <c r="AL118" s="417"/>
      <c r="AM118" s="418"/>
      <c r="AN118" s="424"/>
      <c r="AO118" s="434"/>
      <c r="AP118" s="434"/>
      <c r="AQ118" s="434"/>
      <c r="AR118" s="434"/>
      <c r="AS118" s="434"/>
      <c r="AT118" s="434"/>
      <c r="AU118" s="434"/>
      <c r="AV118" s="435"/>
      <c r="AW118" s="435"/>
      <c r="AX118" s="431"/>
      <c r="AY118" s="436"/>
      <c r="AZ118" s="430"/>
      <c r="BA118" s="430"/>
      <c r="BB118" s="430"/>
      <c r="BC118" s="424"/>
      <c r="BD118" s="417"/>
      <c r="BE118" s="418"/>
      <c r="BF118" s="424"/>
      <c r="BG118" s="434"/>
      <c r="BH118" s="434"/>
      <c r="BI118" s="434"/>
      <c r="BJ118" s="434"/>
      <c r="BK118" s="434"/>
      <c r="BL118" s="434"/>
      <c r="BM118" s="434"/>
      <c r="BN118" s="435"/>
      <c r="BO118" s="435"/>
      <c r="BP118" s="431"/>
      <c r="BQ118" s="432"/>
      <c r="BR118" s="433"/>
      <c r="BS118" s="433"/>
      <c r="BT118" s="433"/>
      <c r="BU118" s="424"/>
      <c r="BV118" s="417"/>
      <c r="BW118" s="418"/>
      <c r="BX118" s="424"/>
      <c r="BY118" s="434"/>
      <c r="BZ118" s="434"/>
      <c r="CA118" s="434"/>
      <c r="CB118" s="434"/>
      <c r="CC118" s="434"/>
      <c r="CD118" s="434"/>
      <c r="CE118" s="434"/>
      <c r="CF118" s="435"/>
      <c r="CG118" s="435"/>
      <c r="CH118" s="431"/>
    </row>
    <row r="119" spans="1:86" s="365" customFormat="1">
      <c r="A119" s="407"/>
      <c r="B119" s="408"/>
      <c r="C119" s="470" t="s">
        <v>539</v>
      </c>
      <c r="D119" s="410" t="s">
        <v>540</v>
      </c>
      <c r="E119" s="637" t="s">
        <v>20</v>
      </c>
      <c r="F119" s="411" t="s">
        <v>16</v>
      </c>
      <c r="G119" s="411" t="s">
        <v>27</v>
      </c>
      <c r="H119" s="412" t="s">
        <v>18</v>
      </c>
      <c r="I119" s="428"/>
      <c r="J119" s="414">
        <v>1100000</v>
      </c>
      <c r="K119" s="414"/>
      <c r="L119" s="414">
        <v>1986899</v>
      </c>
      <c r="M119" s="414"/>
      <c r="N119" s="414"/>
      <c r="O119" s="429"/>
      <c r="P119" s="430"/>
      <c r="Q119" s="430"/>
      <c r="R119" s="430"/>
      <c r="S119" s="445"/>
      <c r="T119" s="417"/>
      <c r="U119" s="418"/>
      <c r="V119" s="419"/>
      <c r="W119" s="434"/>
      <c r="X119" s="434"/>
      <c r="Y119" s="434"/>
      <c r="Z119" s="434"/>
      <c r="AA119" s="434"/>
      <c r="AB119" s="434"/>
      <c r="AC119" s="434"/>
      <c r="AD119" s="435"/>
      <c r="AE119" s="435"/>
      <c r="AF119" s="431"/>
      <c r="AG119" s="432"/>
      <c r="AH119" s="433"/>
      <c r="AI119" s="433"/>
      <c r="AJ119" s="433"/>
      <c r="AK119" s="424"/>
      <c r="AL119" s="417"/>
      <c r="AM119" s="418"/>
      <c r="AN119" s="424"/>
      <c r="AO119" s="434"/>
      <c r="AP119" s="434"/>
      <c r="AQ119" s="434"/>
      <c r="AR119" s="434"/>
      <c r="AS119" s="434"/>
      <c r="AT119" s="434"/>
      <c r="AU119" s="434"/>
      <c r="AV119" s="435"/>
      <c r="AW119" s="435"/>
      <c r="AX119" s="431"/>
      <c r="AY119" s="436"/>
      <c r="AZ119" s="430"/>
      <c r="BA119" s="430"/>
      <c r="BB119" s="430"/>
      <c r="BC119" s="424"/>
      <c r="BD119" s="417"/>
      <c r="BE119" s="418"/>
      <c r="BF119" s="424"/>
      <c r="BG119" s="434"/>
      <c r="BH119" s="434"/>
      <c r="BI119" s="434"/>
      <c r="BJ119" s="434"/>
      <c r="BK119" s="434"/>
      <c r="BL119" s="434"/>
      <c r="BM119" s="434"/>
      <c r="BN119" s="435"/>
      <c r="BO119" s="435"/>
      <c r="BP119" s="431"/>
      <c r="BQ119" s="432"/>
      <c r="BR119" s="433"/>
      <c r="BS119" s="433"/>
      <c r="BT119" s="433"/>
      <c r="BU119" s="424"/>
      <c r="BV119" s="417"/>
      <c r="BW119" s="418"/>
      <c r="BX119" s="424"/>
      <c r="BY119" s="434"/>
      <c r="BZ119" s="434"/>
      <c r="CA119" s="434"/>
      <c r="CB119" s="434"/>
      <c r="CC119" s="434"/>
      <c r="CD119" s="434"/>
      <c r="CE119" s="434"/>
      <c r="CF119" s="435"/>
      <c r="CG119" s="435"/>
      <c r="CH119" s="431"/>
    </row>
    <row r="120" spans="1:86" s="365" customFormat="1">
      <c r="A120" s="407"/>
      <c r="B120" s="408"/>
      <c r="C120" s="470" t="s">
        <v>541</v>
      </c>
      <c r="D120" s="410" t="s">
        <v>542</v>
      </c>
      <c r="E120" s="637" t="s">
        <v>15</v>
      </c>
      <c r="F120" s="411" t="s">
        <v>16</v>
      </c>
      <c r="G120" s="411" t="s">
        <v>29</v>
      </c>
      <c r="H120" s="412" t="s">
        <v>23</v>
      </c>
      <c r="I120" s="428"/>
      <c r="J120" s="414">
        <v>69357</v>
      </c>
      <c r="K120" s="414"/>
      <c r="L120" s="414">
        <v>50173</v>
      </c>
      <c r="M120" s="414"/>
      <c r="N120" s="414"/>
      <c r="O120" s="429"/>
      <c r="P120" s="430"/>
      <c r="Q120" s="430"/>
      <c r="R120" s="430"/>
      <c r="S120" s="445"/>
      <c r="T120" s="417"/>
      <c r="U120" s="418"/>
      <c r="V120" s="419"/>
      <c r="W120" s="434"/>
      <c r="X120" s="434"/>
      <c r="Y120" s="434"/>
      <c r="Z120" s="434"/>
      <c r="AA120" s="434"/>
      <c r="AB120" s="434"/>
      <c r="AC120" s="434"/>
      <c r="AD120" s="435"/>
      <c r="AE120" s="435"/>
      <c r="AF120" s="431"/>
      <c r="AG120" s="432"/>
      <c r="AH120" s="433"/>
      <c r="AI120" s="433"/>
      <c r="AJ120" s="433"/>
      <c r="AK120" s="424"/>
      <c r="AL120" s="417"/>
      <c r="AM120" s="418"/>
      <c r="AN120" s="424"/>
      <c r="AO120" s="434"/>
      <c r="AP120" s="434"/>
      <c r="AQ120" s="434"/>
      <c r="AR120" s="434"/>
      <c r="AS120" s="434"/>
      <c r="AT120" s="434"/>
      <c r="AU120" s="434"/>
      <c r="AV120" s="435"/>
      <c r="AW120" s="435"/>
      <c r="AX120" s="431"/>
      <c r="AY120" s="436"/>
      <c r="AZ120" s="430"/>
      <c r="BA120" s="430"/>
      <c r="BB120" s="430"/>
      <c r="BC120" s="424"/>
      <c r="BD120" s="417"/>
      <c r="BE120" s="418"/>
      <c r="BF120" s="424"/>
      <c r="BG120" s="434"/>
      <c r="BH120" s="434"/>
      <c r="BI120" s="434"/>
      <c r="BJ120" s="434"/>
      <c r="BK120" s="434"/>
      <c r="BL120" s="434"/>
      <c r="BM120" s="434"/>
      <c r="BN120" s="435"/>
      <c r="BO120" s="435"/>
      <c r="BP120" s="431"/>
      <c r="BQ120" s="432"/>
      <c r="BR120" s="433"/>
      <c r="BS120" s="433"/>
      <c r="BT120" s="433"/>
      <c r="BU120" s="424"/>
      <c r="BV120" s="417"/>
      <c r="BW120" s="418"/>
      <c r="BX120" s="424"/>
      <c r="BY120" s="434"/>
      <c r="BZ120" s="434"/>
      <c r="CA120" s="434"/>
      <c r="CB120" s="434"/>
      <c r="CC120" s="434"/>
      <c r="CD120" s="434"/>
      <c r="CE120" s="434"/>
      <c r="CF120" s="435"/>
      <c r="CG120" s="435"/>
      <c r="CH120" s="431"/>
    </row>
    <row r="121" spans="1:86" s="365" customFormat="1">
      <c r="A121" s="407"/>
      <c r="B121" s="408"/>
      <c r="C121" s="470" t="s">
        <v>543</v>
      </c>
      <c r="D121" s="410" t="s">
        <v>544</v>
      </c>
      <c r="E121" s="637" t="s">
        <v>15</v>
      </c>
      <c r="F121" s="411" t="s">
        <v>16</v>
      </c>
      <c r="G121" s="411" t="s">
        <v>29</v>
      </c>
      <c r="H121" s="412" t="s">
        <v>23</v>
      </c>
      <c r="I121" s="428"/>
      <c r="J121" s="414">
        <v>329015</v>
      </c>
      <c r="K121" s="414"/>
      <c r="L121" s="414">
        <v>167485</v>
      </c>
      <c r="M121" s="414"/>
      <c r="N121" s="414"/>
      <c r="O121" s="429"/>
      <c r="P121" s="430"/>
      <c r="Q121" s="430"/>
      <c r="R121" s="430"/>
      <c r="S121" s="445"/>
      <c r="T121" s="417"/>
      <c r="U121" s="418"/>
      <c r="V121" s="419"/>
      <c r="W121" s="434"/>
      <c r="X121" s="434"/>
      <c r="Y121" s="434"/>
      <c r="Z121" s="434"/>
      <c r="AA121" s="434"/>
      <c r="AB121" s="434"/>
      <c r="AC121" s="434"/>
      <c r="AD121" s="435"/>
      <c r="AE121" s="435"/>
      <c r="AF121" s="431"/>
      <c r="AG121" s="432"/>
      <c r="AH121" s="433"/>
      <c r="AI121" s="433"/>
      <c r="AJ121" s="433"/>
      <c r="AK121" s="424"/>
      <c r="AL121" s="417"/>
      <c r="AM121" s="418"/>
      <c r="AN121" s="424"/>
      <c r="AO121" s="434"/>
      <c r="AP121" s="434"/>
      <c r="AQ121" s="434"/>
      <c r="AR121" s="434"/>
      <c r="AS121" s="434"/>
      <c r="AT121" s="434"/>
      <c r="AU121" s="434"/>
      <c r="AV121" s="435"/>
      <c r="AW121" s="435"/>
      <c r="AX121" s="431"/>
      <c r="AY121" s="436"/>
      <c r="AZ121" s="430"/>
      <c r="BA121" s="430"/>
      <c r="BB121" s="430"/>
      <c r="BC121" s="424"/>
      <c r="BD121" s="417"/>
      <c r="BE121" s="418"/>
      <c r="BF121" s="424"/>
      <c r="BG121" s="434"/>
      <c r="BH121" s="434"/>
      <c r="BI121" s="434"/>
      <c r="BJ121" s="434"/>
      <c r="BK121" s="434"/>
      <c r="BL121" s="434"/>
      <c r="BM121" s="434"/>
      <c r="BN121" s="435"/>
      <c r="BO121" s="435"/>
      <c r="BP121" s="431"/>
      <c r="BQ121" s="432"/>
      <c r="BR121" s="433"/>
      <c r="BS121" s="433"/>
      <c r="BT121" s="433"/>
      <c r="BU121" s="424"/>
      <c r="BV121" s="417"/>
      <c r="BW121" s="418"/>
      <c r="BX121" s="424"/>
      <c r="BY121" s="434"/>
      <c r="BZ121" s="434"/>
      <c r="CA121" s="434"/>
      <c r="CB121" s="434"/>
      <c r="CC121" s="434"/>
      <c r="CD121" s="434"/>
      <c r="CE121" s="434"/>
      <c r="CF121" s="435"/>
      <c r="CG121" s="435"/>
      <c r="CH121" s="431"/>
    </row>
    <row r="122" spans="1:86" s="365" customFormat="1">
      <c r="A122" s="407"/>
      <c r="B122" s="408"/>
      <c r="C122" s="470" t="s">
        <v>545</v>
      </c>
      <c r="D122" s="410" t="s">
        <v>546</v>
      </c>
      <c r="E122" s="637" t="s">
        <v>15</v>
      </c>
      <c r="F122" s="411" t="s">
        <v>16</v>
      </c>
      <c r="G122" s="411" t="s">
        <v>29</v>
      </c>
      <c r="H122" s="412" t="s">
        <v>23</v>
      </c>
      <c r="I122" s="428"/>
      <c r="J122" s="414">
        <v>387329</v>
      </c>
      <c r="K122" s="414"/>
      <c r="L122" s="414">
        <v>220945</v>
      </c>
      <c r="M122" s="414"/>
      <c r="N122" s="414"/>
      <c r="O122" s="429"/>
      <c r="P122" s="430"/>
      <c r="Q122" s="430"/>
      <c r="R122" s="430"/>
      <c r="S122" s="445"/>
      <c r="T122" s="417"/>
      <c r="U122" s="418"/>
      <c r="V122" s="419"/>
      <c r="W122" s="434"/>
      <c r="X122" s="434"/>
      <c r="Y122" s="434"/>
      <c r="Z122" s="434"/>
      <c r="AA122" s="434"/>
      <c r="AB122" s="434"/>
      <c r="AC122" s="434"/>
      <c r="AD122" s="435"/>
      <c r="AE122" s="435"/>
      <c r="AF122" s="431"/>
      <c r="AG122" s="432"/>
      <c r="AH122" s="433"/>
      <c r="AI122" s="433"/>
      <c r="AJ122" s="433"/>
      <c r="AK122" s="424"/>
      <c r="AL122" s="417"/>
      <c r="AM122" s="418"/>
      <c r="AN122" s="424"/>
      <c r="AO122" s="434"/>
      <c r="AP122" s="434"/>
      <c r="AQ122" s="434"/>
      <c r="AR122" s="434"/>
      <c r="AS122" s="434"/>
      <c r="AT122" s="434"/>
      <c r="AU122" s="434"/>
      <c r="AV122" s="435"/>
      <c r="AW122" s="435"/>
      <c r="AX122" s="431"/>
      <c r="AY122" s="436"/>
      <c r="AZ122" s="430"/>
      <c r="BA122" s="430"/>
      <c r="BB122" s="430"/>
      <c r="BC122" s="424"/>
      <c r="BD122" s="417"/>
      <c r="BE122" s="418"/>
      <c r="BF122" s="424"/>
      <c r="BG122" s="434"/>
      <c r="BH122" s="434"/>
      <c r="BI122" s="434"/>
      <c r="BJ122" s="434"/>
      <c r="BK122" s="434"/>
      <c r="BL122" s="434"/>
      <c r="BM122" s="434"/>
      <c r="BN122" s="435"/>
      <c r="BO122" s="435"/>
      <c r="BP122" s="431"/>
      <c r="BQ122" s="432"/>
      <c r="BR122" s="433"/>
      <c r="BS122" s="433"/>
      <c r="BT122" s="433"/>
      <c r="BU122" s="424"/>
      <c r="BV122" s="417"/>
      <c r="BW122" s="418"/>
      <c r="BX122" s="424"/>
      <c r="BY122" s="434"/>
      <c r="BZ122" s="434"/>
      <c r="CA122" s="434"/>
      <c r="CB122" s="434"/>
      <c r="CC122" s="434"/>
      <c r="CD122" s="434"/>
      <c r="CE122" s="434"/>
      <c r="CF122" s="435"/>
      <c r="CG122" s="435"/>
      <c r="CH122" s="431"/>
    </row>
    <row r="123" spans="1:86" s="365" customFormat="1">
      <c r="A123" s="407"/>
      <c r="B123" s="408"/>
      <c r="C123" s="470" t="s">
        <v>547</v>
      </c>
      <c r="D123" s="410" t="s">
        <v>548</v>
      </c>
      <c r="E123" s="637" t="s">
        <v>15</v>
      </c>
      <c r="F123" s="411" t="s">
        <v>16</v>
      </c>
      <c r="G123" s="411" t="s">
        <v>28</v>
      </c>
      <c r="H123" s="412" t="s">
        <v>28</v>
      </c>
      <c r="I123" s="428"/>
      <c r="J123" s="414">
        <v>582000</v>
      </c>
      <c r="K123" s="414"/>
      <c r="L123" s="414">
        <v>88247</v>
      </c>
      <c r="M123" s="414"/>
      <c r="N123" s="414"/>
      <c r="O123" s="429"/>
      <c r="P123" s="430"/>
      <c r="Q123" s="430"/>
      <c r="R123" s="430"/>
      <c r="S123" s="445"/>
      <c r="T123" s="417"/>
      <c r="U123" s="418"/>
      <c r="V123" s="419"/>
      <c r="W123" s="434"/>
      <c r="X123" s="434"/>
      <c r="Y123" s="434"/>
      <c r="Z123" s="434"/>
      <c r="AA123" s="434"/>
      <c r="AB123" s="434"/>
      <c r="AC123" s="434"/>
      <c r="AD123" s="435"/>
      <c r="AE123" s="435"/>
      <c r="AF123" s="431"/>
      <c r="AG123" s="432"/>
      <c r="AH123" s="433"/>
      <c r="AI123" s="433"/>
      <c r="AJ123" s="433"/>
      <c r="AK123" s="424"/>
      <c r="AL123" s="417"/>
      <c r="AM123" s="418"/>
      <c r="AN123" s="424"/>
      <c r="AO123" s="434"/>
      <c r="AP123" s="434"/>
      <c r="AQ123" s="434"/>
      <c r="AR123" s="434"/>
      <c r="AS123" s="434"/>
      <c r="AT123" s="434"/>
      <c r="AU123" s="434"/>
      <c r="AV123" s="435"/>
      <c r="AW123" s="435"/>
      <c r="AX123" s="431"/>
      <c r="AY123" s="436"/>
      <c r="AZ123" s="430"/>
      <c r="BA123" s="430"/>
      <c r="BB123" s="430"/>
      <c r="BC123" s="424"/>
      <c r="BD123" s="417"/>
      <c r="BE123" s="418"/>
      <c r="BF123" s="424"/>
      <c r="BG123" s="434"/>
      <c r="BH123" s="434"/>
      <c r="BI123" s="434"/>
      <c r="BJ123" s="434"/>
      <c r="BK123" s="434"/>
      <c r="BL123" s="434"/>
      <c r="BM123" s="434"/>
      <c r="BN123" s="435"/>
      <c r="BO123" s="435"/>
      <c r="BP123" s="431"/>
      <c r="BQ123" s="432"/>
      <c r="BR123" s="433"/>
      <c r="BS123" s="433"/>
      <c r="BT123" s="433"/>
      <c r="BU123" s="424"/>
      <c r="BV123" s="417"/>
      <c r="BW123" s="418"/>
      <c r="BX123" s="424"/>
      <c r="BY123" s="434"/>
      <c r="BZ123" s="434"/>
      <c r="CA123" s="434"/>
      <c r="CB123" s="434"/>
      <c r="CC123" s="434"/>
      <c r="CD123" s="434"/>
      <c r="CE123" s="434"/>
      <c r="CF123" s="435"/>
      <c r="CG123" s="435"/>
      <c r="CH123" s="431"/>
    </row>
    <row r="124" spans="1:86" s="365" customFormat="1">
      <c r="A124" s="407"/>
      <c r="B124" s="408"/>
      <c r="C124" s="470" t="s">
        <v>549</v>
      </c>
      <c r="D124" s="410" t="s">
        <v>550</v>
      </c>
      <c r="E124" s="637" t="s">
        <v>15</v>
      </c>
      <c r="F124" s="411" t="s">
        <v>16</v>
      </c>
      <c r="G124" s="411" t="s">
        <v>28</v>
      </c>
      <c r="H124" s="412" t="s">
        <v>28</v>
      </c>
      <c r="I124" s="428"/>
      <c r="J124" s="414">
        <v>143000</v>
      </c>
      <c r="K124" s="414"/>
      <c r="L124" s="414">
        <v>14537</v>
      </c>
      <c r="M124" s="414"/>
      <c r="N124" s="414"/>
      <c r="O124" s="429"/>
      <c r="P124" s="430"/>
      <c r="Q124" s="430"/>
      <c r="R124" s="430"/>
      <c r="S124" s="445"/>
      <c r="T124" s="417"/>
      <c r="U124" s="418"/>
      <c r="V124" s="419"/>
      <c r="W124" s="434"/>
      <c r="X124" s="434"/>
      <c r="Y124" s="434"/>
      <c r="Z124" s="434"/>
      <c r="AA124" s="434"/>
      <c r="AB124" s="434"/>
      <c r="AC124" s="434"/>
      <c r="AD124" s="435"/>
      <c r="AE124" s="435"/>
      <c r="AF124" s="431"/>
      <c r="AG124" s="432"/>
      <c r="AH124" s="433"/>
      <c r="AI124" s="433"/>
      <c r="AJ124" s="433"/>
      <c r="AK124" s="424"/>
      <c r="AL124" s="417"/>
      <c r="AM124" s="418"/>
      <c r="AN124" s="424"/>
      <c r="AO124" s="434"/>
      <c r="AP124" s="434"/>
      <c r="AQ124" s="434"/>
      <c r="AR124" s="434"/>
      <c r="AS124" s="434"/>
      <c r="AT124" s="434"/>
      <c r="AU124" s="434"/>
      <c r="AV124" s="435"/>
      <c r="AW124" s="435"/>
      <c r="AX124" s="431"/>
      <c r="AY124" s="436"/>
      <c r="AZ124" s="430"/>
      <c r="BA124" s="430"/>
      <c r="BB124" s="430"/>
      <c r="BC124" s="424"/>
      <c r="BD124" s="417"/>
      <c r="BE124" s="418"/>
      <c r="BF124" s="424"/>
      <c r="BG124" s="434"/>
      <c r="BH124" s="434"/>
      <c r="BI124" s="434"/>
      <c r="BJ124" s="434"/>
      <c r="BK124" s="434"/>
      <c r="BL124" s="434"/>
      <c r="BM124" s="434"/>
      <c r="BN124" s="435"/>
      <c r="BO124" s="435"/>
      <c r="BP124" s="431"/>
      <c r="BQ124" s="432"/>
      <c r="BR124" s="433"/>
      <c r="BS124" s="433"/>
      <c r="BT124" s="433"/>
      <c r="BU124" s="424"/>
      <c r="BV124" s="417"/>
      <c r="BW124" s="418"/>
      <c r="BX124" s="424"/>
      <c r="BY124" s="434"/>
      <c r="BZ124" s="434"/>
      <c r="CA124" s="434"/>
      <c r="CB124" s="434"/>
      <c r="CC124" s="434"/>
      <c r="CD124" s="434"/>
      <c r="CE124" s="434"/>
      <c r="CF124" s="435"/>
      <c r="CG124" s="435"/>
      <c r="CH124" s="431"/>
    </row>
    <row r="125" spans="1:86" s="365" customFormat="1">
      <c r="A125" s="407"/>
      <c r="B125" s="408"/>
      <c r="C125" s="470" t="s">
        <v>551</v>
      </c>
      <c r="D125" s="410" t="s">
        <v>552</v>
      </c>
      <c r="E125" s="637" t="s">
        <v>15</v>
      </c>
      <c r="F125" s="411" t="s">
        <v>16</v>
      </c>
      <c r="G125" s="411" t="s">
        <v>28</v>
      </c>
      <c r="H125" s="412" t="s">
        <v>28</v>
      </c>
      <c r="I125" s="428"/>
      <c r="J125" s="414">
        <v>310000</v>
      </c>
      <c r="K125" s="414"/>
      <c r="L125" s="414">
        <v>42465</v>
      </c>
      <c r="M125" s="414"/>
      <c r="N125" s="414"/>
      <c r="O125" s="429"/>
      <c r="P125" s="430"/>
      <c r="Q125" s="430"/>
      <c r="R125" s="430"/>
      <c r="S125" s="445"/>
      <c r="T125" s="417"/>
      <c r="U125" s="418"/>
      <c r="V125" s="419"/>
      <c r="W125" s="434"/>
      <c r="X125" s="434"/>
      <c r="Y125" s="434"/>
      <c r="Z125" s="434"/>
      <c r="AA125" s="434"/>
      <c r="AB125" s="434"/>
      <c r="AC125" s="434"/>
      <c r="AD125" s="435"/>
      <c r="AE125" s="435"/>
      <c r="AF125" s="431"/>
      <c r="AG125" s="432"/>
      <c r="AH125" s="433"/>
      <c r="AI125" s="433"/>
      <c r="AJ125" s="433"/>
      <c r="AK125" s="424"/>
      <c r="AL125" s="417"/>
      <c r="AM125" s="418"/>
      <c r="AN125" s="424"/>
      <c r="AO125" s="434"/>
      <c r="AP125" s="434"/>
      <c r="AQ125" s="434"/>
      <c r="AR125" s="434"/>
      <c r="AS125" s="434"/>
      <c r="AT125" s="434"/>
      <c r="AU125" s="434"/>
      <c r="AV125" s="435"/>
      <c r="AW125" s="435"/>
      <c r="AX125" s="431"/>
      <c r="AY125" s="436"/>
      <c r="AZ125" s="430"/>
      <c r="BA125" s="430"/>
      <c r="BB125" s="430"/>
      <c r="BC125" s="424"/>
      <c r="BD125" s="417"/>
      <c r="BE125" s="418"/>
      <c r="BF125" s="424"/>
      <c r="BG125" s="434"/>
      <c r="BH125" s="434"/>
      <c r="BI125" s="434"/>
      <c r="BJ125" s="434"/>
      <c r="BK125" s="434"/>
      <c r="BL125" s="434"/>
      <c r="BM125" s="434"/>
      <c r="BN125" s="435"/>
      <c r="BO125" s="435"/>
      <c r="BP125" s="431"/>
      <c r="BQ125" s="432"/>
      <c r="BR125" s="433"/>
      <c r="BS125" s="433"/>
      <c r="BT125" s="433"/>
      <c r="BU125" s="424"/>
      <c r="BV125" s="417"/>
      <c r="BW125" s="418"/>
      <c r="BX125" s="424"/>
      <c r="BY125" s="434"/>
      <c r="BZ125" s="434"/>
      <c r="CA125" s="434"/>
      <c r="CB125" s="434"/>
      <c r="CC125" s="434"/>
      <c r="CD125" s="434"/>
      <c r="CE125" s="434"/>
      <c r="CF125" s="435"/>
      <c r="CG125" s="435"/>
      <c r="CH125" s="431"/>
    </row>
    <row r="126" spans="1:86" s="365" customFormat="1">
      <c r="A126" s="407"/>
      <c r="B126" s="408"/>
      <c r="C126" s="470" t="s">
        <v>553</v>
      </c>
      <c r="D126" s="410" t="s">
        <v>554</v>
      </c>
      <c r="E126" s="637" t="s">
        <v>15</v>
      </c>
      <c r="F126" s="411" t="s">
        <v>16</v>
      </c>
      <c r="G126" s="411" t="s">
        <v>32</v>
      </c>
      <c r="H126" s="412" t="s">
        <v>23</v>
      </c>
      <c r="I126" s="428"/>
      <c r="J126" s="414">
        <v>291000</v>
      </c>
      <c r="K126" s="414"/>
      <c r="L126" s="414">
        <v>258852</v>
      </c>
      <c r="M126" s="414"/>
      <c r="N126" s="414"/>
      <c r="O126" s="429"/>
      <c r="P126" s="430"/>
      <c r="Q126" s="430"/>
      <c r="R126" s="430"/>
      <c r="S126" s="445"/>
      <c r="T126" s="417"/>
      <c r="U126" s="418"/>
      <c r="V126" s="419"/>
      <c r="W126" s="434"/>
      <c r="X126" s="434"/>
      <c r="Y126" s="434"/>
      <c r="Z126" s="434"/>
      <c r="AA126" s="434"/>
      <c r="AB126" s="434"/>
      <c r="AC126" s="434"/>
      <c r="AD126" s="435"/>
      <c r="AE126" s="435"/>
      <c r="AF126" s="431"/>
      <c r="AG126" s="432"/>
      <c r="AH126" s="433"/>
      <c r="AI126" s="433"/>
      <c r="AJ126" s="433"/>
      <c r="AK126" s="424"/>
      <c r="AL126" s="417"/>
      <c r="AM126" s="418"/>
      <c r="AN126" s="424"/>
      <c r="AO126" s="434"/>
      <c r="AP126" s="434"/>
      <c r="AQ126" s="434"/>
      <c r="AR126" s="434"/>
      <c r="AS126" s="434"/>
      <c r="AT126" s="434"/>
      <c r="AU126" s="434"/>
      <c r="AV126" s="435"/>
      <c r="AW126" s="435"/>
      <c r="AX126" s="431"/>
      <c r="AY126" s="436"/>
      <c r="AZ126" s="430"/>
      <c r="BA126" s="430"/>
      <c r="BB126" s="430"/>
      <c r="BC126" s="424"/>
      <c r="BD126" s="417"/>
      <c r="BE126" s="418"/>
      <c r="BF126" s="424"/>
      <c r="BG126" s="434"/>
      <c r="BH126" s="434"/>
      <c r="BI126" s="434"/>
      <c r="BJ126" s="434"/>
      <c r="BK126" s="434"/>
      <c r="BL126" s="434"/>
      <c r="BM126" s="434"/>
      <c r="BN126" s="435"/>
      <c r="BO126" s="435"/>
      <c r="BP126" s="431"/>
      <c r="BQ126" s="432"/>
      <c r="BR126" s="433"/>
      <c r="BS126" s="433"/>
      <c r="BT126" s="433"/>
      <c r="BU126" s="424"/>
      <c r="BV126" s="417"/>
      <c r="BW126" s="418"/>
      <c r="BX126" s="424"/>
      <c r="BY126" s="434"/>
      <c r="BZ126" s="434"/>
      <c r="CA126" s="434"/>
      <c r="CB126" s="434"/>
      <c r="CC126" s="434"/>
      <c r="CD126" s="434"/>
      <c r="CE126" s="434"/>
      <c r="CF126" s="435"/>
      <c r="CG126" s="435"/>
      <c r="CH126" s="431"/>
    </row>
    <row r="127" spans="1:86" s="365" customFormat="1">
      <c r="A127" s="407"/>
      <c r="B127" s="408"/>
      <c r="C127" s="470" t="s">
        <v>555</v>
      </c>
      <c r="D127" s="410" t="s">
        <v>556</v>
      </c>
      <c r="E127" s="637" t="s">
        <v>15</v>
      </c>
      <c r="F127" s="411" t="s">
        <v>21</v>
      </c>
      <c r="G127" s="411" t="s">
        <v>30</v>
      </c>
      <c r="H127" s="412" t="s">
        <v>23</v>
      </c>
      <c r="I127" s="428"/>
      <c r="J127" s="414">
        <v>190570</v>
      </c>
      <c r="K127" s="414"/>
      <c r="L127" s="414">
        <v>55288</v>
      </c>
      <c r="M127" s="414"/>
      <c r="N127" s="414"/>
      <c r="O127" s="429"/>
      <c r="P127" s="430"/>
      <c r="Q127" s="430"/>
      <c r="R127" s="430"/>
      <c r="S127" s="445"/>
      <c r="T127" s="417"/>
      <c r="U127" s="418"/>
      <c r="V127" s="419"/>
      <c r="W127" s="434"/>
      <c r="X127" s="434"/>
      <c r="Y127" s="434"/>
      <c r="Z127" s="434"/>
      <c r="AA127" s="434"/>
      <c r="AB127" s="434"/>
      <c r="AC127" s="434"/>
      <c r="AD127" s="435"/>
      <c r="AE127" s="435"/>
      <c r="AF127" s="431"/>
      <c r="AG127" s="432"/>
      <c r="AH127" s="433"/>
      <c r="AI127" s="433"/>
      <c r="AJ127" s="433"/>
      <c r="AK127" s="424"/>
      <c r="AL127" s="417"/>
      <c r="AM127" s="418"/>
      <c r="AN127" s="424"/>
      <c r="AO127" s="434"/>
      <c r="AP127" s="434"/>
      <c r="AQ127" s="434"/>
      <c r="AR127" s="434"/>
      <c r="AS127" s="434"/>
      <c r="AT127" s="434"/>
      <c r="AU127" s="434"/>
      <c r="AV127" s="435"/>
      <c r="AW127" s="435"/>
      <c r="AX127" s="431"/>
      <c r="AY127" s="436"/>
      <c r="AZ127" s="430"/>
      <c r="BA127" s="430"/>
      <c r="BB127" s="430"/>
      <c r="BC127" s="424"/>
      <c r="BD127" s="417"/>
      <c r="BE127" s="418"/>
      <c r="BF127" s="424"/>
      <c r="BG127" s="434"/>
      <c r="BH127" s="434"/>
      <c r="BI127" s="434"/>
      <c r="BJ127" s="434"/>
      <c r="BK127" s="434"/>
      <c r="BL127" s="434"/>
      <c r="BM127" s="434"/>
      <c r="BN127" s="435"/>
      <c r="BO127" s="435"/>
      <c r="BP127" s="431"/>
      <c r="BQ127" s="432"/>
      <c r="BR127" s="433"/>
      <c r="BS127" s="433"/>
      <c r="BT127" s="433"/>
      <c r="BU127" s="424"/>
      <c r="BV127" s="417"/>
      <c r="BW127" s="418"/>
      <c r="BX127" s="424"/>
      <c r="BY127" s="434"/>
      <c r="BZ127" s="434"/>
      <c r="CA127" s="434"/>
      <c r="CB127" s="434"/>
      <c r="CC127" s="434"/>
      <c r="CD127" s="434"/>
      <c r="CE127" s="434"/>
      <c r="CF127" s="435"/>
      <c r="CG127" s="435"/>
      <c r="CH127" s="431"/>
    </row>
    <row r="128" spans="1:86" s="365" customFormat="1">
      <c r="A128" s="407"/>
      <c r="B128" s="408"/>
      <c r="C128" s="470" t="s">
        <v>557</v>
      </c>
      <c r="D128" s="410" t="s">
        <v>558</v>
      </c>
      <c r="E128" s="637" t="s">
        <v>15</v>
      </c>
      <c r="F128" s="411" t="s">
        <v>21</v>
      </c>
      <c r="G128" s="411" t="s">
        <v>30</v>
      </c>
      <c r="H128" s="412" t="s">
        <v>23</v>
      </c>
      <c r="I128" s="428"/>
      <c r="J128" s="414">
        <v>240103</v>
      </c>
      <c r="K128" s="414"/>
      <c r="L128" s="414">
        <v>105248</v>
      </c>
      <c r="M128" s="414"/>
      <c r="N128" s="414"/>
      <c r="O128" s="429"/>
      <c r="P128" s="430"/>
      <c r="Q128" s="430"/>
      <c r="R128" s="430"/>
      <c r="S128" s="445"/>
      <c r="T128" s="417"/>
      <c r="U128" s="418"/>
      <c r="V128" s="419"/>
      <c r="W128" s="434"/>
      <c r="X128" s="434"/>
      <c r="Y128" s="434"/>
      <c r="Z128" s="434"/>
      <c r="AA128" s="434"/>
      <c r="AB128" s="434"/>
      <c r="AC128" s="434"/>
      <c r="AD128" s="435"/>
      <c r="AE128" s="435"/>
      <c r="AF128" s="431"/>
      <c r="AG128" s="432"/>
      <c r="AH128" s="433"/>
      <c r="AI128" s="433"/>
      <c r="AJ128" s="433"/>
      <c r="AK128" s="424"/>
      <c r="AL128" s="417"/>
      <c r="AM128" s="418"/>
      <c r="AN128" s="424"/>
      <c r="AO128" s="434"/>
      <c r="AP128" s="434"/>
      <c r="AQ128" s="434"/>
      <c r="AR128" s="434"/>
      <c r="AS128" s="434"/>
      <c r="AT128" s="434"/>
      <c r="AU128" s="434"/>
      <c r="AV128" s="435"/>
      <c r="AW128" s="435"/>
      <c r="AX128" s="431"/>
      <c r="AY128" s="436"/>
      <c r="AZ128" s="430"/>
      <c r="BA128" s="430"/>
      <c r="BB128" s="430"/>
      <c r="BC128" s="424"/>
      <c r="BD128" s="417"/>
      <c r="BE128" s="418"/>
      <c r="BF128" s="424"/>
      <c r="BG128" s="434"/>
      <c r="BH128" s="434"/>
      <c r="BI128" s="434"/>
      <c r="BJ128" s="434"/>
      <c r="BK128" s="434"/>
      <c r="BL128" s="434"/>
      <c r="BM128" s="434"/>
      <c r="BN128" s="435"/>
      <c r="BO128" s="435"/>
      <c r="BP128" s="431"/>
      <c r="BQ128" s="432"/>
      <c r="BR128" s="433"/>
      <c r="BS128" s="433"/>
      <c r="BT128" s="433"/>
      <c r="BU128" s="424"/>
      <c r="BV128" s="417"/>
      <c r="BW128" s="418"/>
      <c r="BX128" s="424"/>
      <c r="BY128" s="434"/>
      <c r="BZ128" s="434"/>
      <c r="CA128" s="434"/>
      <c r="CB128" s="434"/>
      <c r="CC128" s="434"/>
      <c r="CD128" s="434"/>
      <c r="CE128" s="434"/>
      <c r="CF128" s="435"/>
      <c r="CG128" s="435"/>
      <c r="CH128" s="431"/>
    </row>
    <row r="129" spans="1:86" s="365" customFormat="1">
      <c r="A129" s="407"/>
      <c r="B129" s="408"/>
      <c r="C129" s="470" t="s">
        <v>559</v>
      </c>
      <c r="D129" s="410" t="s">
        <v>560</v>
      </c>
      <c r="E129" s="637" t="s">
        <v>15</v>
      </c>
      <c r="F129" s="411" t="s">
        <v>21</v>
      </c>
      <c r="G129" s="411" t="s">
        <v>30</v>
      </c>
      <c r="H129" s="412" t="s">
        <v>23</v>
      </c>
      <c r="I129" s="428"/>
      <c r="J129" s="414">
        <v>308179</v>
      </c>
      <c r="K129" s="414"/>
      <c r="L129" s="414">
        <v>129474</v>
      </c>
      <c r="M129" s="414"/>
      <c r="N129" s="414"/>
      <c r="O129" s="429"/>
      <c r="P129" s="430"/>
      <c r="Q129" s="430"/>
      <c r="R129" s="430"/>
      <c r="S129" s="445"/>
      <c r="T129" s="417"/>
      <c r="U129" s="418"/>
      <c r="V129" s="419"/>
      <c r="W129" s="434"/>
      <c r="X129" s="434"/>
      <c r="Y129" s="434"/>
      <c r="Z129" s="434"/>
      <c r="AA129" s="434"/>
      <c r="AB129" s="434"/>
      <c r="AC129" s="434"/>
      <c r="AD129" s="435"/>
      <c r="AE129" s="435"/>
      <c r="AF129" s="431"/>
      <c r="AG129" s="432"/>
      <c r="AH129" s="433"/>
      <c r="AI129" s="433"/>
      <c r="AJ129" s="433"/>
      <c r="AK129" s="424"/>
      <c r="AL129" s="417"/>
      <c r="AM129" s="418"/>
      <c r="AN129" s="424"/>
      <c r="AO129" s="434"/>
      <c r="AP129" s="434"/>
      <c r="AQ129" s="434"/>
      <c r="AR129" s="434"/>
      <c r="AS129" s="434"/>
      <c r="AT129" s="434"/>
      <c r="AU129" s="434"/>
      <c r="AV129" s="435"/>
      <c r="AW129" s="435"/>
      <c r="AX129" s="431"/>
      <c r="AY129" s="436"/>
      <c r="AZ129" s="430"/>
      <c r="BA129" s="430"/>
      <c r="BB129" s="430"/>
      <c r="BC129" s="424"/>
      <c r="BD129" s="417"/>
      <c r="BE129" s="418"/>
      <c r="BF129" s="424"/>
      <c r="BG129" s="434"/>
      <c r="BH129" s="434"/>
      <c r="BI129" s="434"/>
      <c r="BJ129" s="434"/>
      <c r="BK129" s="434"/>
      <c r="BL129" s="434"/>
      <c r="BM129" s="434"/>
      <c r="BN129" s="435"/>
      <c r="BO129" s="435"/>
      <c r="BP129" s="431"/>
      <c r="BQ129" s="432"/>
      <c r="BR129" s="433"/>
      <c r="BS129" s="433"/>
      <c r="BT129" s="433"/>
      <c r="BU129" s="424"/>
      <c r="BV129" s="417"/>
      <c r="BW129" s="418"/>
      <c r="BX129" s="424"/>
      <c r="BY129" s="434"/>
      <c r="BZ129" s="434"/>
      <c r="CA129" s="434"/>
      <c r="CB129" s="434"/>
      <c r="CC129" s="434"/>
      <c r="CD129" s="434"/>
      <c r="CE129" s="434"/>
      <c r="CF129" s="435"/>
      <c r="CG129" s="435"/>
      <c r="CH129" s="431"/>
    </row>
    <row r="130" spans="1:86" s="365" customFormat="1">
      <c r="A130" s="407"/>
      <c r="B130" s="408"/>
      <c r="C130" s="470" t="s">
        <v>561</v>
      </c>
      <c r="D130" s="410" t="s">
        <v>562</v>
      </c>
      <c r="E130" s="637" t="s">
        <v>15</v>
      </c>
      <c r="F130" s="411" t="s">
        <v>21</v>
      </c>
      <c r="G130" s="411" t="s">
        <v>30</v>
      </c>
      <c r="H130" s="412" t="s">
        <v>23</v>
      </c>
      <c r="I130" s="428"/>
      <c r="J130" s="414">
        <v>196139</v>
      </c>
      <c r="K130" s="414"/>
      <c r="L130" s="414">
        <v>55415</v>
      </c>
      <c r="M130" s="414"/>
      <c r="N130" s="414"/>
      <c r="O130" s="429"/>
      <c r="P130" s="430"/>
      <c r="Q130" s="430"/>
      <c r="R130" s="430"/>
      <c r="S130" s="445"/>
      <c r="T130" s="417"/>
      <c r="U130" s="418"/>
      <c r="V130" s="419"/>
      <c r="W130" s="434"/>
      <c r="X130" s="434"/>
      <c r="Y130" s="434"/>
      <c r="Z130" s="434"/>
      <c r="AA130" s="434"/>
      <c r="AB130" s="434"/>
      <c r="AC130" s="434"/>
      <c r="AD130" s="435"/>
      <c r="AE130" s="435"/>
      <c r="AF130" s="431"/>
      <c r="AG130" s="432"/>
      <c r="AH130" s="433"/>
      <c r="AI130" s="433"/>
      <c r="AJ130" s="433"/>
      <c r="AK130" s="424"/>
      <c r="AL130" s="417"/>
      <c r="AM130" s="418"/>
      <c r="AN130" s="424"/>
      <c r="AO130" s="434"/>
      <c r="AP130" s="434"/>
      <c r="AQ130" s="434"/>
      <c r="AR130" s="434"/>
      <c r="AS130" s="434"/>
      <c r="AT130" s="434"/>
      <c r="AU130" s="434"/>
      <c r="AV130" s="435"/>
      <c r="AW130" s="435"/>
      <c r="AX130" s="431"/>
      <c r="AY130" s="436"/>
      <c r="AZ130" s="430"/>
      <c r="BA130" s="430"/>
      <c r="BB130" s="430"/>
      <c r="BC130" s="424"/>
      <c r="BD130" s="417"/>
      <c r="BE130" s="418"/>
      <c r="BF130" s="424"/>
      <c r="BG130" s="434"/>
      <c r="BH130" s="434"/>
      <c r="BI130" s="434"/>
      <c r="BJ130" s="434"/>
      <c r="BK130" s="434"/>
      <c r="BL130" s="434"/>
      <c r="BM130" s="434"/>
      <c r="BN130" s="435"/>
      <c r="BO130" s="435"/>
      <c r="BP130" s="431"/>
      <c r="BQ130" s="432"/>
      <c r="BR130" s="433"/>
      <c r="BS130" s="433"/>
      <c r="BT130" s="433"/>
      <c r="BU130" s="424"/>
      <c r="BV130" s="417"/>
      <c r="BW130" s="418"/>
      <c r="BX130" s="424"/>
      <c r="BY130" s="434"/>
      <c r="BZ130" s="434"/>
      <c r="CA130" s="434"/>
      <c r="CB130" s="434"/>
      <c r="CC130" s="434"/>
      <c r="CD130" s="434"/>
      <c r="CE130" s="434"/>
      <c r="CF130" s="435"/>
      <c r="CG130" s="435"/>
      <c r="CH130" s="431"/>
    </row>
    <row r="131" spans="1:86" s="365" customFormat="1">
      <c r="A131" s="407"/>
      <c r="B131" s="408"/>
      <c r="C131" s="470" t="s">
        <v>563</v>
      </c>
      <c r="D131" s="410" t="s">
        <v>564</v>
      </c>
      <c r="E131" s="637" t="s">
        <v>15</v>
      </c>
      <c r="F131" s="411" t="s">
        <v>21</v>
      </c>
      <c r="G131" s="411" t="s">
        <v>30</v>
      </c>
      <c r="H131" s="412" t="s">
        <v>23</v>
      </c>
      <c r="I131" s="428"/>
      <c r="J131" s="414">
        <v>180107</v>
      </c>
      <c r="K131" s="414"/>
      <c r="L131" s="414">
        <v>87680</v>
      </c>
      <c r="M131" s="414"/>
      <c r="N131" s="414"/>
      <c r="O131" s="429"/>
      <c r="P131" s="430"/>
      <c r="Q131" s="430"/>
      <c r="R131" s="430"/>
      <c r="S131" s="445"/>
      <c r="T131" s="417"/>
      <c r="U131" s="418"/>
      <c r="V131" s="419"/>
      <c r="W131" s="434"/>
      <c r="X131" s="434"/>
      <c r="Y131" s="434"/>
      <c r="Z131" s="434"/>
      <c r="AA131" s="434"/>
      <c r="AB131" s="434"/>
      <c r="AC131" s="434"/>
      <c r="AD131" s="435"/>
      <c r="AE131" s="435"/>
      <c r="AF131" s="431"/>
      <c r="AG131" s="432"/>
      <c r="AH131" s="433"/>
      <c r="AI131" s="433"/>
      <c r="AJ131" s="433"/>
      <c r="AK131" s="424"/>
      <c r="AL131" s="417"/>
      <c r="AM131" s="418"/>
      <c r="AN131" s="424"/>
      <c r="AO131" s="434"/>
      <c r="AP131" s="434"/>
      <c r="AQ131" s="434"/>
      <c r="AR131" s="434"/>
      <c r="AS131" s="434"/>
      <c r="AT131" s="434"/>
      <c r="AU131" s="434"/>
      <c r="AV131" s="435"/>
      <c r="AW131" s="435"/>
      <c r="AX131" s="431"/>
      <c r="AY131" s="436"/>
      <c r="AZ131" s="430"/>
      <c r="BA131" s="430"/>
      <c r="BB131" s="430"/>
      <c r="BC131" s="424"/>
      <c r="BD131" s="417"/>
      <c r="BE131" s="418"/>
      <c r="BF131" s="424"/>
      <c r="BG131" s="434"/>
      <c r="BH131" s="434"/>
      <c r="BI131" s="434"/>
      <c r="BJ131" s="434"/>
      <c r="BK131" s="434"/>
      <c r="BL131" s="434"/>
      <c r="BM131" s="434"/>
      <c r="BN131" s="435"/>
      <c r="BO131" s="435"/>
      <c r="BP131" s="431"/>
      <c r="BQ131" s="432"/>
      <c r="BR131" s="433"/>
      <c r="BS131" s="433"/>
      <c r="BT131" s="433"/>
      <c r="BU131" s="424"/>
      <c r="BV131" s="417"/>
      <c r="BW131" s="418"/>
      <c r="BX131" s="424"/>
      <c r="BY131" s="434"/>
      <c r="BZ131" s="434"/>
      <c r="CA131" s="434"/>
      <c r="CB131" s="434"/>
      <c r="CC131" s="434"/>
      <c r="CD131" s="434"/>
      <c r="CE131" s="434"/>
      <c r="CF131" s="435"/>
      <c r="CG131" s="435"/>
      <c r="CH131" s="431"/>
    </row>
    <row r="132" spans="1:86" s="365" customFormat="1">
      <c r="A132" s="407"/>
      <c r="B132" s="408"/>
      <c r="C132" s="470" t="s">
        <v>565</v>
      </c>
      <c r="D132" s="410" t="s">
        <v>566</v>
      </c>
      <c r="E132" s="637" t="s">
        <v>15</v>
      </c>
      <c r="F132" s="411" t="s">
        <v>21</v>
      </c>
      <c r="G132" s="411" t="s">
        <v>30</v>
      </c>
      <c r="H132" s="412" t="s">
        <v>23</v>
      </c>
      <c r="I132" s="428"/>
      <c r="J132" s="414">
        <v>127070</v>
      </c>
      <c r="K132" s="414"/>
      <c r="L132" s="414">
        <v>74719</v>
      </c>
      <c r="M132" s="414"/>
      <c r="N132" s="414"/>
      <c r="O132" s="429"/>
      <c r="P132" s="430"/>
      <c r="Q132" s="430"/>
      <c r="R132" s="430"/>
      <c r="S132" s="445"/>
      <c r="T132" s="417"/>
      <c r="U132" s="418"/>
      <c r="V132" s="419"/>
      <c r="W132" s="434"/>
      <c r="X132" s="434"/>
      <c r="Y132" s="434"/>
      <c r="Z132" s="434"/>
      <c r="AA132" s="434"/>
      <c r="AB132" s="434"/>
      <c r="AC132" s="434"/>
      <c r="AD132" s="435"/>
      <c r="AE132" s="435"/>
      <c r="AF132" s="431"/>
      <c r="AG132" s="432"/>
      <c r="AH132" s="433"/>
      <c r="AI132" s="433"/>
      <c r="AJ132" s="433"/>
      <c r="AK132" s="424"/>
      <c r="AL132" s="417"/>
      <c r="AM132" s="418"/>
      <c r="AN132" s="424"/>
      <c r="AO132" s="434"/>
      <c r="AP132" s="434"/>
      <c r="AQ132" s="434"/>
      <c r="AR132" s="434"/>
      <c r="AS132" s="434"/>
      <c r="AT132" s="434"/>
      <c r="AU132" s="434"/>
      <c r="AV132" s="435"/>
      <c r="AW132" s="435"/>
      <c r="AX132" s="431"/>
      <c r="AY132" s="436"/>
      <c r="AZ132" s="430"/>
      <c r="BA132" s="430"/>
      <c r="BB132" s="430"/>
      <c r="BC132" s="424"/>
      <c r="BD132" s="417"/>
      <c r="BE132" s="418"/>
      <c r="BF132" s="424"/>
      <c r="BG132" s="434"/>
      <c r="BH132" s="434"/>
      <c r="BI132" s="434"/>
      <c r="BJ132" s="434"/>
      <c r="BK132" s="434"/>
      <c r="BL132" s="434"/>
      <c r="BM132" s="434"/>
      <c r="BN132" s="435"/>
      <c r="BO132" s="435"/>
      <c r="BP132" s="431"/>
      <c r="BQ132" s="432"/>
      <c r="BR132" s="433"/>
      <c r="BS132" s="433"/>
      <c r="BT132" s="433"/>
      <c r="BU132" s="424"/>
      <c r="BV132" s="417"/>
      <c r="BW132" s="418"/>
      <c r="BX132" s="424"/>
      <c r="BY132" s="434"/>
      <c r="BZ132" s="434"/>
      <c r="CA132" s="434"/>
      <c r="CB132" s="434"/>
      <c r="CC132" s="434"/>
      <c r="CD132" s="434"/>
      <c r="CE132" s="434"/>
      <c r="CF132" s="435"/>
      <c r="CG132" s="435"/>
      <c r="CH132" s="431"/>
    </row>
    <row r="133" spans="1:86" s="365" customFormat="1">
      <c r="A133" s="407"/>
      <c r="B133" s="408"/>
      <c r="C133" s="470" t="s">
        <v>567</v>
      </c>
      <c r="D133" s="410" t="s">
        <v>568</v>
      </c>
      <c r="E133" s="637" t="s">
        <v>15</v>
      </c>
      <c r="F133" s="411" t="s">
        <v>21</v>
      </c>
      <c r="G133" s="411" t="s">
        <v>30</v>
      </c>
      <c r="H133" s="412" t="s">
        <v>23</v>
      </c>
      <c r="I133" s="428"/>
      <c r="J133" s="414">
        <v>151554</v>
      </c>
      <c r="K133" s="414"/>
      <c r="L133" s="414">
        <v>84731</v>
      </c>
      <c r="M133" s="414"/>
      <c r="N133" s="414"/>
      <c r="O133" s="429"/>
      <c r="P133" s="430"/>
      <c r="Q133" s="430"/>
      <c r="R133" s="430"/>
      <c r="S133" s="445"/>
      <c r="T133" s="417"/>
      <c r="U133" s="418"/>
      <c r="V133" s="419"/>
      <c r="W133" s="434"/>
      <c r="X133" s="434"/>
      <c r="Y133" s="434"/>
      <c r="Z133" s="434"/>
      <c r="AA133" s="434"/>
      <c r="AB133" s="434"/>
      <c r="AC133" s="434"/>
      <c r="AD133" s="435"/>
      <c r="AE133" s="435"/>
      <c r="AF133" s="431"/>
      <c r="AG133" s="432"/>
      <c r="AH133" s="433"/>
      <c r="AI133" s="433"/>
      <c r="AJ133" s="433"/>
      <c r="AK133" s="424"/>
      <c r="AL133" s="417"/>
      <c r="AM133" s="418"/>
      <c r="AN133" s="424"/>
      <c r="AO133" s="434"/>
      <c r="AP133" s="434"/>
      <c r="AQ133" s="434"/>
      <c r="AR133" s="434"/>
      <c r="AS133" s="434"/>
      <c r="AT133" s="434"/>
      <c r="AU133" s="434"/>
      <c r="AV133" s="435"/>
      <c r="AW133" s="435"/>
      <c r="AX133" s="431"/>
      <c r="AY133" s="436"/>
      <c r="AZ133" s="430"/>
      <c r="BA133" s="430"/>
      <c r="BB133" s="430"/>
      <c r="BC133" s="424"/>
      <c r="BD133" s="417"/>
      <c r="BE133" s="418"/>
      <c r="BF133" s="424"/>
      <c r="BG133" s="434"/>
      <c r="BH133" s="434"/>
      <c r="BI133" s="434"/>
      <c r="BJ133" s="434"/>
      <c r="BK133" s="434"/>
      <c r="BL133" s="434"/>
      <c r="BM133" s="434"/>
      <c r="BN133" s="435"/>
      <c r="BO133" s="435"/>
      <c r="BP133" s="431"/>
      <c r="BQ133" s="432"/>
      <c r="BR133" s="433"/>
      <c r="BS133" s="433"/>
      <c r="BT133" s="433"/>
      <c r="BU133" s="424"/>
      <c r="BV133" s="417"/>
      <c r="BW133" s="418"/>
      <c r="BX133" s="424"/>
      <c r="BY133" s="434"/>
      <c r="BZ133" s="434"/>
      <c r="CA133" s="434"/>
      <c r="CB133" s="434"/>
      <c r="CC133" s="434"/>
      <c r="CD133" s="434"/>
      <c r="CE133" s="434"/>
      <c r="CF133" s="435"/>
      <c r="CG133" s="435"/>
      <c r="CH133" s="431"/>
    </row>
    <row r="134" spans="1:86" s="365" customFormat="1">
      <c r="A134" s="407"/>
      <c r="B134" s="408"/>
      <c r="C134" s="470" t="s">
        <v>569</v>
      </c>
      <c r="D134" s="410" t="s">
        <v>570</v>
      </c>
      <c r="E134" s="637" t="s">
        <v>15</v>
      </c>
      <c r="F134" s="411" t="s">
        <v>21</v>
      </c>
      <c r="G134" s="411" t="s">
        <v>30</v>
      </c>
      <c r="H134" s="412" t="s">
        <v>23</v>
      </c>
      <c r="I134" s="428"/>
      <c r="J134" s="414">
        <v>92206</v>
      </c>
      <c r="K134" s="414"/>
      <c r="L134" s="414">
        <v>47322</v>
      </c>
      <c r="M134" s="414"/>
      <c r="N134" s="414"/>
      <c r="O134" s="429"/>
      <c r="P134" s="430"/>
      <c r="Q134" s="430"/>
      <c r="R134" s="430"/>
      <c r="S134" s="445"/>
      <c r="T134" s="417"/>
      <c r="U134" s="418"/>
      <c r="V134" s="419"/>
      <c r="W134" s="434"/>
      <c r="X134" s="434"/>
      <c r="Y134" s="434"/>
      <c r="Z134" s="434"/>
      <c r="AA134" s="434"/>
      <c r="AB134" s="434"/>
      <c r="AC134" s="434"/>
      <c r="AD134" s="435"/>
      <c r="AE134" s="435"/>
      <c r="AF134" s="431"/>
      <c r="AG134" s="432"/>
      <c r="AH134" s="433"/>
      <c r="AI134" s="433"/>
      <c r="AJ134" s="433"/>
      <c r="AK134" s="424"/>
      <c r="AL134" s="417"/>
      <c r="AM134" s="418"/>
      <c r="AN134" s="424"/>
      <c r="AO134" s="434"/>
      <c r="AP134" s="434"/>
      <c r="AQ134" s="434"/>
      <c r="AR134" s="434"/>
      <c r="AS134" s="434"/>
      <c r="AT134" s="434"/>
      <c r="AU134" s="434"/>
      <c r="AV134" s="435"/>
      <c r="AW134" s="435"/>
      <c r="AX134" s="431"/>
      <c r="AY134" s="436"/>
      <c r="AZ134" s="430"/>
      <c r="BA134" s="430"/>
      <c r="BB134" s="430"/>
      <c r="BC134" s="424"/>
      <c r="BD134" s="417"/>
      <c r="BE134" s="418"/>
      <c r="BF134" s="424"/>
      <c r="BG134" s="434"/>
      <c r="BH134" s="434"/>
      <c r="BI134" s="434"/>
      <c r="BJ134" s="434"/>
      <c r="BK134" s="434"/>
      <c r="BL134" s="434"/>
      <c r="BM134" s="434"/>
      <c r="BN134" s="435"/>
      <c r="BO134" s="435"/>
      <c r="BP134" s="431"/>
      <c r="BQ134" s="432"/>
      <c r="BR134" s="433"/>
      <c r="BS134" s="433"/>
      <c r="BT134" s="433"/>
      <c r="BU134" s="424"/>
      <c r="BV134" s="417"/>
      <c r="BW134" s="418"/>
      <c r="BX134" s="424"/>
      <c r="BY134" s="434"/>
      <c r="BZ134" s="434"/>
      <c r="CA134" s="434"/>
      <c r="CB134" s="434"/>
      <c r="CC134" s="434"/>
      <c r="CD134" s="434"/>
      <c r="CE134" s="434"/>
      <c r="CF134" s="435"/>
      <c r="CG134" s="435"/>
      <c r="CH134" s="431"/>
    </row>
    <row r="135" spans="1:86" s="365" customFormat="1">
      <c r="A135" s="407"/>
      <c r="B135" s="408"/>
      <c r="C135" s="470" t="s">
        <v>571</v>
      </c>
      <c r="D135" s="410" t="s">
        <v>572</v>
      </c>
      <c r="E135" s="637" t="s">
        <v>15</v>
      </c>
      <c r="F135" s="411" t="s">
        <v>21</v>
      </c>
      <c r="G135" s="411" t="s">
        <v>30</v>
      </c>
      <c r="H135" s="412" t="s">
        <v>23</v>
      </c>
      <c r="I135" s="428"/>
      <c r="J135" s="414">
        <v>113007</v>
      </c>
      <c r="K135" s="414"/>
      <c r="L135" s="414">
        <v>66068</v>
      </c>
      <c r="M135" s="414"/>
      <c r="N135" s="414"/>
      <c r="O135" s="429"/>
      <c r="P135" s="430"/>
      <c r="Q135" s="430"/>
      <c r="R135" s="430"/>
      <c r="S135" s="445"/>
      <c r="T135" s="417"/>
      <c r="U135" s="418"/>
      <c r="V135" s="419"/>
      <c r="W135" s="434"/>
      <c r="X135" s="434"/>
      <c r="Y135" s="434"/>
      <c r="Z135" s="434"/>
      <c r="AA135" s="434"/>
      <c r="AB135" s="434"/>
      <c r="AC135" s="434"/>
      <c r="AD135" s="435"/>
      <c r="AE135" s="435"/>
      <c r="AF135" s="431"/>
      <c r="AG135" s="432"/>
      <c r="AH135" s="433"/>
      <c r="AI135" s="433"/>
      <c r="AJ135" s="433"/>
      <c r="AK135" s="424"/>
      <c r="AL135" s="417"/>
      <c r="AM135" s="418"/>
      <c r="AN135" s="424"/>
      <c r="AO135" s="434"/>
      <c r="AP135" s="434"/>
      <c r="AQ135" s="434"/>
      <c r="AR135" s="434"/>
      <c r="AS135" s="434"/>
      <c r="AT135" s="434"/>
      <c r="AU135" s="434"/>
      <c r="AV135" s="435"/>
      <c r="AW135" s="435"/>
      <c r="AX135" s="431"/>
      <c r="AY135" s="436"/>
      <c r="AZ135" s="430"/>
      <c r="BA135" s="430"/>
      <c r="BB135" s="430"/>
      <c r="BC135" s="424"/>
      <c r="BD135" s="417"/>
      <c r="BE135" s="418"/>
      <c r="BF135" s="424"/>
      <c r="BG135" s="434"/>
      <c r="BH135" s="434"/>
      <c r="BI135" s="434"/>
      <c r="BJ135" s="434"/>
      <c r="BK135" s="434"/>
      <c r="BL135" s="434"/>
      <c r="BM135" s="434"/>
      <c r="BN135" s="435"/>
      <c r="BO135" s="435"/>
      <c r="BP135" s="431"/>
      <c r="BQ135" s="432"/>
      <c r="BR135" s="433"/>
      <c r="BS135" s="433"/>
      <c r="BT135" s="433"/>
      <c r="BU135" s="424"/>
      <c r="BV135" s="417"/>
      <c r="BW135" s="418"/>
      <c r="BX135" s="424"/>
      <c r="BY135" s="434"/>
      <c r="BZ135" s="434"/>
      <c r="CA135" s="434"/>
      <c r="CB135" s="434"/>
      <c r="CC135" s="434"/>
      <c r="CD135" s="434"/>
      <c r="CE135" s="434"/>
      <c r="CF135" s="435"/>
      <c r="CG135" s="435"/>
      <c r="CH135" s="431"/>
    </row>
    <row r="136" spans="1:86" s="365" customFormat="1">
      <c r="A136" s="407"/>
      <c r="B136" s="408"/>
      <c r="C136" s="470" t="s">
        <v>573</v>
      </c>
      <c r="D136" s="410" t="s">
        <v>574</v>
      </c>
      <c r="E136" s="637" t="s">
        <v>15</v>
      </c>
      <c r="F136" s="411" t="s">
        <v>21</v>
      </c>
      <c r="G136" s="411" t="s">
        <v>30</v>
      </c>
      <c r="H136" s="412" t="s">
        <v>23</v>
      </c>
      <c r="I136" s="428"/>
      <c r="J136" s="414">
        <v>256467</v>
      </c>
      <c r="K136" s="414"/>
      <c r="L136" s="414">
        <v>122329</v>
      </c>
      <c r="M136" s="414"/>
      <c r="N136" s="414"/>
      <c r="O136" s="429"/>
      <c r="P136" s="430"/>
      <c r="Q136" s="430"/>
      <c r="R136" s="430"/>
      <c r="S136" s="445"/>
      <c r="T136" s="417"/>
      <c r="U136" s="418"/>
      <c r="V136" s="419"/>
      <c r="W136" s="434"/>
      <c r="X136" s="434"/>
      <c r="Y136" s="434"/>
      <c r="Z136" s="434"/>
      <c r="AA136" s="434"/>
      <c r="AB136" s="434"/>
      <c r="AC136" s="434"/>
      <c r="AD136" s="435"/>
      <c r="AE136" s="435"/>
      <c r="AF136" s="431"/>
      <c r="AG136" s="432"/>
      <c r="AH136" s="433"/>
      <c r="AI136" s="433"/>
      <c r="AJ136" s="433"/>
      <c r="AK136" s="424"/>
      <c r="AL136" s="417"/>
      <c r="AM136" s="418"/>
      <c r="AN136" s="424"/>
      <c r="AO136" s="434"/>
      <c r="AP136" s="434"/>
      <c r="AQ136" s="434"/>
      <c r="AR136" s="434"/>
      <c r="AS136" s="434"/>
      <c r="AT136" s="434"/>
      <c r="AU136" s="434"/>
      <c r="AV136" s="435"/>
      <c r="AW136" s="435"/>
      <c r="AX136" s="431"/>
      <c r="AY136" s="436"/>
      <c r="AZ136" s="430"/>
      <c r="BA136" s="430"/>
      <c r="BB136" s="430"/>
      <c r="BC136" s="424"/>
      <c r="BD136" s="417"/>
      <c r="BE136" s="418"/>
      <c r="BF136" s="424"/>
      <c r="BG136" s="434"/>
      <c r="BH136" s="434"/>
      <c r="BI136" s="434"/>
      <c r="BJ136" s="434"/>
      <c r="BK136" s="434"/>
      <c r="BL136" s="434"/>
      <c r="BM136" s="434"/>
      <c r="BN136" s="435"/>
      <c r="BO136" s="435"/>
      <c r="BP136" s="431"/>
      <c r="BQ136" s="432"/>
      <c r="BR136" s="433"/>
      <c r="BS136" s="433"/>
      <c r="BT136" s="433"/>
      <c r="BU136" s="424"/>
      <c r="BV136" s="417"/>
      <c r="BW136" s="418"/>
      <c r="BX136" s="424"/>
      <c r="BY136" s="434"/>
      <c r="BZ136" s="434"/>
      <c r="CA136" s="434"/>
      <c r="CB136" s="434"/>
      <c r="CC136" s="434"/>
      <c r="CD136" s="434"/>
      <c r="CE136" s="434"/>
      <c r="CF136" s="435"/>
      <c r="CG136" s="435"/>
      <c r="CH136" s="431"/>
    </row>
    <row r="137" spans="1:86" s="365" customFormat="1">
      <c r="A137" s="407"/>
      <c r="B137" s="408"/>
      <c r="C137" s="470" t="s">
        <v>575</v>
      </c>
      <c r="D137" s="410" t="s">
        <v>576</v>
      </c>
      <c r="E137" s="637" t="s">
        <v>15</v>
      </c>
      <c r="F137" s="411" t="s">
        <v>21</v>
      </c>
      <c r="G137" s="411" t="s">
        <v>30</v>
      </c>
      <c r="H137" s="412" t="s">
        <v>23</v>
      </c>
      <c r="I137" s="428"/>
      <c r="J137" s="414">
        <v>202737</v>
      </c>
      <c r="K137" s="414"/>
      <c r="L137" s="414">
        <v>165430</v>
      </c>
      <c r="M137" s="414"/>
      <c r="N137" s="414"/>
      <c r="O137" s="429"/>
      <c r="P137" s="430"/>
      <c r="Q137" s="430"/>
      <c r="R137" s="430"/>
      <c r="S137" s="445"/>
      <c r="T137" s="417"/>
      <c r="U137" s="418"/>
      <c r="V137" s="419"/>
      <c r="W137" s="434"/>
      <c r="X137" s="434"/>
      <c r="Y137" s="434"/>
      <c r="Z137" s="434"/>
      <c r="AA137" s="434"/>
      <c r="AB137" s="434"/>
      <c r="AC137" s="434"/>
      <c r="AD137" s="435"/>
      <c r="AE137" s="435"/>
      <c r="AF137" s="431"/>
      <c r="AG137" s="432"/>
      <c r="AH137" s="433"/>
      <c r="AI137" s="433"/>
      <c r="AJ137" s="433"/>
      <c r="AK137" s="424"/>
      <c r="AL137" s="417"/>
      <c r="AM137" s="418"/>
      <c r="AN137" s="424"/>
      <c r="AO137" s="434"/>
      <c r="AP137" s="434"/>
      <c r="AQ137" s="434"/>
      <c r="AR137" s="434"/>
      <c r="AS137" s="434"/>
      <c r="AT137" s="434"/>
      <c r="AU137" s="434"/>
      <c r="AV137" s="435"/>
      <c r="AW137" s="435"/>
      <c r="AX137" s="431"/>
      <c r="AY137" s="436"/>
      <c r="AZ137" s="430"/>
      <c r="BA137" s="430"/>
      <c r="BB137" s="430"/>
      <c r="BC137" s="424"/>
      <c r="BD137" s="417"/>
      <c r="BE137" s="418"/>
      <c r="BF137" s="424"/>
      <c r="BG137" s="434"/>
      <c r="BH137" s="434"/>
      <c r="BI137" s="434"/>
      <c r="BJ137" s="434"/>
      <c r="BK137" s="434"/>
      <c r="BL137" s="434"/>
      <c r="BM137" s="434"/>
      <c r="BN137" s="435"/>
      <c r="BO137" s="435"/>
      <c r="BP137" s="431"/>
      <c r="BQ137" s="432"/>
      <c r="BR137" s="433"/>
      <c r="BS137" s="433"/>
      <c r="BT137" s="433"/>
      <c r="BU137" s="424"/>
      <c r="BV137" s="417"/>
      <c r="BW137" s="418"/>
      <c r="BX137" s="424"/>
      <c r="BY137" s="434"/>
      <c r="BZ137" s="434"/>
      <c r="CA137" s="434"/>
      <c r="CB137" s="434"/>
      <c r="CC137" s="434"/>
      <c r="CD137" s="434"/>
      <c r="CE137" s="434"/>
      <c r="CF137" s="435"/>
      <c r="CG137" s="435"/>
      <c r="CH137" s="431"/>
    </row>
    <row r="138" spans="1:86" s="365" customFormat="1">
      <c r="A138" s="407"/>
      <c r="B138" s="408"/>
      <c r="C138" s="470" t="s">
        <v>577</v>
      </c>
      <c r="D138" s="410" t="s">
        <v>578</v>
      </c>
      <c r="E138" s="637" t="s">
        <v>15</v>
      </c>
      <c r="F138" s="411" t="s">
        <v>21</v>
      </c>
      <c r="G138" s="411" t="s">
        <v>30</v>
      </c>
      <c r="H138" s="412" t="s">
        <v>23</v>
      </c>
      <c r="I138" s="428"/>
      <c r="J138" s="414">
        <v>356258</v>
      </c>
      <c r="K138" s="414"/>
      <c r="L138" s="414"/>
      <c r="M138" s="414"/>
      <c r="N138" s="414"/>
      <c r="O138" s="429"/>
      <c r="P138" s="430"/>
      <c r="Q138" s="430"/>
      <c r="R138" s="430"/>
      <c r="S138" s="445"/>
      <c r="T138" s="417"/>
      <c r="U138" s="418"/>
      <c r="V138" s="419"/>
      <c r="W138" s="434"/>
      <c r="X138" s="434"/>
      <c r="Y138" s="434"/>
      <c r="Z138" s="434"/>
      <c r="AA138" s="434"/>
      <c r="AB138" s="434"/>
      <c r="AC138" s="434"/>
      <c r="AD138" s="435"/>
      <c r="AE138" s="435"/>
      <c r="AF138" s="431"/>
      <c r="AG138" s="432"/>
      <c r="AH138" s="433"/>
      <c r="AI138" s="433"/>
      <c r="AJ138" s="433"/>
      <c r="AK138" s="424"/>
      <c r="AL138" s="417"/>
      <c r="AM138" s="418"/>
      <c r="AN138" s="424"/>
      <c r="AO138" s="434"/>
      <c r="AP138" s="434"/>
      <c r="AQ138" s="434"/>
      <c r="AR138" s="434"/>
      <c r="AS138" s="434"/>
      <c r="AT138" s="434"/>
      <c r="AU138" s="434"/>
      <c r="AV138" s="435"/>
      <c r="AW138" s="435"/>
      <c r="AX138" s="431"/>
      <c r="AY138" s="436"/>
      <c r="AZ138" s="430"/>
      <c r="BA138" s="430"/>
      <c r="BB138" s="430"/>
      <c r="BC138" s="424"/>
      <c r="BD138" s="417"/>
      <c r="BE138" s="418"/>
      <c r="BF138" s="424"/>
      <c r="BG138" s="434"/>
      <c r="BH138" s="434"/>
      <c r="BI138" s="434"/>
      <c r="BJ138" s="434"/>
      <c r="BK138" s="434"/>
      <c r="BL138" s="434"/>
      <c r="BM138" s="434"/>
      <c r="BN138" s="435"/>
      <c r="BO138" s="435"/>
      <c r="BP138" s="431"/>
      <c r="BQ138" s="432"/>
      <c r="BR138" s="433"/>
      <c r="BS138" s="433"/>
      <c r="BT138" s="433"/>
      <c r="BU138" s="424"/>
      <c r="BV138" s="417"/>
      <c r="BW138" s="418"/>
      <c r="BX138" s="424"/>
      <c r="BY138" s="434"/>
      <c r="BZ138" s="434"/>
      <c r="CA138" s="434"/>
      <c r="CB138" s="434"/>
      <c r="CC138" s="434"/>
      <c r="CD138" s="434"/>
      <c r="CE138" s="434"/>
      <c r="CF138" s="435"/>
      <c r="CG138" s="435"/>
      <c r="CH138" s="431"/>
    </row>
    <row r="139" spans="1:86" s="365" customFormat="1">
      <c r="A139" s="407"/>
      <c r="B139" s="408"/>
      <c r="C139" s="470" t="s">
        <v>579</v>
      </c>
      <c r="D139" s="410" t="s">
        <v>580</v>
      </c>
      <c r="E139" s="637" t="s">
        <v>20</v>
      </c>
      <c r="F139" s="411" t="s">
        <v>21</v>
      </c>
      <c r="G139" s="411" t="s">
        <v>25</v>
      </c>
      <c r="H139" s="412" t="s">
        <v>18</v>
      </c>
      <c r="I139" s="428"/>
      <c r="J139" s="414">
        <v>799264</v>
      </c>
      <c r="K139" s="414"/>
      <c r="L139" s="414">
        <v>450537</v>
      </c>
      <c r="M139" s="414"/>
      <c r="N139" s="414"/>
      <c r="O139" s="429"/>
      <c r="P139" s="430"/>
      <c r="Q139" s="430"/>
      <c r="R139" s="430"/>
      <c r="S139" s="445"/>
      <c r="T139" s="417"/>
      <c r="U139" s="418"/>
      <c r="V139" s="419"/>
      <c r="W139" s="434"/>
      <c r="X139" s="434"/>
      <c r="Y139" s="434"/>
      <c r="Z139" s="434"/>
      <c r="AA139" s="434"/>
      <c r="AB139" s="434"/>
      <c r="AC139" s="434"/>
      <c r="AD139" s="435"/>
      <c r="AE139" s="435"/>
      <c r="AF139" s="431"/>
      <c r="AG139" s="432"/>
      <c r="AH139" s="433"/>
      <c r="AI139" s="433"/>
      <c r="AJ139" s="433"/>
      <c r="AK139" s="424"/>
      <c r="AL139" s="417"/>
      <c r="AM139" s="418"/>
      <c r="AN139" s="424"/>
      <c r="AO139" s="434"/>
      <c r="AP139" s="434"/>
      <c r="AQ139" s="434"/>
      <c r="AR139" s="434"/>
      <c r="AS139" s="434"/>
      <c r="AT139" s="434"/>
      <c r="AU139" s="434"/>
      <c r="AV139" s="435"/>
      <c r="AW139" s="435"/>
      <c r="AX139" s="431"/>
      <c r="AY139" s="436"/>
      <c r="AZ139" s="430"/>
      <c r="BA139" s="430"/>
      <c r="BB139" s="430"/>
      <c r="BC139" s="424"/>
      <c r="BD139" s="417"/>
      <c r="BE139" s="418"/>
      <c r="BF139" s="424"/>
      <c r="BG139" s="434"/>
      <c r="BH139" s="434"/>
      <c r="BI139" s="434"/>
      <c r="BJ139" s="434"/>
      <c r="BK139" s="434"/>
      <c r="BL139" s="434"/>
      <c r="BM139" s="434"/>
      <c r="BN139" s="435"/>
      <c r="BO139" s="435"/>
      <c r="BP139" s="431"/>
      <c r="BQ139" s="432"/>
      <c r="BR139" s="433"/>
      <c r="BS139" s="433"/>
      <c r="BT139" s="433"/>
      <c r="BU139" s="424"/>
      <c r="BV139" s="417"/>
      <c r="BW139" s="418"/>
      <c r="BX139" s="424"/>
      <c r="BY139" s="434"/>
      <c r="BZ139" s="434"/>
      <c r="CA139" s="434"/>
      <c r="CB139" s="434"/>
      <c r="CC139" s="434"/>
      <c r="CD139" s="434"/>
      <c r="CE139" s="434"/>
      <c r="CF139" s="435"/>
      <c r="CG139" s="435"/>
      <c r="CH139" s="431"/>
    </row>
    <row r="140" spans="1:86" s="365" customFormat="1">
      <c r="A140" s="407"/>
      <c r="B140" s="408"/>
      <c r="C140" s="470" t="s">
        <v>581</v>
      </c>
      <c r="D140" s="410" t="s">
        <v>582</v>
      </c>
      <c r="E140" s="637" t="s">
        <v>20</v>
      </c>
      <c r="F140" s="411" t="s">
        <v>21</v>
      </c>
      <c r="G140" s="411" t="s">
        <v>17</v>
      </c>
      <c r="H140" s="412" t="s">
        <v>26</v>
      </c>
      <c r="I140" s="428"/>
      <c r="J140" s="414">
        <v>330000</v>
      </c>
      <c r="K140" s="414"/>
      <c r="L140" s="414">
        <v>35019</v>
      </c>
      <c r="M140" s="414"/>
      <c r="N140" s="414"/>
      <c r="O140" s="429"/>
      <c r="P140" s="430"/>
      <c r="Q140" s="430"/>
      <c r="R140" s="430"/>
      <c r="S140" s="445"/>
      <c r="T140" s="417"/>
      <c r="U140" s="418"/>
      <c r="V140" s="419"/>
      <c r="W140" s="434"/>
      <c r="X140" s="434"/>
      <c r="Y140" s="434"/>
      <c r="Z140" s="434"/>
      <c r="AA140" s="434"/>
      <c r="AB140" s="434"/>
      <c r="AC140" s="434"/>
      <c r="AD140" s="435"/>
      <c r="AE140" s="435"/>
      <c r="AF140" s="431"/>
      <c r="AG140" s="432"/>
      <c r="AH140" s="433"/>
      <c r="AI140" s="433"/>
      <c r="AJ140" s="433"/>
      <c r="AK140" s="424"/>
      <c r="AL140" s="417"/>
      <c r="AM140" s="418"/>
      <c r="AN140" s="424"/>
      <c r="AO140" s="434"/>
      <c r="AP140" s="434"/>
      <c r="AQ140" s="434"/>
      <c r="AR140" s="434"/>
      <c r="AS140" s="434"/>
      <c r="AT140" s="434"/>
      <c r="AU140" s="434"/>
      <c r="AV140" s="435"/>
      <c r="AW140" s="435"/>
      <c r="AX140" s="431"/>
      <c r="AY140" s="436"/>
      <c r="AZ140" s="430"/>
      <c r="BA140" s="430"/>
      <c r="BB140" s="430"/>
      <c r="BC140" s="424"/>
      <c r="BD140" s="417"/>
      <c r="BE140" s="418"/>
      <c r="BF140" s="424"/>
      <c r="BG140" s="434"/>
      <c r="BH140" s="434"/>
      <c r="BI140" s="434"/>
      <c r="BJ140" s="434"/>
      <c r="BK140" s="434"/>
      <c r="BL140" s="434"/>
      <c r="BM140" s="434"/>
      <c r="BN140" s="435"/>
      <c r="BO140" s="435"/>
      <c r="BP140" s="431"/>
      <c r="BQ140" s="432"/>
      <c r="BR140" s="433"/>
      <c r="BS140" s="433"/>
      <c r="BT140" s="433"/>
      <c r="BU140" s="424"/>
      <c r="BV140" s="417"/>
      <c r="BW140" s="418"/>
      <c r="BX140" s="424"/>
      <c r="BY140" s="434"/>
      <c r="BZ140" s="434"/>
      <c r="CA140" s="434"/>
      <c r="CB140" s="434"/>
      <c r="CC140" s="434"/>
      <c r="CD140" s="434"/>
      <c r="CE140" s="434"/>
      <c r="CF140" s="435"/>
      <c r="CG140" s="435"/>
      <c r="CH140" s="431"/>
    </row>
    <row r="141" spans="1:86" s="365" customFormat="1">
      <c r="A141" s="407"/>
      <c r="B141" s="408"/>
      <c r="C141" s="470" t="s">
        <v>583</v>
      </c>
      <c r="D141" s="410" t="s">
        <v>584</v>
      </c>
      <c r="E141" s="637" t="s">
        <v>15</v>
      </c>
      <c r="F141" s="411" t="s">
        <v>21</v>
      </c>
      <c r="G141" s="411" t="s">
        <v>30</v>
      </c>
      <c r="H141" s="412" t="s">
        <v>23</v>
      </c>
      <c r="I141" s="428"/>
      <c r="J141" s="414">
        <v>583424</v>
      </c>
      <c r="K141" s="414"/>
      <c r="L141" s="414">
        <v>47455</v>
      </c>
      <c r="M141" s="414"/>
      <c r="N141" s="414"/>
      <c r="O141" s="429"/>
      <c r="P141" s="430"/>
      <c r="Q141" s="430"/>
      <c r="R141" s="430"/>
      <c r="S141" s="445"/>
      <c r="T141" s="417"/>
      <c r="U141" s="418"/>
      <c r="V141" s="419"/>
      <c r="W141" s="434"/>
      <c r="X141" s="434"/>
      <c r="Y141" s="434"/>
      <c r="Z141" s="434"/>
      <c r="AA141" s="434"/>
      <c r="AB141" s="434"/>
      <c r="AC141" s="434"/>
      <c r="AD141" s="435"/>
      <c r="AE141" s="435"/>
      <c r="AF141" s="431"/>
      <c r="AG141" s="432"/>
      <c r="AH141" s="433"/>
      <c r="AI141" s="433"/>
      <c r="AJ141" s="433"/>
      <c r="AK141" s="424"/>
      <c r="AL141" s="417"/>
      <c r="AM141" s="418"/>
      <c r="AN141" s="424"/>
      <c r="AO141" s="434"/>
      <c r="AP141" s="434"/>
      <c r="AQ141" s="434"/>
      <c r="AR141" s="434"/>
      <c r="AS141" s="434"/>
      <c r="AT141" s="434"/>
      <c r="AU141" s="434"/>
      <c r="AV141" s="435"/>
      <c r="AW141" s="435"/>
      <c r="AX141" s="431"/>
      <c r="AY141" s="436"/>
      <c r="AZ141" s="430"/>
      <c r="BA141" s="430"/>
      <c r="BB141" s="430"/>
      <c r="BC141" s="424"/>
      <c r="BD141" s="417"/>
      <c r="BE141" s="418"/>
      <c r="BF141" s="424"/>
      <c r="BG141" s="434"/>
      <c r="BH141" s="434"/>
      <c r="BI141" s="434"/>
      <c r="BJ141" s="434"/>
      <c r="BK141" s="434"/>
      <c r="BL141" s="434"/>
      <c r="BM141" s="434"/>
      <c r="BN141" s="435"/>
      <c r="BO141" s="435"/>
      <c r="BP141" s="431"/>
      <c r="BQ141" s="432"/>
      <c r="BR141" s="433"/>
      <c r="BS141" s="433"/>
      <c r="BT141" s="433"/>
      <c r="BU141" s="424"/>
      <c r="BV141" s="417"/>
      <c r="BW141" s="418"/>
      <c r="BX141" s="424"/>
      <c r="BY141" s="434"/>
      <c r="BZ141" s="434"/>
      <c r="CA141" s="434"/>
      <c r="CB141" s="434"/>
      <c r="CC141" s="434"/>
      <c r="CD141" s="434"/>
      <c r="CE141" s="434"/>
      <c r="CF141" s="435"/>
      <c r="CG141" s="435"/>
      <c r="CH141" s="431"/>
    </row>
    <row r="142" spans="1:86" s="365" customFormat="1">
      <c r="A142" s="407"/>
      <c r="B142" s="408"/>
      <c r="C142" s="470" t="s">
        <v>585</v>
      </c>
      <c r="D142" s="410" t="s">
        <v>586</v>
      </c>
      <c r="E142" s="637" t="s">
        <v>15</v>
      </c>
      <c r="F142" s="411" t="s">
        <v>21</v>
      </c>
      <c r="G142" s="411" t="s">
        <v>30</v>
      </c>
      <c r="H142" s="412" t="s">
        <v>23</v>
      </c>
      <c r="I142" s="428"/>
      <c r="J142" s="414">
        <v>453000</v>
      </c>
      <c r="K142" s="414"/>
      <c r="L142" s="414">
        <v>233745</v>
      </c>
      <c r="M142" s="414"/>
      <c r="N142" s="414"/>
      <c r="O142" s="429"/>
      <c r="P142" s="430"/>
      <c r="Q142" s="430"/>
      <c r="R142" s="430"/>
      <c r="S142" s="445"/>
      <c r="T142" s="417"/>
      <c r="U142" s="418"/>
      <c r="V142" s="419"/>
      <c r="W142" s="434"/>
      <c r="X142" s="434"/>
      <c r="Y142" s="434"/>
      <c r="Z142" s="434"/>
      <c r="AA142" s="434"/>
      <c r="AB142" s="434"/>
      <c r="AC142" s="434"/>
      <c r="AD142" s="435"/>
      <c r="AE142" s="435"/>
      <c r="AF142" s="431"/>
      <c r="AG142" s="432"/>
      <c r="AH142" s="433"/>
      <c r="AI142" s="433"/>
      <c r="AJ142" s="433"/>
      <c r="AK142" s="424"/>
      <c r="AL142" s="417"/>
      <c r="AM142" s="418"/>
      <c r="AN142" s="424"/>
      <c r="AO142" s="434"/>
      <c r="AP142" s="434"/>
      <c r="AQ142" s="434"/>
      <c r="AR142" s="434"/>
      <c r="AS142" s="434"/>
      <c r="AT142" s="434"/>
      <c r="AU142" s="434"/>
      <c r="AV142" s="435"/>
      <c r="AW142" s="435"/>
      <c r="AX142" s="431"/>
      <c r="AY142" s="436"/>
      <c r="AZ142" s="430"/>
      <c r="BA142" s="430"/>
      <c r="BB142" s="430"/>
      <c r="BC142" s="424"/>
      <c r="BD142" s="417"/>
      <c r="BE142" s="418"/>
      <c r="BF142" s="424"/>
      <c r="BG142" s="434"/>
      <c r="BH142" s="434"/>
      <c r="BI142" s="434"/>
      <c r="BJ142" s="434"/>
      <c r="BK142" s="434"/>
      <c r="BL142" s="434"/>
      <c r="BM142" s="434"/>
      <c r="BN142" s="435"/>
      <c r="BO142" s="435"/>
      <c r="BP142" s="431"/>
      <c r="BQ142" s="432"/>
      <c r="BR142" s="433"/>
      <c r="BS142" s="433"/>
      <c r="BT142" s="433"/>
      <c r="BU142" s="424"/>
      <c r="BV142" s="417"/>
      <c r="BW142" s="418"/>
      <c r="BX142" s="424"/>
      <c r="BY142" s="434"/>
      <c r="BZ142" s="434"/>
      <c r="CA142" s="434"/>
      <c r="CB142" s="434"/>
      <c r="CC142" s="434"/>
      <c r="CD142" s="434"/>
      <c r="CE142" s="434"/>
      <c r="CF142" s="435"/>
      <c r="CG142" s="435"/>
      <c r="CH142" s="431"/>
    </row>
    <row r="143" spans="1:86" s="365" customFormat="1">
      <c r="A143" s="407"/>
      <c r="B143" s="408"/>
      <c r="C143" s="470" t="s">
        <v>587</v>
      </c>
      <c r="D143" s="410" t="s">
        <v>588</v>
      </c>
      <c r="E143" s="637" t="s">
        <v>15</v>
      </c>
      <c r="F143" s="411" t="s">
        <v>21</v>
      </c>
      <c r="G143" s="411" t="s">
        <v>30</v>
      </c>
      <c r="H143" s="412" t="s">
        <v>23</v>
      </c>
      <c r="I143" s="428"/>
      <c r="J143" s="414">
        <v>152576</v>
      </c>
      <c r="K143" s="414"/>
      <c r="L143" s="414">
        <v>96700</v>
      </c>
      <c r="M143" s="414"/>
      <c r="N143" s="414"/>
      <c r="O143" s="429"/>
      <c r="P143" s="430"/>
      <c r="Q143" s="430"/>
      <c r="R143" s="430"/>
      <c r="S143" s="445"/>
      <c r="T143" s="417"/>
      <c r="U143" s="418"/>
      <c r="V143" s="419"/>
      <c r="W143" s="434"/>
      <c r="X143" s="434"/>
      <c r="Y143" s="434"/>
      <c r="Z143" s="434"/>
      <c r="AA143" s="434"/>
      <c r="AB143" s="434"/>
      <c r="AC143" s="434"/>
      <c r="AD143" s="435"/>
      <c r="AE143" s="435"/>
      <c r="AF143" s="431"/>
      <c r="AG143" s="432"/>
      <c r="AH143" s="433"/>
      <c r="AI143" s="433"/>
      <c r="AJ143" s="433"/>
      <c r="AK143" s="424"/>
      <c r="AL143" s="417"/>
      <c r="AM143" s="418"/>
      <c r="AN143" s="424"/>
      <c r="AO143" s="434"/>
      <c r="AP143" s="434"/>
      <c r="AQ143" s="434"/>
      <c r="AR143" s="434"/>
      <c r="AS143" s="434"/>
      <c r="AT143" s="434"/>
      <c r="AU143" s="434"/>
      <c r="AV143" s="435"/>
      <c r="AW143" s="435"/>
      <c r="AX143" s="431"/>
      <c r="AY143" s="436"/>
      <c r="AZ143" s="430"/>
      <c r="BA143" s="430"/>
      <c r="BB143" s="430"/>
      <c r="BC143" s="424"/>
      <c r="BD143" s="417"/>
      <c r="BE143" s="418"/>
      <c r="BF143" s="424"/>
      <c r="BG143" s="434"/>
      <c r="BH143" s="434"/>
      <c r="BI143" s="434"/>
      <c r="BJ143" s="434"/>
      <c r="BK143" s="434"/>
      <c r="BL143" s="434"/>
      <c r="BM143" s="434"/>
      <c r="BN143" s="435"/>
      <c r="BO143" s="435"/>
      <c r="BP143" s="431"/>
      <c r="BQ143" s="432"/>
      <c r="BR143" s="433"/>
      <c r="BS143" s="433"/>
      <c r="BT143" s="433"/>
      <c r="BU143" s="424"/>
      <c r="BV143" s="417"/>
      <c r="BW143" s="418"/>
      <c r="BX143" s="424"/>
      <c r="BY143" s="434"/>
      <c r="BZ143" s="434"/>
      <c r="CA143" s="434"/>
      <c r="CB143" s="434"/>
      <c r="CC143" s="434"/>
      <c r="CD143" s="434"/>
      <c r="CE143" s="434"/>
      <c r="CF143" s="435"/>
      <c r="CG143" s="435"/>
      <c r="CH143" s="431"/>
    </row>
    <row r="144" spans="1:86" s="365" customFormat="1">
      <c r="A144" s="407"/>
      <c r="B144" s="408"/>
      <c r="C144" s="470" t="s">
        <v>589</v>
      </c>
      <c r="D144" s="410" t="s">
        <v>590</v>
      </c>
      <c r="E144" s="637" t="s">
        <v>15</v>
      </c>
      <c r="F144" s="411" t="s">
        <v>21</v>
      </c>
      <c r="G144" s="411" t="s">
        <v>30</v>
      </c>
      <c r="H144" s="412" t="s">
        <v>23</v>
      </c>
      <c r="I144" s="428"/>
      <c r="J144" s="414">
        <v>166896</v>
      </c>
      <c r="K144" s="414"/>
      <c r="L144" s="414">
        <v>93233</v>
      </c>
      <c r="M144" s="414"/>
      <c r="N144" s="414"/>
      <c r="O144" s="429"/>
      <c r="P144" s="430"/>
      <c r="Q144" s="430"/>
      <c r="R144" s="430"/>
      <c r="S144" s="445"/>
      <c r="T144" s="417"/>
      <c r="U144" s="418"/>
      <c r="V144" s="419"/>
      <c r="W144" s="434"/>
      <c r="X144" s="434"/>
      <c r="Y144" s="434"/>
      <c r="Z144" s="434"/>
      <c r="AA144" s="434"/>
      <c r="AB144" s="434"/>
      <c r="AC144" s="434"/>
      <c r="AD144" s="435"/>
      <c r="AE144" s="435"/>
      <c r="AF144" s="431"/>
      <c r="AG144" s="432"/>
      <c r="AH144" s="433"/>
      <c r="AI144" s="433"/>
      <c r="AJ144" s="433"/>
      <c r="AK144" s="424"/>
      <c r="AL144" s="417"/>
      <c r="AM144" s="418"/>
      <c r="AN144" s="424"/>
      <c r="AO144" s="434"/>
      <c r="AP144" s="434"/>
      <c r="AQ144" s="434"/>
      <c r="AR144" s="434"/>
      <c r="AS144" s="434"/>
      <c r="AT144" s="434"/>
      <c r="AU144" s="434"/>
      <c r="AV144" s="435"/>
      <c r="AW144" s="435"/>
      <c r="AX144" s="431"/>
      <c r="AY144" s="436"/>
      <c r="AZ144" s="430"/>
      <c r="BA144" s="430"/>
      <c r="BB144" s="430"/>
      <c r="BC144" s="424"/>
      <c r="BD144" s="417"/>
      <c r="BE144" s="418"/>
      <c r="BF144" s="424"/>
      <c r="BG144" s="434"/>
      <c r="BH144" s="434"/>
      <c r="BI144" s="434"/>
      <c r="BJ144" s="434"/>
      <c r="BK144" s="434"/>
      <c r="BL144" s="434"/>
      <c r="BM144" s="434"/>
      <c r="BN144" s="435"/>
      <c r="BO144" s="435"/>
      <c r="BP144" s="431"/>
      <c r="BQ144" s="432"/>
      <c r="BR144" s="433"/>
      <c r="BS144" s="433"/>
      <c r="BT144" s="433"/>
      <c r="BU144" s="424"/>
      <c r="BV144" s="417"/>
      <c r="BW144" s="418"/>
      <c r="BX144" s="424"/>
      <c r="BY144" s="434"/>
      <c r="BZ144" s="434"/>
      <c r="CA144" s="434"/>
      <c r="CB144" s="434"/>
      <c r="CC144" s="434"/>
      <c r="CD144" s="434"/>
      <c r="CE144" s="434"/>
      <c r="CF144" s="435"/>
      <c r="CG144" s="435"/>
      <c r="CH144" s="431"/>
    </row>
    <row r="145" spans="1:86" s="365" customFormat="1">
      <c r="A145" s="407"/>
      <c r="B145" s="408"/>
      <c r="C145" s="470" t="s">
        <v>591</v>
      </c>
      <c r="D145" s="410" t="s">
        <v>592</v>
      </c>
      <c r="E145" s="637" t="s">
        <v>15</v>
      </c>
      <c r="F145" s="411" t="s">
        <v>21</v>
      </c>
      <c r="G145" s="411" t="s">
        <v>30</v>
      </c>
      <c r="H145" s="412" t="s">
        <v>23</v>
      </c>
      <c r="I145" s="428"/>
      <c r="J145" s="414">
        <v>151194</v>
      </c>
      <c r="K145" s="414"/>
      <c r="L145" s="414">
        <v>89025</v>
      </c>
      <c r="M145" s="414"/>
      <c r="N145" s="414"/>
      <c r="O145" s="429"/>
      <c r="P145" s="430"/>
      <c r="Q145" s="430"/>
      <c r="R145" s="430"/>
      <c r="S145" s="445"/>
      <c r="T145" s="417"/>
      <c r="U145" s="418"/>
      <c r="V145" s="419"/>
      <c r="W145" s="434"/>
      <c r="X145" s="434"/>
      <c r="Y145" s="434"/>
      <c r="Z145" s="434"/>
      <c r="AA145" s="434"/>
      <c r="AB145" s="434"/>
      <c r="AC145" s="434"/>
      <c r="AD145" s="435"/>
      <c r="AE145" s="435"/>
      <c r="AF145" s="431"/>
      <c r="AG145" s="432"/>
      <c r="AH145" s="433"/>
      <c r="AI145" s="433"/>
      <c r="AJ145" s="433"/>
      <c r="AK145" s="424"/>
      <c r="AL145" s="417"/>
      <c r="AM145" s="418"/>
      <c r="AN145" s="424"/>
      <c r="AO145" s="434"/>
      <c r="AP145" s="434"/>
      <c r="AQ145" s="434"/>
      <c r="AR145" s="434"/>
      <c r="AS145" s="434"/>
      <c r="AT145" s="434"/>
      <c r="AU145" s="434"/>
      <c r="AV145" s="435"/>
      <c r="AW145" s="435"/>
      <c r="AX145" s="431"/>
      <c r="AY145" s="436"/>
      <c r="AZ145" s="430"/>
      <c r="BA145" s="430"/>
      <c r="BB145" s="430"/>
      <c r="BC145" s="424"/>
      <c r="BD145" s="417"/>
      <c r="BE145" s="418"/>
      <c r="BF145" s="424"/>
      <c r="BG145" s="434"/>
      <c r="BH145" s="434"/>
      <c r="BI145" s="434"/>
      <c r="BJ145" s="434"/>
      <c r="BK145" s="434"/>
      <c r="BL145" s="434"/>
      <c r="BM145" s="434"/>
      <c r="BN145" s="435"/>
      <c r="BO145" s="435"/>
      <c r="BP145" s="431"/>
      <c r="BQ145" s="432"/>
      <c r="BR145" s="433"/>
      <c r="BS145" s="433"/>
      <c r="BT145" s="433"/>
      <c r="BU145" s="424"/>
      <c r="BV145" s="417"/>
      <c r="BW145" s="418"/>
      <c r="BX145" s="424"/>
      <c r="BY145" s="434"/>
      <c r="BZ145" s="434"/>
      <c r="CA145" s="434"/>
      <c r="CB145" s="434"/>
      <c r="CC145" s="434"/>
      <c r="CD145" s="434"/>
      <c r="CE145" s="434"/>
      <c r="CF145" s="435"/>
      <c r="CG145" s="435"/>
      <c r="CH145" s="431"/>
    </row>
    <row r="146" spans="1:86" s="365" customFormat="1">
      <c r="A146" s="407"/>
      <c r="B146" s="408"/>
      <c r="C146" s="470" t="s">
        <v>593</v>
      </c>
      <c r="D146" s="410" t="s">
        <v>594</v>
      </c>
      <c r="E146" s="637" t="s">
        <v>15</v>
      </c>
      <c r="F146" s="411" t="s">
        <v>21</v>
      </c>
      <c r="G146" s="411" t="s">
        <v>30</v>
      </c>
      <c r="H146" s="412" t="s">
        <v>23</v>
      </c>
      <c r="I146" s="428"/>
      <c r="J146" s="414">
        <v>245945</v>
      </c>
      <c r="K146" s="414"/>
      <c r="L146" s="414">
        <v>74187</v>
      </c>
      <c r="M146" s="414"/>
      <c r="N146" s="414"/>
      <c r="O146" s="429"/>
      <c r="P146" s="430"/>
      <c r="Q146" s="430"/>
      <c r="R146" s="430"/>
      <c r="S146" s="445"/>
      <c r="T146" s="417"/>
      <c r="U146" s="418"/>
      <c r="V146" s="419"/>
      <c r="W146" s="434"/>
      <c r="X146" s="434"/>
      <c r="Y146" s="434"/>
      <c r="Z146" s="434"/>
      <c r="AA146" s="434"/>
      <c r="AB146" s="434"/>
      <c r="AC146" s="434"/>
      <c r="AD146" s="435"/>
      <c r="AE146" s="435"/>
      <c r="AF146" s="431"/>
      <c r="AG146" s="432"/>
      <c r="AH146" s="433"/>
      <c r="AI146" s="433"/>
      <c r="AJ146" s="433"/>
      <c r="AK146" s="424"/>
      <c r="AL146" s="417"/>
      <c r="AM146" s="418"/>
      <c r="AN146" s="424"/>
      <c r="AO146" s="434"/>
      <c r="AP146" s="434"/>
      <c r="AQ146" s="434"/>
      <c r="AR146" s="434"/>
      <c r="AS146" s="434"/>
      <c r="AT146" s="434"/>
      <c r="AU146" s="434"/>
      <c r="AV146" s="435"/>
      <c r="AW146" s="435"/>
      <c r="AX146" s="431"/>
      <c r="AY146" s="436"/>
      <c r="AZ146" s="430"/>
      <c r="BA146" s="430"/>
      <c r="BB146" s="430"/>
      <c r="BC146" s="424"/>
      <c r="BD146" s="417"/>
      <c r="BE146" s="418"/>
      <c r="BF146" s="424"/>
      <c r="BG146" s="434"/>
      <c r="BH146" s="434"/>
      <c r="BI146" s="434"/>
      <c r="BJ146" s="434"/>
      <c r="BK146" s="434"/>
      <c r="BL146" s="434"/>
      <c r="BM146" s="434"/>
      <c r="BN146" s="435"/>
      <c r="BO146" s="435"/>
      <c r="BP146" s="431"/>
      <c r="BQ146" s="432"/>
      <c r="BR146" s="433"/>
      <c r="BS146" s="433"/>
      <c r="BT146" s="433"/>
      <c r="BU146" s="424"/>
      <c r="BV146" s="417"/>
      <c r="BW146" s="418"/>
      <c r="BX146" s="424"/>
      <c r="BY146" s="434"/>
      <c r="BZ146" s="434"/>
      <c r="CA146" s="434"/>
      <c r="CB146" s="434"/>
      <c r="CC146" s="434"/>
      <c r="CD146" s="434"/>
      <c r="CE146" s="434"/>
      <c r="CF146" s="435"/>
      <c r="CG146" s="435"/>
      <c r="CH146" s="431"/>
    </row>
    <row r="147" spans="1:86" s="365" customFormat="1">
      <c r="A147" s="407"/>
      <c r="B147" s="408"/>
      <c r="C147" s="470" t="s">
        <v>595</v>
      </c>
      <c r="D147" s="410" t="s">
        <v>596</v>
      </c>
      <c r="E147" s="637" t="s">
        <v>20</v>
      </c>
      <c r="F147" s="411" t="s">
        <v>21</v>
      </c>
      <c r="G147" s="411" t="s">
        <v>22</v>
      </c>
      <c r="H147" s="412" t="s">
        <v>18</v>
      </c>
      <c r="I147" s="428"/>
      <c r="J147" s="414"/>
      <c r="K147" s="414"/>
      <c r="L147" s="414">
        <v>495806</v>
      </c>
      <c r="M147" s="414"/>
      <c r="N147" s="414"/>
      <c r="O147" s="429"/>
      <c r="P147" s="430"/>
      <c r="Q147" s="430"/>
      <c r="R147" s="430"/>
      <c r="S147" s="445"/>
      <c r="T147" s="417"/>
      <c r="U147" s="418"/>
      <c r="V147" s="419"/>
      <c r="W147" s="434"/>
      <c r="X147" s="434"/>
      <c r="Y147" s="434"/>
      <c r="Z147" s="434"/>
      <c r="AA147" s="434"/>
      <c r="AB147" s="434"/>
      <c r="AC147" s="434"/>
      <c r="AD147" s="435"/>
      <c r="AE147" s="435"/>
      <c r="AF147" s="431"/>
      <c r="AG147" s="432"/>
      <c r="AH147" s="433"/>
      <c r="AI147" s="433"/>
      <c r="AJ147" s="433"/>
      <c r="AK147" s="424"/>
      <c r="AL147" s="417"/>
      <c r="AM147" s="418"/>
      <c r="AN147" s="424"/>
      <c r="AO147" s="434"/>
      <c r="AP147" s="434"/>
      <c r="AQ147" s="434"/>
      <c r="AR147" s="434"/>
      <c r="AS147" s="434"/>
      <c r="AT147" s="434"/>
      <c r="AU147" s="434"/>
      <c r="AV147" s="435"/>
      <c r="AW147" s="435"/>
      <c r="AX147" s="431"/>
      <c r="AY147" s="436"/>
      <c r="AZ147" s="430"/>
      <c r="BA147" s="430"/>
      <c r="BB147" s="430"/>
      <c r="BC147" s="424"/>
      <c r="BD147" s="417"/>
      <c r="BE147" s="418"/>
      <c r="BF147" s="424"/>
      <c r="BG147" s="434"/>
      <c r="BH147" s="434"/>
      <c r="BI147" s="434"/>
      <c r="BJ147" s="434"/>
      <c r="BK147" s="434"/>
      <c r="BL147" s="434"/>
      <c r="BM147" s="434"/>
      <c r="BN147" s="435"/>
      <c r="BO147" s="435"/>
      <c r="BP147" s="431"/>
      <c r="BQ147" s="432"/>
      <c r="BR147" s="433"/>
      <c r="BS147" s="433"/>
      <c r="BT147" s="433"/>
      <c r="BU147" s="424"/>
      <c r="BV147" s="417"/>
      <c r="BW147" s="418"/>
      <c r="BX147" s="424"/>
      <c r="BY147" s="434"/>
      <c r="BZ147" s="434"/>
      <c r="CA147" s="434"/>
      <c r="CB147" s="434"/>
      <c r="CC147" s="434"/>
      <c r="CD147" s="434"/>
      <c r="CE147" s="434"/>
      <c r="CF147" s="435"/>
      <c r="CG147" s="435"/>
      <c r="CH147" s="431"/>
    </row>
    <row r="148" spans="1:86" s="365" customFormat="1">
      <c r="A148" s="407"/>
      <c r="B148" s="408"/>
      <c r="C148" s="470" t="s">
        <v>597</v>
      </c>
      <c r="D148" s="410" t="s">
        <v>598</v>
      </c>
      <c r="E148" s="637" t="s">
        <v>15</v>
      </c>
      <c r="F148" s="411" t="s">
        <v>21</v>
      </c>
      <c r="G148" s="411" t="s">
        <v>30</v>
      </c>
      <c r="H148" s="412" t="s">
        <v>23</v>
      </c>
      <c r="I148" s="428"/>
      <c r="J148" s="414">
        <v>200994</v>
      </c>
      <c r="K148" s="414"/>
      <c r="L148" s="414">
        <v>74508</v>
      </c>
      <c r="M148" s="414"/>
      <c r="N148" s="414"/>
      <c r="O148" s="429"/>
      <c r="P148" s="430"/>
      <c r="Q148" s="430"/>
      <c r="R148" s="430"/>
      <c r="S148" s="445"/>
      <c r="T148" s="417"/>
      <c r="U148" s="418"/>
      <c r="V148" s="419"/>
      <c r="W148" s="434"/>
      <c r="X148" s="434"/>
      <c r="Y148" s="434"/>
      <c r="Z148" s="434"/>
      <c r="AA148" s="434"/>
      <c r="AB148" s="434"/>
      <c r="AC148" s="434"/>
      <c r="AD148" s="435"/>
      <c r="AE148" s="435"/>
      <c r="AF148" s="431"/>
      <c r="AG148" s="432"/>
      <c r="AH148" s="433"/>
      <c r="AI148" s="433"/>
      <c r="AJ148" s="433"/>
      <c r="AK148" s="424"/>
      <c r="AL148" s="417"/>
      <c r="AM148" s="418"/>
      <c r="AN148" s="424"/>
      <c r="AO148" s="434"/>
      <c r="AP148" s="434"/>
      <c r="AQ148" s="434"/>
      <c r="AR148" s="434"/>
      <c r="AS148" s="434"/>
      <c r="AT148" s="434"/>
      <c r="AU148" s="434"/>
      <c r="AV148" s="435"/>
      <c r="AW148" s="435"/>
      <c r="AX148" s="431"/>
      <c r="AY148" s="436"/>
      <c r="AZ148" s="430"/>
      <c r="BA148" s="430"/>
      <c r="BB148" s="430"/>
      <c r="BC148" s="424"/>
      <c r="BD148" s="417"/>
      <c r="BE148" s="418"/>
      <c r="BF148" s="424"/>
      <c r="BG148" s="434"/>
      <c r="BH148" s="434"/>
      <c r="BI148" s="434"/>
      <c r="BJ148" s="434"/>
      <c r="BK148" s="434"/>
      <c r="BL148" s="434"/>
      <c r="BM148" s="434"/>
      <c r="BN148" s="435"/>
      <c r="BO148" s="435"/>
      <c r="BP148" s="431"/>
      <c r="BQ148" s="432"/>
      <c r="BR148" s="433"/>
      <c r="BS148" s="433"/>
      <c r="BT148" s="433"/>
      <c r="BU148" s="424"/>
      <c r="BV148" s="417"/>
      <c r="BW148" s="418"/>
      <c r="BX148" s="424"/>
      <c r="BY148" s="434"/>
      <c r="BZ148" s="434"/>
      <c r="CA148" s="434"/>
      <c r="CB148" s="434"/>
      <c r="CC148" s="434"/>
      <c r="CD148" s="434"/>
      <c r="CE148" s="434"/>
      <c r="CF148" s="435"/>
      <c r="CG148" s="435"/>
      <c r="CH148" s="431"/>
    </row>
    <row r="149" spans="1:86" s="365" customFormat="1">
      <c r="A149" s="407"/>
      <c r="B149" s="408"/>
      <c r="C149" s="470" t="s">
        <v>599</v>
      </c>
      <c r="D149" s="410" t="s">
        <v>600</v>
      </c>
      <c r="E149" s="637" t="s">
        <v>20</v>
      </c>
      <c r="F149" s="411" t="s">
        <v>21</v>
      </c>
      <c r="G149" s="411" t="s">
        <v>22</v>
      </c>
      <c r="H149" s="412" t="s">
        <v>18</v>
      </c>
      <c r="I149" s="428"/>
      <c r="J149" s="414">
        <v>3000</v>
      </c>
      <c r="K149" s="414"/>
      <c r="L149" s="414">
        <v>6384</v>
      </c>
      <c r="M149" s="414"/>
      <c r="N149" s="414"/>
      <c r="O149" s="429"/>
      <c r="P149" s="430"/>
      <c r="Q149" s="430"/>
      <c r="R149" s="430"/>
      <c r="S149" s="445"/>
      <c r="T149" s="417"/>
      <c r="U149" s="418"/>
      <c r="V149" s="419"/>
      <c r="W149" s="434"/>
      <c r="X149" s="434"/>
      <c r="Y149" s="434"/>
      <c r="Z149" s="434"/>
      <c r="AA149" s="434"/>
      <c r="AB149" s="434"/>
      <c r="AC149" s="434"/>
      <c r="AD149" s="435"/>
      <c r="AE149" s="435"/>
      <c r="AF149" s="431"/>
      <c r="AG149" s="432"/>
      <c r="AH149" s="433"/>
      <c r="AI149" s="433"/>
      <c r="AJ149" s="433"/>
      <c r="AK149" s="424"/>
      <c r="AL149" s="417"/>
      <c r="AM149" s="418"/>
      <c r="AN149" s="424"/>
      <c r="AO149" s="434"/>
      <c r="AP149" s="434"/>
      <c r="AQ149" s="434"/>
      <c r="AR149" s="434"/>
      <c r="AS149" s="434"/>
      <c r="AT149" s="434"/>
      <c r="AU149" s="434"/>
      <c r="AV149" s="435"/>
      <c r="AW149" s="435"/>
      <c r="AX149" s="431"/>
      <c r="AY149" s="436"/>
      <c r="AZ149" s="430"/>
      <c r="BA149" s="430"/>
      <c r="BB149" s="430"/>
      <c r="BC149" s="424"/>
      <c r="BD149" s="417"/>
      <c r="BE149" s="418"/>
      <c r="BF149" s="424"/>
      <c r="BG149" s="434"/>
      <c r="BH149" s="434"/>
      <c r="BI149" s="434"/>
      <c r="BJ149" s="434"/>
      <c r="BK149" s="434"/>
      <c r="BL149" s="434"/>
      <c r="BM149" s="434"/>
      <c r="BN149" s="435"/>
      <c r="BO149" s="435"/>
      <c r="BP149" s="431"/>
      <c r="BQ149" s="432"/>
      <c r="BR149" s="433"/>
      <c r="BS149" s="433"/>
      <c r="BT149" s="433"/>
      <c r="BU149" s="424"/>
      <c r="BV149" s="417"/>
      <c r="BW149" s="418"/>
      <c r="BX149" s="424"/>
      <c r="BY149" s="434"/>
      <c r="BZ149" s="434"/>
      <c r="CA149" s="434"/>
      <c r="CB149" s="434"/>
      <c r="CC149" s="434"/>
      <c r="CD149" s="434"/>
      <c r="CE149" s="434"/>
      <c r="CF149" s="435"/>
      <c r="CG149" s="435"/>
      <c r="CH149" s="431"/>
    </row>
    <row r="150" spans="1:86" s="365" customFormat="1">
      <c r="A150" s="407"/>
      <c r="B150" s="469"/>
      <c r="C150" s="470" t="s">
        <v>601</v>
      </c>
      <c r="D150" s="410" t="s">
        <v>602</v>
      </c>
      <c r="E150" s="637" t="s">
        <v>20</v>
      </c>
      <c r="F150" s="411" t="s">
        <v>21</v>
      </c>
      <c r="G150" s="411" t="s">
        <v>17</v>
      </c>
      <c r="H150" s="412" t="s">
        <v>18</v>
      </c>
      <c r="I150" s="428"/>
      <c r="J150" s="414">
        <v>828707</v>
      </c>
      <c r="K150" s="414"/>
      <c r="L150" s="414">
        <v>139043</v>
      </c>
      <c r="M150" s="414"/>
      <c r="N150" s="414"/>
      <c r="O150" s="429"/>
      <c r="P150" s="430"/>
      <c r="Q150" s="430"/>
      <c r="R150" s="430"/>
      <c r="S150" s="445"/>
      <c r="T150" s="417"/>
      <c r="U150" s="418"/>
      <c r="V150" s="419"/>
      <c r="W150" s="434"/>
      <c r="X150" s="434"/>
      <c r="Y150" s="434"/>
      <c r="Z150" s="434"/>
      <c r="AA150" s="434"/>
      <c r="AB150" s="434"/>
      <c r="AC150" s="434"/>
      <c r="AD150" s="435"/>
      <c r="AE150" s="435"/>
      <c r="AF150" s="431"/>
      <c r="AG150" s="432"/>
      <c r="AH150" s="433"/>
      <c r="AI150" s="433"/>
      <c r="AJ150" s="433"/>
      <c r="AK150" s="424"/>
      <c r="AL150" s="417"/>
      <c r="AM150" s="418"/>
      <c r="AN150" s="424"/>
      <c r="AO150" s="434"/>
      <c r="AP150" s="434"/>
      <c r="AQ150" s="434"/>
      <c r="AR150" s="434"/>
      <c r="AS150" s="434"/>
      <c r="AT150" s="434"/>
      <c r="AU150" s="434"/>
      <c r="AV150" s="435"/>
      <c r="AW150" s="435"/>
      <c r="AX150" s="431"/>
      <c r="AY150" s="436"/>
      <c r="AZ150" s="430"/>
      <c r="BA150" s="430"/>
      <c r="BB150" s="430"/>
      <c r="BC150" s="424"/>
      <c r="BD150" s="417"/>
      <c r="BE150" s="418"/>
      <c r="BF150" s="424"/>
      <c r="BG150" s="434"/>
      <c r="BH150" s="434"/>
      <c r="BI150" s="434"/>
      <c r="BJ150" s="434"/>
      <c r="BK150" s="434"/>
      <c r="BL150" s="434"/>
      <c r="BM150" s="434"/>
      <c r="BN150" s="435"/>
      <c r="BO150" s="435"/>
      <c r="BP150" s="431"/>
      <c r="BQ150" s="432"/>
      <c r="BR150" s="433"/>
      <c r="BS150" s="433"/>
      <c r="BT150" s="433"/>
      <c r="BU150" s="424"/>
      <c r="BV150" s="417"/>
      <c r="BW150" s="418"/>
      <c r="BX150" s="424"/>
      <c r="BY150" s="434"/>
      <c r="BZ150" s="434"/>
      <c r="CA150" s="434"/>
      <c r="CB150" s="434"/>
      <c r="CC150" s="434"/>
      <c r="CD150" s="434"/>
      <c r="CE150" s="434"/>
      <c r="CF150" s="435"/>
      <c r="CG150" s="435"/>
      <c r="CH150" s="431"/>
    </row>
    <row r="151" spans="1:86" s="365" customFormat="1">
      <c r="A151" s="407"/>
      <c r="B151" s="408"/>
      <c r="C151" s="470" t="s">
        <v>603</v>
      </c>
      <c r="D151" s="410" t="s">
        <v>604</v>
      </c>
      <c r="E151" s="637" t="s">
        <v>20</v>
      </c>
      <c r="F151" s="411" t="s">
        <v>16</v>
      </c>
      <c r="G151" s="411" t="s">
        <v>22</v>
      </c>
      <c r="H151" s="412" t="s">
        <v>18</v>
      </c>
      <c r="I151" s="428"/>
      <c r="J151" s="414"/>
      <c r="K151" s="414"/>
      <c r="L151" s="414">
        <v>650746</v>
      </c>
      <c r="M151" s="471"/>
      <c r="N151" s="471"/>
      <c r="O151" s="414"/>
      <c r="P151" s="430"/>
      <c r="Q151" s="430"/>
      <c r="R151" s="430"/>
      <c r="S151" s="445"/>
      <c r="T151" s="417"/>
      <c r="U151" s="418"/>
      <c r="V151" s="419"/>
      <c r="W151" s="434"/>
      <c r="X151" s="434"/>
      <c r="Y151" s="434"/>
      <c r="Z151" s="434"/>
      <c r="AA151" s="434"/>
      <c r="AB151" s="434"/>
      <c r="AC151" s="434"/>
      <c r="AD151" s="435"/>
      <c r="AE151" s="435"/>
      <c r="AF151" s="431"/>
      <c r="AG151" s="432"/>
      <c r="AH151" s="433"/>
      <c r="AI151" s="433"/>
      <c r="AJ151" s="433"/>
      <c r="AK151" s="424"/>
      <c r="AL151" s="417"/>
      <c r="AM151" s="418"/>
      <c r="AN151" s="424"/>
      <c r="AO151" s="434"/>
      <c r="AP151" s="434"/>
      <c r="AQ151" s="434"/>
      <c r="AR151" s="434"/>
      <c r="AS151" s="434"/>
      <c r="AT151" s="434"/>
      <c r="AU151" s="434"/>
      <c r="AV151" s="435"/>
      <c r="AW151" s="435"/>
      <c r="AX151" s="431"/>
      <c r="AY151" s="436"/>
      <c r="AZ151" s="430"/>
      <c r="BA151" s="430"/>
      <c r="BB151" s="430"/>
      <c r="BC151" s="424"/>
      <c r="BD151" s="417"/>
      <c r="BE151" s="418"/>
      <c r="BF151" s="424"/>
      <c r="BG151" s="434"/>
      <c r="BH151" s="434"/>
      <c r="BI151" s="434"/>
      <c r="BJ151" s="434"/>
      <c r="BK151" s="434"/>
      <c r="BL151" s="434"/>
      <c r="BM151" s="434"/>
      <c r="BN151" s="435"/>
      <c r="BO151" s="435"/>
      <c r="BP151" s="431"/>
      <c r="BQ151" s="432"/>
      <c r="BR151" s="433"/>
      <c r="BS151" s="433"/>
      <c r="BT151" s="433"/>
      <c r="BU151" s="424"/>
      <c r="BV151" s="417"/>
      <c r="BW151" s="418"/>
      <c r="BX151" s="424"/>
      <c r="BY151" s="434"/>
      <c r="BZ151" s="434"/>
      <c r="CA151" s="434"/>
      <c r="CB151" s="434"/>
      <c r="CC151" s="434"/>
      <c r="CD151" s="434"/>
      <c r="CE151" s="434"/>
      <c r="CF151" s="435"/>
      <c r="CG151" s="435"/>
      <c r="CH151" s="431"/>
    </row>
    <row r="152" spans="1:86" s="365" customFormat="1">
      <c r="A152" s="407"/>
      <c r="B152" s="408"/>
      <c r="C152" s="470" t="s">
        <v>605</v>
      </c>
      <c r="D152" s="410" t="s">
        <v>606</v>
      </c>
      <c r="E152" s="637" t="s">
        <v>20</v>
      </c>
      <c r="F152" s="411" t="s">
        <v>16</v>
      </c>
      <c r="G152" s="411" t="s">
        <v>30</v>
      </c>
      <c r="H152" s="412" t="s">
        <v>18</v>
      </c>
      <c r="I152" s="428"/>
      <c r="J152" s="414">
        <v>1320000</v>
      </c>
      <c r="K152" s="414"/>
      <c r="L152" s="414">
        <v>107268</v>
      </c>
      <c r="M152" s="471"/>
      <c r="N152" s="471"/>
      <c r="O152" s="414"/>
      <c r="P152" s="430"/>
      <c r="Q152" s="430"/>
      <c r="R152" s="430"/>
      <c r="S152" s="445"/>
      <c r="T152" s="417"/>
      <c r="U152" s="418"/>
      <c r="V152" s="419"/>
      <c r="W152" s="434"/>
      <c r="X152" s="434"/>
      <c r="Y152" s="434"/>
      <c r="Z152" s="434"/>
      <c r="AA152" s="434"/>
      <c r="AB152" s="434"/>
      <c r="AC152" s="434"/>
      <c r="AD152" s="435"/>
      <c r="AE152" s="435"/>
      <c r="AF152" s="431"/>
      <c r="AG152" s="432"/>
      <c r="AH152" s="433"/>
      <c r="AI152" s="433"/>
      <c r="AJ152" s="433"/>
      <c r="AK152" s="424"/>
      <c r="AL152" s="417"/>
      <c r="AM152" s="418"/>
      <c r="AN152" s="424"/>
      <c r="AO152" s="434"/>
      <c r="AP152" s="434"/>
      <c r="AQ152" s="434"/>
      <c r="AR152" s="434"/>
      <c r="AS152" s="434"/>
      <c r="AT152" s="434"/>
      <c r="AU152" s="434"/>
      <c r="AV152" s="435"/>
      <c r="AW152" s="435"/>
      <c r="AX152" s="431"/>
      <c r="AY152" s="436"/>
      <c r="AZ152" s="430"/>
      <c r="BA152" s="430"/>
      <c r="BB152" s="430"/>
      <c r="BC152" s="424"/>
      <c r="BD152" s="417"/>
      <c r="BE152" s="418"/>
      <c r="BF152" s="424"/>
      <c r="BG152" s="434"/>
      <c r="BH152" s="434"/>
      <c r="BI152" s="434"/>
      <c r="BJ152" s="434"/>
      <c r="BK152" s="434"/>
      <c r="BL152" s="434"/>
      <c r="BM152" s="434"/>
      <c r="BN152" s="435"/>
      <c r="BO152" s="435"/>
      <c r="BP152" s="431"/>
      <c r="BQ152" s="432"/>
      <c r="BR152" s="433"/>
      <c r="BS152" s="433"/>
      <c r="BT152" s="433"/>
      <c r="BU152" s="424"/>
      <c r="BV152" s="417"/>
      <c r="BW152" s="418"/>
      <c r="BX152" s="424"/>
      <c r="BY152" s="434"/>
      <c r="BZ152" s="434"/>
      <c r="CA152" s="434"/>
      <c r="CB152" s="434"/>
      <c r="CC152" s="434"/>
      <c r="CD152" s="434"/>
      <c r="CE152" s="434"/>
      <c r="CF152" s="435"/>
      <c r="CG152" s="435"/>
      <c r="CH152" s="431"/>
    </row>
    <row r="153" spans="1:86" s="365" customFormat="1">
      <c r="A153" s="407"/>
      <c r="B153" s="408"/>
      <c r="C153" s="470" t="s">
        <v>607</v>
      </c>
      <c r="D153" s="410" t="s">
        <v>608</v>
      </c>
      <c r="E153" s="637" t="s">
        <v>20</v>
      </c>
      <c r="F153" s="411" t="s">
        <v>16</v>
      </c>
      <c r="G153" s="411" t="s">
        <v>30</v>
      </c>
      <c r="H153" s="412" t="s">
        <v>18</v>
      </c>
      <c r="I153" s="428"/>
      <c r="J153" s="414">
        <v>1501000</v>
      </c>
      <c r="K153" s="414"/>
      <c r="L153" s="414">
        <v>544643</v>
      </c>
      <c r="M153" s="471"/>
      <c r="N153" s="471"/>
      <c r="O153" s="414"/>
      <c r="P153" s="430"/>
      <c r="Q153" s="430"/>
      <c r="R153" s="430"/>
      <c r="S153" s="445"/>
      <c r="T153" s="417"/>
      <c r="U153" s="418"/>
      <c r="V153" s="419"/>
      <c r="W153" s="434"/>
      <c r="X153" s="434"/>
      <c r="Y153" s="434"/>
      <c r="Z153" s="434"/>
      <c r="AA153" s="434"/>
      <c r="AB153" s="434"/>
      <c r="AC153" s="434"/>
      <c r="AD153" s="435"/>
      <c r="AE153" s="435"/>
      <c r="AF153" s="431"/>
      <c r="AG153" s="432"/>
      <c r="AH153" s="433"/>
      <c r="AI153" s="433"/>
      <c r="AJ153" s="433"/>
      <c r="AK153" s="424"/>
      <c r="AL153" s="417"/>
      <c r="AM153" s="418"/>
      <c r="AN153" s="424"/>
      <c r="AO153" s="434"/>
      <c r="AP153" s="434"/>
      <c r="AQ153" s="434"/>
      <c r="AR153" s="434"/>
      <c r="AS153" s="434"/>
      <c r="AT153" s="434"/>
      <c r="AU153" s="434"/>
      <c r="AV153" s="435"/>
      <c r="AW153" s="435"/>
      <c r="AX153" s="431"/>
      <c r="AY153" s="436"/>
      <c r="AZ153" s="430"/>
      <c r="BA153" s="430"/>
      <c r="BB153" s="430"/>
      <c r="BC153" s="424"/>
      <c r="BD153" s="417"/>
      <c r="BE153" s="418"/>
      <c r="BF153" s="424"/>
      <c r="BG153" s="434"/>
      <c r="BH153" s="434"/>
      <c r="BI153" s="434"/>
      <c r="BJ153" s="434"/>
      <c r="BK153" s="434"/>
      <c r="BL153" s="434"/>
      <c r="BM153" s="434"/>
      <c r="BN153" s="435"/>
      <c r="BO153" s="435"/>
      <c r="BP153" s="431"/>
      <c r="BQ153" s="432"/>
      <c r="BR153" s="433"/>
      <c r="BS153" s="433"/>
      <c r="BT153" s="433"/>
      <c r="BU153" s="424"/>
      <c r="BV153" s="417"/>
      <c r="BW153" s="418"/>
      <c r="BX153" s="424"/>
      <c r="BY153" s="434"/>
      <c r="BZ153" s="434"/>
      <c r="CA153" s="434"/>
      <c r="CB153" s="434"/>
      <c r="CC153" s="434"/>
      <c r="CD153" s="434"/>
      <c r="CE153" s="434"/>
      <c r="CF153" s="435"/>
      <c r="CG153" s="435"/>
      <c r="CH153" s="431"/>
    </row>
    <row r="154" spans="1:86" s="365" customFormat="1">
      <c r="A154" s="407"/>
      <c r="B154" s="408"/>
      <c r="C154" s="470" t="s">
        <v>609</v>
      </c>
      <c r="D154" s="410" t="s">
        <v>610</v>
      </c>
      <c r="E154" s="637" t="s">
        <v>20</v>
      </c>
      <c r="F154" s="411" t="s">
        <v>16</v>
      </c>
      <c r="G154" s="411" t="s">
        <v>17</v>
      </c>
      <c r="H154" s="412" t="s">
        <v>23</v>
      </c>
      <c r="I154" s="428"/>
      <c r="J154" s="414">
        <v>250000</v>
      </c>
      <c r="K154" s="414"/>
      <c r="L154" s="414">
        <v>42031</v>
      </c>
      <c r="M154" s="471"/>
      <c r="N154" s="471"/>
      <c r="O154" s="414"/>
      <c r="P154" s="430"/>
      <c r="Q154" s="430"/>
      <c r="R154" s="430"/>
      <c r="S154" s="445"/>
      <c r="T154" s="417"/>
      <c r="U154" s="418"/>
      <c r="V154" s="419"/>
      <c r="W154" s="434"/>
      <c r="X154" s="434"/>
      <c r="Y154" s="434"/>
      <c r="Z154" s="434"/>
      <c r="AA154" s="434"/>
      <c r="AB154" s="434"/>
      <c r="AC154" s="434"/>
      <c r="AD154" s="435"/>
      <c r="AE154" s="435"/>
      <c r="AF154" s="431"/>
      <c r="AG154" s="432"/>
      <c r="AH154" s="433"/>
      <c r="AI154" s="433"/>
      <c r="AJ154" s="433"/>
      <c r="AK154" s="424"/>
      <c r="AL154" s="417"/>
      <c r="AM154" s="418"/>
      <c r="AN154" s="424"/>
      <c r="AO154" s="434"/>
      <c r="AP154" s="434"/>
      <c r="AQ154" s="434"/>
      <c r="AR154" s="434"/>
      <c r="AS154" s="434"/>
      <c r="AT154" s="434"/>
      <c r="AU154" s="434"/>
      <c r="AV154" s="435"/>
      <c r="AW154" s="435"/>
      <c r="AX154" s="431"/>
      <c r="AY154" s="436"/>
      <c r="AZ154" s="430"/>
      <c r="BA154" s="430"/>
      <c r="BB154" s="430"/>
      <c r="BC154" s="424"/>
      <c r="BD154" s="417"/>
      <c r="BE154" s="418"/>
      <c r="BF154" s="424"/>
      <c r="BG154" s="434"/>
      <c r="BH154" s="434"/>
      <c r="BI154" s="434"/>
      <c r="BJ154" s="434"/>
      <c r="BK154" s="434"/>
      <c r="BL154" s="434"/>
      <c r="BM154" s="434"/>
      <c r="BN154" s="435"/>
      <c r="BO154" s="435"/>
      <c r="BP154" s="431"/>
      <c r="BQ154" s="432"/>
      <c r="BR154" s="433"/>
      <c r="BS154" s="433"/>
      <c r="BT154" s="433"/>
      <c r="BU154" s="424"/>
      <c r="BV154" s="417"/>
      <c r="BW154" s="418"/>
      <c r="BX154" s="424"/>
      <c r="BY154" s="434"/>
      <c r="BZ154" s="434"/>
      <c r="CA154" s="434"/>
      <c r="CB154" s="434"/>
      <c r="CC154" s="434"/>
      <c r="CD154" s="434"/>
      <c r="CE154" s="434"/>
      <c r="CF154" s="435"/>
      <c r="CG154" s="435"/>
      <c r="CH154" s="431"/>
    </row>
    <row r="155" spans="1:86" s="365" customFormat="1">
      <c r="A155" s="407"/>
      <c r="B155" s="408"/>
      <c r="C155" s="470" t="s">
        <v>611</v>
      </c>
      <c r="D155" s="410" t="s">
        <v>612</v>
      </c>
      <c r="E155" s="637" t="s">
        <v>20</v>
      </c>
      <c r="F155" s="411" t="s">
        <v>16</v>
      </c>
      <c r="G155" s="411" t="s">
        <v>22</v>
      </c>
      <c r="H155" s="412" t="s">
        <v>18</v>
      </c>
      <c r="I155" s="428"/>
      <c r="J155" s="414">
        <v>41000</v>
      </c>
      <c r="K155" s="414"/>
      <c r="L155" s="414"/>
      <c r="M155" s="471"/>
      <c r="N155" s="471"/>
      <c r="O155" s="414"/>
      <c r="P155" s="430"/>
      <c r="Q155" s="430"/>
      <c r="R155" s="430"/>
      <c r="S155" s="445"/>
      <c r="T155" s="417"/>
      <c r="U155" s="418"/>
      <c r="V155" s="419"/>
      <c r="W155" s="434"/>
      <c r="X155" s="434"/>
      <c r="Y155" s="434"/>
      <c r="Z155" s="434"/>
      <c r="AA155" s="434"/>
      <c r="AB155" s="434"/>
      <c r="AC155" s="434"/>
      <c r="AD155" s="435"/>
      <c r="AE155" s="435"/>
      <c r="AF155" s="431"/>
      <c r="AG155" s="432"/>
      <c r="AH155" s="433"/>
      <c r="AI155" s="433"/>
      <c r="AJ155" s="433"/>
      <c r="AK155" s="424"/>
      <c r="AL155" s="417"/>
      <c r="AM155" s="418"/>
      <c r="AN155" s="424"/>
      <c r="AO155" s="434"/>
      <c r="AP155" s="434"/>
      <c r="AQ155" s="434"/>
      <c r="AR155" s="434"/>
      <c r="AS155" s="434"/>
      <c r="AT155" s="434"/>
      <c r="AU155" s="434"/>
      <c r="AV155" s="435"/>
      <c r="AW155" s="435"/>
      <c r="AX155" s="431"/>
      <c r="AY155" s="436"/>
      <c r="AZ155" s="430"/>
      <c r="BA155" s="430"/>
      <c r="BB155" s="430"/>
      <c r="BC155" s="424"/>
      <c r="BD155" s="417"/>
      <c r="BE155" s="418"/>
      <c r="BF155" s="424"/>
      <c r="BG155" s="434"/>
      <c r="BH155" s="434"/>
      <c r="BI155" s="434"/>
      <c r="BJ155" s="434"/>
      <c r="BK155" s="434"/>
      <c r="BL155" s="434"/>
      <c r="BM155" s="434"/>
      <c r="BN155" s="435"/>
      <c r="BO155" s="435"/>
      <c r="BP155" s="431"/>
      <c r="BQ155" s="432"/>
      <c r="BR155" s="433"/>
      <c r="BS155" s="433"/>
      <c r="BT155" s="433"/>
      <c r="BU155" s="424"/>
      <c r="BV155" s="417"/>
      <c r="BW155" s="418"/>
      <c r="BX155" s="424"/>
      <c r="BY155" s="434"/>
      <c r="BZ155" s="434"/>
      <c r="CA155" s="434"/>
      <c r="CB155" s="434"/>
      <c r="CC155" s="434"/>
      <c r="CD155" s="434"/>
      <c r="CE155" s="434"/>
      <c r="CF155" s="435"/>
      <c r="CG155" s="435"/>
      <c r="CH155" s="431"/>
    </row>
    <row r="156" spans="1:86" s="365" customFormat="1">
      <c r="A156" s="407"/>
      <c r="B156" s="408"/>
      <c r="C156" s="470" t="s">
        <v>613</v>
      </c>
      <c r="D156" s="410" t="s">
        <v>614</v>
      </c>
      <c r="E156" s="637" t="s">
        <v>20</v>
      </c>
      <c r="F156" s="411" t="s">
        <v>21</v>
      </c>
      <c r="G156" s="411" t="s">
        <v>22</v>
      </c>
      <c r="H156" s="412" t="s">
        <v>18</v>
      </c>
      <c r="I156" s="428"/>
      <c r="J156" s="414">
        <v>76470</v>
      </c>
      <c r="K156" s="414"/>
      <c r="L156" s="414">
        <v>1078</v>
      </c>
      <c r="M156" s="471"/>
      <c r="N156" s="471"/>
      <c r="O156" s="414"/>
      <c r="P156" s="430"/>
      <c r="Q156" s="430"/>
      <c r="R156" s="430"/>
      <c r="S156" s="445"/>
      <c r="T156" s="417"/>
      <c r="U156" s="418"/>
      <c r="V156" s="419"/>
      <c r="W156" s="434"/>
      <c r="X156" s="434"/>
      <c r="Y156" s="434"/>
      <c r="Z156" s="434"/>
      <c r="AA156" s="434"/>
      <c r="AB156" s="434"/>
      <c r="AC156" s="434"/>
      <c r="AD156" s="435"/>
      <c r="AE156" s="435"/>
      <c r="AF156" s="431"/>
      <c r="AG156" s="432"/>
      <c r="AH156" s="433"/>
      <c r="AI156" s="433"/>
      <c r="AJ156" s="433"/>
      <c r="AK156" s="424"/>
      <c r="AL156" s="417"/>
      <c r="AM156" s="418"/>
      <c r="AN156" s="424"/>
      <c r="AO156" s="434"/>
      <c r="AP156" s="434"/>
      <c r="AQ156" s="434"/>
      <c r="AR156" s="434"/>
      <c r="AS156" s="434"/>
      <c r="AT156" s="434"/>
      <c r="AU156" s="434"/>
      <c r="AV156" s="435"/>
      <c r="AW156" s="435"/>
      <c r="AX156" s="431"/>
      <c r="AY156" s="436"/>
      <c r="AZ156" s="430"/>
      <c r="BA156" s="430"/>
      <c r="BB156" s="430"/>
      <c r="BC156" s="424"/>
      <c r="BD156" s="417"/>
      <c r="BE156" s="418"/>
      <c r="BF156" s="424"/>
      <c r="BG156" s="434"/>
      <c r="BH156" s="434"/>
      <c r="BI156" s="434"/>
      <c r="BJ156" s="434"/>
      <c r="BK156" s="434"/>
      <c r="BL156" s="434"/>
      <c r="BM156" s="434"/>
      <c r="BN156" s="435"/>
      <c r="BO156" s="435"/>
      <c r="BP156" s="431"/>
      <c r="BQ156" s="432"/>
      <c r="BR156" s="433"/>
      <c r="BS156" s="433"/>
      <c r="BT156" s="433"/>
      <c r="BU156" s="424"/>
      <c r="BV156" s="417"/>
      <c r="BW156" s="418"/>
      <c r="BX156" s="424"/>
      <c r="BY156" s="434"/>
      <c r="BZ156" s="434"/>
      <c r="CA156" s="434"/>
      <c r="CB156" s="434"/>
      <c r="CC156" s="434"/>
      <c r="CD156" s="434"/>
      <c r="CE156" s="434"/>
      <c r="CF156" s="435"/>
      <c r="CG156" s="435"/>
      <c r="CH156" s="431"/>
    </row>
    <row r="157" spans="1:86" s="365" customFormat="1">
      <c r="A157" s="407"/>
      <c r="B157" s="408"/>
      <c r="C157" s="470" t="s">
        <v>615</v>
      </c>
      <c r="D157" s="410" t="s">
        <v>616</v>
      </c>
      <c r="E157" s="637" t="s">
        <v>20</v>
      </c>
      <c r="F157" s="411" t="s">
        <v>21</v>
      </c>
      <c r="G157" s="411" t="s">
        <v>17</v>
      </c>
      <c r="H157" s="412" t="s">
        <v>18</v>
      </c>
      <c r="I157" s="428"/>
      <c r="J157" s="414">
        <v>1329300</v>
      </c>
      <c r="K157" s="414"/>
      <c r="L157" s="414"/>
      <c r="M157" s="471"/>
      <c r="N157" s="471"/>
      <c r="O157" s="414"/>
      <c r="P157" s="430"/>
      <c r="Q157" s="430"/>
      <c r="R157" s="430"/>
      <c r="S157" s="445"/>
      <c r="T157" s="417"/>
      <c r="U157" s="418"/>
      <c r="V157" s="419"/>
      <c r="W157" s="434"/>
      <c r="X157" s="434"/>
      <c r="Y157" s="434"/>
      <c r="Z157" s="434"/>
      <c r="AA157" s="434"/>
      <c r="AB157" s="434"/>
      <c r="AC157" s="434"/>
      <c r="AD157" s="435"/>
      <c r="AE157" s="435"/>
      <c r="AF157" s="431"/>
      <c r="AG157" s="432"/>
      <c r="AH157" s="433"/>
      <c r="AI157" s="433"/>
      <c r="AJ157" s="433"/>
      <c r="AK157" s="424"/>
      <c r="AL157" s="417"/>
      <c r="AM157" s="418"/>
      <c r="AN157" s="424"/>
      <c r="AO157" s="434"/>
      <c r="AP157" s="434"/>
      <c r="AQ157" s="434"/>
      <c r="AR157" s="434"/>
      <c r="AS157" s="434"/>
      <c r="AT157" s="434"/>
      <c r="AU157" s="434"/>
      <c r="AV157" s="435"/>
      <c r="AW157" s="435"/>
      <c r="AX157" s="431"/>
      <c r="AY157" s="436"/>
      <c r="AZ157" s="430"/>
      <c r="BA157" s="430"/>
      <c r="BB157" s="430"/>
      <c r="BC157" s="424"/>
      <c r="BD157" s="417"/>
      <c r="BE157" s="418"/>
      <c r="BF157" s="424"/>
      <c r="BG157" s="434"/>
      <c r="BH157" s="434"/>
      <c r="BI157" s="434"/>
      <c r="BJ157" s="434"/>
      <c r="BK157" s="434"/>
      <c r="BL157" s="434"/>
      <c r="BM157" s="434"/>
      <c r="BN157" s="435"/>
      <c r="BO157" s="435"/>
      <c r="BP157" s="431"/>
      <c r="BQ157" s="432"/>
      <c r="BR157" s="433"/>
      <c r="BS157" s="433"/>
      <c r="BT157" s="433"/>
      <c r="BU157" s="424"/>
      <c r="BV157" s="417"/>
      <c r="BW157" s="418"/>
      <c r="BX157" s="424"/>
      <c r="BY157" s="434"/>
      <c r="BZ157" s="434"/>
      <c r="CA157" s="434"/>
      <c r="CB157" s="434"/>
      <c r="CC157" s="434"/>
      <c r="CD157" s="434"/>
      <c r="CE157" s="434"/>
      <c r="CF157" s="435"/>
      <c r="CG157" s="435"/>
      <c r="CH157" s="431"/>
    </row>
    <row r="158" spans="1:86" s="365" customFormat="1">
      <c r="A158" s="407"/>
      <c r="B158" s="408"/>
      <c r="C158" s="470" t="s">
        <v>617</v>
      </c>
      <c r="D158" s="410" t="s">
        <v>618</v>
      </c>
      <c r="E158" s="637" t="s">
        <v>20</v>
      </c>
      <c r="F158" s="411" t="s">
        <v>21</v>
      </c>
      <c r="G158" s="411" t="s">
        <v>17</v>
      </c>
      <c r="H158" s="412" t="s">
        <v>18</v>
      </c>
      <c r="I158" s="428"/>
      <c r="J158" s="414">
        <v>2998599</v>
      </c>
      <c r="K158" s="414"/>
      <c r="L158" s="414">
        <v>40214</v>
      </c>
      <c r="M158" s="471"/>
      <c r="N158" s="471"/>
      <c r="O158" s="414"/>
      <c r="P158" s="430"/>
      <c r="Q158" s="430"/>
      <c r="R158" s="430"/>
      <c r="S158" s="445"/>
      <c r="T158" s="417"/>
      <c r="U158" s="418"/>
      <c r="V158" s="419"/>
      <c r="W158" s="434"/>
      <c r="X158" s="434"/>
      <c r="Y158" s="434"/>
      <c r="Z158" s="434"/>
      <c r="AA158" s="434"/>
      <c r="AB158" s="434"/>
      <c r="AC158" s="434"/>
      <c r="AD158" s="435"/>
      <c r="AE158" s="435"/>
      <c r="AF158" s="431"/>
      <c r="AG158" s="432"/>
      <c r="AH158" s="433"/>
      <c r="AI158" s="433"/>
      <c r="AJ158" s="433"/>
      <c r="AK158" s="424"/>
      <c r="AL158" s="417"/>
      <c r="AM158" s="418"/>
      <c r="AN158" s="424"/>
      <c r="AO158" s="434"/>
      <c r="AP158" s="434"/>
      <c r="AQ158" s="434"/>
      <c r="AR158" s="434"/>
      <c r="AS158" s="434"/>
      <c r="AT158" s="434"/>
      <c r="AU158" s="434"/>
      <c r="AV158" s="435"/>
      <c r="AW158" s="435"/>
      <c r="AX158" s="431"/>
      <c r="AY158" s="436"/>
      <c r="AZ158" s="430"/>
      <c r="BA158" s="430"/>
      <c r="BB158" s="430"/>
      <c r="BC158" s="424"/>
      <c r="BD158" s="417"/>
      <c r="BE158" s="418"/>
      <c r="BF158" s="424"/>
      <c r="BG158" s="434"/>
      <c r="BH158" s="434"/>
      <c r="BI158" s="434"/>
      <c r="BJ158" s="434"/>
      <c r="BK158" s="434"/>
      <c r="BL158" s="434"/>
      <c r="BM158" s="434"/>
      <c r="BN158" s="435"/>
      <c r="BO158" s="435"/>
      <c r="BP158" s="431"/>
      <c r="BQ158" s="432"/>
      <c r="BR158" s="433"/>
      <c r="BS158" s="433"/>
      <c r="BT158" s="433"/>
      <c r="BU158" s="424"/>
      <c r="BV158" s="417"/>
      <c r="BW158" s="418"/>
      <c r="BX158" s="424"/>
      <c r="BY158" s="434"/>
      <c r="BZ158" s="434"/>
      <c r="CA158" s="434"/>
      <c r="CB158" s="434"/>
      <c r="CC158" s="434"/>
      <c r="CD158" s="434"/>
      <c r="CE158" s="434"/>
      <c r="CF158" s="435"/>
      <c r="CG158" s="435"/>
      <c r="CH158" s="431"/>
    </row>
    <row r="159" spans="1:86" s="365" customFormat="1">
      <c r="B159" s="437"/>
      <c r="C159" s="472" t="s">
        <v>619</v>
      </c>
      <c r="D159" s="439" t="s">
        <v>620</v>
      </c>
      <c r="E159" s="637" t="s">
        <v>20</v>
      </c>
      <c r="F159" s="411" t="s">
        <v>21</v>
      </c>
      <c r="G159" s="411" t="s">
        <v>17</v>
      </c>
      <c r="H159" s="412" t="s">
        <v>18</v>
      </c>
      <c r="I159" s="413"/>
      <c r="J159" s="414">
        <v>2042627</v>
      </c>
      <c r="K159" s="414"/>
      <c r="L159" s="414">
        <v>134410</v>
      </c>
      <c r="M159" s="473"/>
      <c r="N159" s="473"/>
      <c r="O159" s="414"/>
      <c r="P159" s="414"/>
      <c r="Q159" s="414"/>
      <c r="R159" s="414"/>
      <c r="S159" s="416"/>
      <c r="T159" s="417"/>
      <c r="U159" s="442"/>
      <c r="V159" s="419"/>
      <c r="W159" s="425"/>
      <c r="X159" s="425"/>
      <c r="Y159" s="425"/>
      <c r="Z159" s="425"/>
      <c r="AA159" s="425"/>
      <c r="AB159" s="425"/>
      <c r="AC159" s="425"/>
      <c r="AD159" s="426"/>
      <c r="AE159" s="426"/>
      <c r="AF159" s="421"/>
      <c r="AG159" s="422"/>
      <c r="AH159" s="423"/>
      <c r="AI159" s="423"/>
      <c r="AJ159" s="423"/>
      <c r="AK159" s="424"/>
      <c r="AL159" s="417"/>
      <c r="AM159" s="442"/>
      <c r="AN159" s="424"/>
      <c r="AO159" s="425"/>
      <c r="AP159" s="425"/>
      <c r="AQ159" s="425"/>
      <c r="AR159" s="425"/>
      <c r="AS159" s="425"/>
      <c r="AT159" s="425"/>
      <c r="AU159" s="425"/>
      <c r="AV159" s="426"/>
      <c r="AW159" s="426"/>
      <c r="AX159" s="421"/>
      <c r="AY159" s="427"/>
      <c r="AZ159" s="414"/>
      <c r="BA159" s="414"/>
      <c r="BB159" s="414"/>
      <c r="BC159" s="424"/>
      <c r="BD159" s="417"/>
      <c r="BE159" s="442"/>
      <c r="BF159" s="424"/>
      <c r="BG159" s="425"/>
      <c r="BH159" s="425"/>
      <c r="BI159" s="425"/>
      <c r="BJ159" s="425"/>
      <c r="BK159" s="425"/>
      <c r="BL159" s="425"/>
      <c r="BM159" s="425"/>
      <c r="BN159" s="426"/>
      <c r="BO159" s="426"/>
      <c r="BP159" s="421"/>
      <c r="BQ159" s="422"/>
      <c r="BR159" s="423"/>
      <c r="BS159" s="423"/>
      <c r="BT159" s="423"/>
      <c r="BU159" s="424"/>
      <c r="BV159" s="417"/>
      <c r="BW159" s="418"/>
      <c r="BX159" s="424"/>
      <c r="BY159" s="425"/>
      <c r="BZ159" s="425"/>
      <c r="CA159" s="425"/>
      <c r="CB159" s="425"/>
      <c r="CC159" s="425"/>
      <c r="CD159" s="425"/>
      <c r="CE159" s="425"/>
      <c r="CF159" s="426"/>
      <c r="CG159" s="426"/>
      <c r="CH159" s="421"/>
    </row>
    <row r="160" spans="1:86" s="365" customFormat="1">
      <c r="B160" s="437"/>
      <c r="C160" s="472" t="s">
        <v>621</v>
      </c>
      <c r="D160" s="443" t="s">
        <v>622</v>
      </c>
      <c r="E160" s="637" t="s">
        <v>20</v>
      </c>
      <c r="F160" s="411" t="s">
        <v>21</v>
      </c>
      <c r="G160" s="411" t="s">
        <v>22</v>
      </c>
      <c r="H160" s="412" t="s">
        <v>18</v>
      </c>
      <c r="I160" s="444"/>
      <c r="J160" s="414">
        <v>3469704</v>
      </c>
      <c r="K160" s="414"/>
      <c r="L160" s="414">
        <v>81261</v>
      </c>
      <c r="M160" s="474"/>
      <c r="N160" s="474"/>
      <c r="O160" s="414"/>
      <c r="P160" s="414"/>
      <c r="Q160" s="414"/>
      <c r="R160" s="414"/>
      <c r="S160" s="416"/>
      <c r="T160" s="417"/>
      <c r="U160" s="442"/>
      <c r="V160" s="419"/>
      <c r="W160" s="425"/>
      <c r="X160" s="425"/>
      <c r="Y160" s="425"/>
      <c r="Z160" s="425"/>
      <c r="AA160" s="425"/>
      <c r="AB160" s="425"/>
      <c r="AC160" s="425"/>
      <c r="AD160" s="426"/>
      <c r="AE160" s="426"/>
      <c r="AF160" s="421"/>
      <c r="AG160" s="422"/>
      <c r="AH160" s="423"/>
      <c r="AI160" s="423"/>
      <c r="AJ160" s="423"/>
      <c r="AK160" s="424"/>
      <c r="AL160" s="417"/>
      <c r="AM160" s="442"/>
      <c r="AN160" s="424"/>
      <c r="AO160" s="425"/>
      <c r="AP160" s="425"/>
      <c r="AQ160" s="425"/>
      <c r="AR160" s="425"/>
      <c r="AS160" s="425"/>
      <c r="AT160" s="425"/>
      <c r="AU160" s="425"/>
      <c r="AV160" s="426"/>
      <c r="AW160" s="426"/>
      <c r="AX160" s="421"/>
      <c r="AY160" s="427"/>
      <c r="AZ160" s="414"/>
      <c r="BA160" s="414"/>
      <c r="BB160" s="414"/>
      <c r="BC160" s="424"/>
      <c r="BD160" s="417"/>
      <c r="BE160" s="442"/>
      <c r="BF160" s="424"/>
      <c r="BG160" s="425"/>
      <c r="BH160" s="425"/>
      <c r="BI160" s="425"/>
      <c r="BJ160" s="425"/>
      <c r="BK160" s="425"/>
      <c r="BL160" s="425"/>
      <c r="BM160" s="425"/>
      <c r="BN160" s="426"/>
      <c r="BO160" s="426"/>
      <c r="BP160" s="421"/>
      <c r="BQ160" s="422"/>
      <c r="BR160" s="423"/>
      <c r="BS160" s="423"/>
      <c r="BT160" s="423"/>
      <c r="BU160" s="424"/>
      <c r="BV160" s="417"/>
      <c r="BW160" s="418"/>
      <c r="BX160" s="424"/>
      <c r="BY160" s="425"/>
      <c r="BZ160" s="425"/>
      <c r="CA160" s="425"/>
      <c r="CB160" s="425"/>
      <c r="CC160" s="425"/>
      <c r="CD160" s="425"/>
      <c r="CE160" s="425"/>
      <c r="CF160" s="426"/>
      <c r="CG160" s="426"/>
      <c r="CH160" s="421"/>
    </row>
    <row r="161" spans="2:86" s="365" customFormat="1">
      <c r="B161" s="437"/>
      <c r="C161" s="472" t="s">
        <v>623</v>
      </c>
      <c r="D161" s="446" t="s">
        <v>624</v>
      </c>
      <c r="E161" s="637" t="s">
        <v>20</v>
      </c>
      <c r="F161" s="411" t="s">
        <v>21</v>
      </c>
      <c r="G161" s="411" t="s">
        <v>30</v>
      </c>
      <c r="H161" s="412" t="s">
        <v>18</v>
      </c>
      <c r="I161" s="413"/>
      <c r="J161" s="414">
        <v>1936000</v>
      </c>
      <c r="K161" s="414"/>
      <c r="L161" s="414">
        <v>325215</v>
      </c>
      <c r="M161" s="473"/>
      <c r="N161" s="473"/>
      <c r="O161" s="414"/>
      <c r="P161" s="414"/>
      <c r="Q161" s="414"/>
      <c r="R161" s="414"/>
      <c r="S161" s="416"/>
      <c r="T161" s="417"/>
      <c r="U161" s="442"/>
      <c r="V161" s="419"/>
      <c r="W161" s="425"/>
      <c r="X161" s="425"/>
      <c r="Y161" s="425"/>
      <c r="Z161" s="425"/>
      <c r="AA161" s="425"/>
      <c r="AB161" s="425"/>
      <c r="AC161" s="425"/>
      <c r="AD161" s="426"/>
      <c r="AE161" s="426"/>
      <c r="AF161" s="421"/>
      <c r="AG161" s="422"/>
      <c r="AH161" s="423"/>
      <c r="AI161" s="423"/>
      <c r="AJ161" s="423"/>
      <c r="AK161" s="424"/>
      <c r="AL161" s="417"/>
      <c r="AM161" s="442"/>
      <c r="AN161" s="424"/>
      <c r="AO161" s="425"/>
      <c r="AP161" s="425"/>
      <c r="AQ161" s="425"/>
      <c r="AR161" s="425"/>
      <c r="AS161" s="425"/>
      <c r="AT161" s="425"/>
      <c r="AU161" s="425"/>
      <c r="AV161" s="426"/>
      <c r="AW161" s="426"/>
      <c r="AX161" s="421"/>
      <c r="AY161" s="427"/>
      <c r="AZ161" s="414"/>
      <c r="BA161" s="414"/>
      <c r="BB161" s="414"/>
      <c r="BC161" s="424"/>
      <c r="BD161" s="417"/>
      <c r="BE161" s="442"/>
      <c r="BF161" s="424"/>
      <c r="BG161" s="425"/>
      <c r="BH161" s="425"/>
      <c r="BI161" s="425"/>
      <c r="BJ161" s="425"/>
      <c r="BK161" s="425"/>
      <c r="BL161" s="425"/>
      <c r="BM161" s="425"/>
      <c r="BN161" s="426"/>
      <c r="BO161" s="426"/>
      <c r="BP161" s="421"/>
      <c r="BQ161" s="422"/>
      <c r="BR161" s="423"/>
      <c r="BS161" s="423"/>
      <c r="BT161" s="423"/>
      <c r="BU161" s="424"/>
      <c r="BV161" s="417"/>
      <c r="BW161" s="418"/>
      <c r="BX161" s="424"/>
      <c r="BY161" s="425"/>
      <c r="BZ161" s="425"/>
      <c r="CA161" s="425"/>
      <c r="CB161" s="425"/>
      <c r="CC161" s="425"/>
      <c r="CD161" s="425"/>
      <c r="CE161" s="425"/>
      <c r="CF161" s="426"/>
      <c r="CG161" s="426"/>
      <c r="CH161" s="421"/>
    </row>
    <row r="162" spans="2:86" s="365" customFormat="1">
      <c r="B162" s="437"/>
      <c r="C162" s="472" t="s">
        <v>625</v>
      </c>
      <c r="D162" s="446" t="s">
        <v>626</v>
      </c>
      <c r="E162" s="637" t="s">
        <v>20</v>
      </c>
      <c r="F162" s="411" t="s">
        <v>16</v>
      </c>
      <c r="G162" s="411" t="s">
        <v>22</v>
      </c>
      <c r="H162" s="412" t="s">
        <v>23</v>
      </c>
      <c r="I162" s="413"/>
      <c r="J162" s="414">
        <v>167200</v>
      </c>
      <c r="K162" s="414"/>
      <c r="L162" s="414"/>
      <c r="M162" s="473"/>
      <c r="N162" s="473"/>
      <c r="O162" s="414"/>
      <c r="P162" s="414"/>
      <c r="Q162" s="414"/>
      <c r="R162" s="414"/>
      <c r="S162" s="416"/>
      <c r="T162" s="417"/>
      <c r="U162" s="442"/>
      <c r="V162" s="419"/>
      <c r="W162" s="425"/>
      <c r="X162" s="425"/>
      <c r="Y162" s="425"/>
      <c r="Z162" s="425"/>
      <c r="AA162" s="425"/>
      <c r="AB162" s="425"/>
      <c r="AC162" s="425"/>
      <c r="AD162" s="426"/>
      <c r="AE162" s="426"/>
      <c r="AF162" s="421"/>
      <c r="AG162" s="422"/>
      <c r="AH162" s="423"/>
      <c r="AI162" s="423"/>
      <c r="AJ162" s="423"/>
      <c r="AK162" s="424"/>
      <c r="AL162" s="417"/>
      <c r="AM162" s="442"/>
      <c r="AN162" s="424"/>
      <c r="AO162" s="425"/>
      <c r="AP162" s="425"/>
      <c r="AQ162" s="425"/>
      <c r="AR162" s="425"/>
      <c r="AS162" s="425"/>
      <c r="AT162" s="425"/>
      <c r="AU162" s="425"/>
      <c r="AV162" s="426"/>
      <c r="AW162" s="426"/>
      <c r="AX162" s="421"/>
      <c r="AY162" s="427"/>
      <c r="AZ162" s="414"/>
      <c r="BA162" s="414"/>
      <c r="BB162" s="414"/>
      <c r="BC162" s="424"/>
      <c r="BD162" s="417"/>
      <c r="BE162" s="442"/>
      <c r="BF162" s="424"/>
      <c r="BG162" s="425"/>
      <c r="BH162" s="425"/>
      <c r="BI162" s="425"/>
      <c r="BJ162" s="425"/>
      <c r="BK162" s="425"/>
      <c r="BL162" s="425"/>
      <c r="BM162" s="425"/>
      <c r="BN162" s="426"/>
      <c r="BO162" s="426"/>
      <c r="BP162" s="421"/>
      <c r="BQ162" s="422"/>
      <c r="BR162" s="423"/>
      <c r="BS162" s="423"/>
      <c r="BT162" s="423"/>
      <c r="BU162" s="424"/>
      <c r="BV162" s="417"/>
      <c r="BW162" s="418"/>
      <c r="BX162" s="424"/>
      <c r="BY162" s="425"/>
      <c r="BZ162" s="425"/>
      <c r="CA162" s="425"/>
      <c r="CB162" s="425"/>
      <c r="CC162" s="425"/>
      <c r="CD162" s="425"/>
      <c r="CE162" s="425"/>
      <c r="CF162" s="426"/>
      <c r="CG162" s="426"/>
      <c r="CH162" s="421"/>
    </row>
    <row r="163" spans="2:86" s="365" customFormat="1">
      <c r="B163" s="408"/>
      <c r="C163" s="470" t="s">
        <v>627</v>
      </c>
      <c r="D163" s="449" t="s">
        <v>628</v>
      </c>
      <c r="E163" s="637" t="s">
        <v>20</v>
      </c>
      <c r="F163" s="411" t="s">
        <v>16</v>
      </c>
      <c r="G163" s="411" t="s">
        <v>17</v>
      </c>
      <c r="H163" s="412" t="s">
        <v>23</v>
      </c>
      <c r="I163" s="428"/>
      <c r="J163" s="414">
        <v>22120</v>
      </c>
      <c r="K163" s="414"/>
      <c r="L163" s="414"/>
      <c r="M163" s="471"/>
      <c r="N163" s="471"/>
      <c r="O163" s="414"/>
      <c r="P163" s="430"/>
      <c r="Q163" s="430"/>
      <c r="R163" s="430"/>
      <c r="S163" s="445"/>
      <c r="T163" s="417"/>
      <c r="U163" s="418"/>
      <c r="V163" s="419"/>
      <c r="W163" s="434"/>
      <c r="X163" s="434"/>
      <c r="Y163" s="434"/>
      <c r="Z163" s="434"/>
      <c r="AA163" s="434"/>
      <c r="AB163" s="434"/>
      <c r="AC163" s="434"/>
      <c r="AD163" s="435"/>
      <c r="AE163" s="435"/>
      <c r="AF163" s="431"/>
      <c r="AG163" s="432"/>
      <c r="AH163" s="433"/>
      <c r="AI163" s="433"/>
      <c r="AJ163" s="433"/>
      <c r="AK163" s="424"/>
      <c r="AL163" s="417"/>
      <c r="AM163" s="418"/>
      <c r="AN163" s="424"/>
      <c r="AO163" s="434"/>
      <c r="AP163" s="434"/>
      <c r="AQ163" s="434"/>
      <c r="AR163" s="434"/>
      <c r="AS163" s="434"/>
      <c r="AT163" s="434"/>
      <c r="AU163" s="434"/>
      <c r="AV163" s="435"/>
      <c r="AW163" s="435"/>
      <c r="AX163" s="431"/>
      <c r="AY163" s="436"/>
      <c r="AZ163" s="430"/>
      <c r="BA163" s="430"/>
      <c r="BB163" s="430"/>
      <c r="BC163" s="424"/>
      <c r="BD163" s="417"/>
      <c r="BE163" s="418"/>
      <c r="BF163" s="424"/>
      <c r="BG163" s="434"/>
      <c r="BH163" s="434"/>
      <c r="BI163" s="434"/>
      <c r="BJ163" s="434"/>
      <c r="BK163" s="434"/>
      <c r="BL163" s="434"/>
      <c r="BM163" s="434"/>
      <c r="BN163" s="435"/>
      <c r="BO163" s="435"/>
      <c r="BP163" s="431"/>
      <c r="BQ163" s="432"/>
      <c r="BR163" s="433"/>
      <c r="BS163" s="433"/>
      <c r="BT163" s="433"/>
      <c r="BU163" s="424"/>
      <c r="BV163" s="417"/>
      <c r="BW163" s="418"/>
      <c r="BX163" s="424"/>
      <c r="BY163" s="434"/>
      <c r="BZ163" s="434"/>
      <c r="CA163" s="434"/>
      <c r="CB163" s="434"/>
      <c r="CC163" s="434"/>
      <c r="CD163" s="434"/>
      <c r="CE163" s="434"/>
      <c r="CF163" s="435"/>
      <c r="CG163" s="435"/>
      <c r="CH163" s="431"/>
    </row>
    <row r="164" spans="2:86" s="365" customFormat="1">
      <c r="B164" s="437"/>
      <c r="C164" s="472" t="s">
        <v>629</v>
      </c>
      <c r="D164" s="446" t="s">
        <v>630</v>
      </c>
      <c r="E164" s="637" t="s">
        <v>20</v>
      </c>
      <c r="F164" s="411" t="s">
        <v>16</v>
      </c>
      <c r="G164" s="411" t="s">
        <v>22</v>
      </c>
      <c r="H164" s="412" t="s">
        <v>23</v>
      </c>
      <c r="I164" s="413"/>
      <c r="J164" s="414">
        <v>16720</v>
      </c>
      <c r="K164" s="414"/>
      <c r="L164" s="414"/>
      <c r="M164" s="473"/>
      <c r="N164" s="473"/>
      <c r="O164" s="414"/>
      <c r="P164" s="414"/>
      <c r="Q164" s="414"/>
      <c r="R164" s="414"/>
      <c r="S164" s="416"/>
      <c r="T164" s="417"/>
      <c r="U164" s="442"/>
      <c r="V164" s="419"/>
      <c r="W164" s="425"/>
      <c r="X164" s="425"/>
      <c r="Y164" s="425"/>
      <c r="Z164" s="425"/>
      <c r="AA164" s="425"/>
      <c r="AB164" s="425"/>
      <c r="AC164" s="425"/>
      <c r="AD164" s="426"/>
      <c r="AE164" s="426"/>
      <c r="AF164" s="421"/>
      <c r="AG164" s="422"/>
      <c r="AH164" s="423"/>
      <c r="AI164" s="423"/>
      <c r="AJ164" s="423"/>
      <c r="AK164" s="424"/>
      <c r="AL164" s="417"/>
      <c r="AM164" s="442"/>
      <c r="AN164" s="424"/>
      <c r="AO164" s="425"/>
      <c r="AP164" s="425"/>
      <c r="AQ164" s="425"/>
      <c r="AR164" s="425"/>
      <c r="AS164" s="425"/>
      <c r="AT164" s="425"/>
      <c r="AU164" s="425"/>
      <c r="AV164" s="426"/>
      <c r="AW164" s="426"/>
      <c r="AX164" s="421"/>
      <c r="AY164" s="427"/>
      <c r="AZ164" s="414"/>
      <c r="BA164" s="414"/>
      <c r="BB164" s="414"/>
      <c r="BC164" s="424"/>
      <c r="BD164" s="417"/>
      <c r="BE164" s="442"/>
      <c r="BF164" s="424"/>
      <c r="BG164" s="425"/>
      <c r="BH164" s="425"/>
      <c r="BI164" s="425"/>
      <c r="BJ164" s="425"/>
      <c r="BK164" s="425"/>
      <c r="BL164" s="425"/>
      <c r="BM164" s="425"/>
      <c r="BN164" s="426"/>
      <c r="BO164" s="426"/>
      <c r="BP164" s="421"/>
      <c r="BQ164" s="422"/>
      <c r="BR164" s="423"/>
      <c r="BS164" s="423"/>
      <c r="BT164" s="423"/>
      <c r="BU164" s="424"/>
      <c r="BV164" s="417"/>
      <c r="BW164" s="418"/>
      <c r="BX164" s="424"/>
      <c r="BY164" s="425"/>
      <c r="BZ164" s="425"/>
      <c r="CA164" s="425"/>
      <c r="CB164" s="425"/>
      <c r="CC164" s="425"/>
      <c r="CD164" s="425"/>
      <c r="CE164" s="425"/>
      <c r="CF164" s="426"/>
      <c r="CG164" s="426"/>
      <c r="CH164" s="421"/>
    </row>
    <row r="165" spans="2:86" s="365" customFormat="1">
      <c r="B165" s="437"/>
      <c r="C165" s="472" t="s">
        <v>631</v>
      </c>
      <c r="D165" s="446" t="s">
        <v>632</v>
      </c>
      <c r="E165" s="637" t="s">
        <v>20</v>
      </c>
      <c r="F165" s="411" t="s">
        <v>21</v>
      </c>
      <c r="G165" s="411" t="s">
        <v>27</v>
      </c>
      <c r="H165" s="412" t="s">
        <v>18</v>
      </c>
      <c r="I165" s="413"/>
      <c r="J165" s="414">
        <v>3003422</v>
      </c>
      <c r="K165" s="414"/>
      <c r="L165" s="414"/>
      <c r="M165" s="473"/>
      <c r="N165" s="473"/>
      <c r="O165" s="414"/>
      <c r="P165" s="414"/>
      <c r="Q165" s="414"/>
      <c r="R165" s="414"/>
      <c r="S165" s="416"/>
      <c r="T165" s="417"/>
      <c r="U165" s="442"/>
      <c r="V165" s="419"/>
      <c r="W165" s="425"/>
      <c r="X165" s="425"/>
      <c r="Y165" s="425"/>
      <c r="Z165" s="425"/>
      <c r="AA165" s="425"/>
      <c r="AB165" s="425"/>
      <c r="AC165" s="425"/>
      <c r="AD165" s="426"/>
      <c r="AE165" s="426"/>
      <c r="AF165" s="421"/>
      <c r="AG165" s="422"/>
      <c r="AH165" s="423"/>
      <c r="AI165" s="423"/>
      <c r="AJ165" s="423"/>
      <c r="AK165" s="424"/>
      <c r="AL165" s="417"/>
      <c r="AM165" s="442"/>
      <c r="AN165" s="424"/>
      <c r="AO165" s="425"/>
      <c r="AP165" s="425"/>
      <c r="AQ165" s="425"/>
      <c r="AR165" s="425"/>
      <c r="AS165" s="425"/>
      <c r="AT165" s="425"/>
      <c r="AU165" s="425"/>
      <c r="AV165" s="426"/>
      <c r="AW165" s="426"/>
      <c r="AX165" s="421"/>
      <c r="AY165" s="427"/>
      <c r="AZ165" s="414"/>
      <c r="BA165" s="414"/>
      <c r="BB165" s="414"/>
      <c r="BC165" s="424"/>
      <c r="BD165" s="417"/>
      <c r="BE165" s="442"/>
      <c r="BF165" s="424"/>
      <c r="BG165" s="425"/>
      <c r="BH165" s="425"/>
      <c r="BI165" s="425"/>
      <c r="BJ165" s="425"/>
      <c r="BK165" s="425"/>
      <c r="BL165" s="425"/>
      <c r="BM165" s="425"/>
      <c r="BN165" s="426"/>
      <c r="BO165" s="426"/>
      <c r="BP165" s="421"/>
      <c r="BQ165" s="422"/>
      <c r="BR165" s="423"/>
      <c r="BS165" s="423"/>
      <c r="BT165" s="423"/>
      <c r="BU165" s="424"/>
      <c r="BV165" s="417"/>
      <c r="BW165" s="418"/>
      <c r="BX165" s="424"/>
      <c r="BY165" s="425"/>
      <c r="BZ165" s="425"/>
      <c r="CA165" s="425"/>
      <c r="CB165" s="425"/>
      <c r="CC165" s="425"/>
      <c r="CD165" s="425"/>
      <c r="CE165" s="425"/>
      <c r="CF165" s="426"/>
      <c r="CG165" s="426"/>
      <c r="CH165" s="421"/>
    </row>
    <row r="166" spans="2:86" s="365" customFormat="1">
      <c r="B166" s="437"/>
      <c r="C166" s="472" t="s">
        <v>633</v>
      </c>
      <c r="D166" s="446" t="s">
        <v>634</v>
      </c>
      <c r="E166" s="637" t="s">
        <v>20</v>
      </c>
      <c r="F166" s="411" t="s">
        <v>21</v>
      </c>
      <c r="G166" s="411" t="s">
        <v>22</v>
      </c>
      <c r="H166" s="412" t="s">
        <v>18</v>
      </c>
      <c r="I166" s="413"/>
      <c r="J166" s="414">
        <v>5229547</v>
      </c>
      <c r="K166" s="414"/>
      <c r="L166" s="414"/>
      <c r="M166" s="473"/>
      <c r="N166" s="473"/>
      <c r="O166" s="414"/>
      <c r="P166" s="414"/>
      <c r="Q166" s="414"/>
      <c r="R166" s="414"/>
      <c r="S166" s="416"/>
      <c r="T166" s="417"/>
      <c r="U166" s="442"/>
      <c r="V166" s="419"/>
      <c r="W166" s="425"/>
      <c r="X166" s="425"/>
      <c r="Y166" s="425"/>
      <c r="Z166" s="425"/>
      <c r="AA166" s="425"/>
      <c r="AB166" s="425"/>
      <c r="AC166" s="425"/>
      <c r="AD166" s="426"/>
      <c r="AE166" s="426"/>
      <c r="AF166" s="421"/>
      <c r="AG166" s="422"/>
      <c r="AH166" s="423"/>
      <c r="AI166" s="423"/>
      <c r="AJ166" s="423"/>
      <c r="AK166" s="424"/>
      <c r="AL166" s="417"/>
      <c r="AM166" s="442"/>
      <c r="AN166" s="424"/>
      <c r="AO166" s="425"/>
      <c r="AP166" s="425"/>
      <c r="AQ166" s="425"/>
      <c r="AR166" s="425"/>
      <c r="AS166" s="425"/>
      <c r="AT166" s="425"/>
      <c r="AU166" s="425"/>
      <c r="AV166" s="426"/>
      <c r="AW166" s="426"/>
      <c r="AX166" s="421"/>
      <c r="AY166" s="427"/>
      <c r="AZ166" s="414"/>
      <c r="BA166" s="414"/>
      <c r="BB166" s="414"/>
      <c r="BC166" s="424"/>
      <c r="BD166" s="417"/>
      <c r="BE166" s="442"/>
      <c r="BF166" s="424"/>
      <c r="BG166" s="425"/>
      <c r="BH166" s="425"/>
      <c r="BI166" s="425"/>
      <c r="BJ166" s="425"/>
      <c r="BK166" s="425"/>
      <c r="BL166" s="425"/>
      <c r="BM166" s="425"/>
      <c r="BN166" s="426"/>
      <c r="BO166" s="426"/>
      <c r="BP166" s="421"/>
      <c r="BQ166" s="422"/>
      <c r="BR166" s="423"/>
      <c r="BS166" s="423"/>
      <c r="BT166" s="423"/>
      <c r="BU166" s="424"/>
      <c r="BV166" s="417"/>
      <c r="BW166" s="418"/>
      <c r="BX166" s="424"/>
      <c r="BY166" s="425"/>
      <c r="BZ166" s="425"/>
      <c r="CA166" s="425"/>
      <c r="CB166" s="425"/>
      <c r="CC166" s="425"/>
      <c r="CD166" s="425"/>
      <c r="CE166" s="425"/>
      <c r="CF166" s="426"/>
      <c r="CG166" s="426"/>
      <c r="CH166" s="421"/>
    </row>
    <row r="167" spans="2:86" s="365" customFormat="1">
      <c r="B167" s="437"/>
      <c r="C167" s="472" t="s">
        <v>635</v>
      </c>
      <c r="D167" s="446" t="s">
        <v>636</v>
      </c>
      <c r="E167" s="637" t="s">
        <v>20</v>
      </c>
      <c r="F167" s="411" t="s">
        <v>21</v>
      </c>
      <c r="G167" s="411" t="s">
        <v>17</v>
      </c>
      <c r="H167" s="412" t="s">
        <v>26</v>
      </c>
      <c r="I167" s="413"/>
      <c r="J167" s="414">
        <v>2502450</v>
      </c>
      <c r="K167" s="414"/>
      <c r="L167" s="414">
        <v>1372</v>
      </c>
      <c r="M167" s="473"/>
      <c r="N167" s="473"/>
      <c r="O167" s="414"/>
      <c r="P167" s="414"/>
      <c r="Q167" s="414"/>
      <c r="R167" s="414"/>
      <c r="S167" s="416"/>
      <c r="T167" s="417"/>
      <c r="U167" s="442"/>
      <c r="V167" s="419"/>
      <c r="W167" s="425"/>
      <c r="X167" s="425"/>
      <c r="Y167" s="425"/>
      <c r="Z167" s="425"/>
      <c r="AA167" s="425"/>
      <c r="AB167" s="425"/>
      <c r="AC167" s="425"/>
      <c r="AD167" s="426"/>
      <c r="AE167" s="426"/>
      <c r="AF167" s="421"/>
      <c r="AG167" s="422"/>
      <c r="AH167" s="423"/>
      <c r="AI167" s="423"/>
      <c r="AJ167" s="423"/>
      <c r="AK167" s="424"/>
      <c r="AL167" s="417"/>
      <c r="AM167" s="442"/>
      <c r="AN167" s="424"/>
      <c r="AO167" s="425"/>
      <c r="AP167" s="425"/>
      <c r="AQ167" s="425"/>
      <c r="AR167" s="425"/>
      <c r="AS167" s="425"/>
      <c r="AT167" s="425"/>
      <c r="AU167" s="425"/>
      <c r="AV167" s="426"/>
      <c r="AW167" s="426"/>
      <c r="AX167" s="421"/>
      <c r="AY167" s="427"/>
      <c r="AZ167" s="414"/>
      <c r="BA167" s="414"/>
      <c r="BB167" s="414"/>
      <c r="BC167" s="424"/>
      <c r="BD167" s="417"/>
      <c r="BE167" s="442"/>
      <c r="BF167" s="424"/>
      <c r="BG167" s="425"/>
      <c r="BH167" s="425"/>
      <c r="BI167" s="425"/>
      <c r="BJ167" s="425"/>
      <c r="BK167" s="425"/>
      <c r="BL167" s="425"/>
      <c r="BM167" s="425"/>
      <c r="BN167" s="426"/>
      <c r="BO167" s="426"/>
      <c r="BP167" s="421"/>
      <c r="BQ167" s="422"/>
      <c r="BR167" s="423"/>
      <c r="BS167" s="423"/>
      <c r="BT167" s="423"/>
      <c r="BU167" s="424"/>
      <c r="BV167" s="417"/>
      <c r="BW167" s="418"/>
      <c r="BX167" s="424"/>
      <c r="BY167" s="425"/>
      <c r="BZ167" s="425"/>
      <c r="CA167" s="425"/>
      <c r="CB167" s="425"/>
      <c r="CC167" s="425"/>
      <c r="CD167" s="425"/>
      <c r="CE167" s="425"/>
      <c r="CF167" s="426"/>
      <c r="CG167" s="426"/>
      <c r="CH167" s="421"/>
    </row>
    <row r="168" spans="2:86" s="365" customFormat="1">
      <c r="B168" s="437"/>
      <c r="C168" s="472" t="s">
        <v>637</v>
      </c>
      <c r="D168" s="443" t="s">
        <v>638</v>
      </c>
      <c r="E168" s="637" t="s">
        <v>20</v>
      </c>
      <c r="F168" s="411" t="s">
        <v>21</v>
      </c>
      <c r="G168" s="411" t="s">
        <v>22</v>
      </c>
      <c r="H168" s="412" t="s">
        <v>18</v>
      </c>
      <c r="I168" s="444"/>
      <c r="J168" s="414">
        <v>864586</v>
      </c>
      <c r="K168" s="414"/>
      <c r="L168" s="414">
        <v>494049</v>
      </c>
      <c r="M168" s="474"/>
      <c r="N168" s="474"/>
      <c r="O168" s="414"/>
      <c r="P168" s="414"/>
      <c r="Q168" s="414"/>
      <c r="R168" s="414"/>
      <c r="S168" s="416"/>
      <c r="T168" s="417"/>
      <c r="U168" s="442"/>
      <c r="V168" s="419"/>
      <c r="W168" s="425"/>
      <c r="X168" s="425"/>
      <c r="Y168" s="425"/>
      <c r="Z168" s="425"/>
      <c r="AA168" s="425"/>
      <c r="AB168" s="425"/>
      <c r="AC168" s="425"/>
      <c r="AD168" s="426"/>
      <c r="AE168" s="426"/>
      <c r="AF168" s="421"/>
      <c r="AG168" s="422"/>
      <c r="AH168" s="423"/>
      <c r="AI168" s="423"/>
      <c r="AJ168" s="423"/>
      <c r="AK168" s="424"/>
      <c r="AL168" s="417"/>
      <c r="AM168" s="442"/>
      <c r="AN168" s="424"/>
      <c r="AO168" s="425"/>
      <c r="AP168" s="425"/>
      <c r="AQ168" s="425"/>
      <c r="AR168" s="425"/>
      <c r="AS168" s="425"/>
      <c r="AT168" s="425"/>
      <c r="AU168" s="425"/>
      <c r="AV168" s="426"/>
      <c r="AW168" s="426"/>
      <c r="AX168" s="421"/>
      <c r="AY168" s="427"/>
      <c r="AZ168" s="414"/>
      <c r="BA168" s="414"/>
      <c r="BB168" s="414"/>
      <c r="BC168" s="424"/>
      <c r="BD168" s="417"/>
      <c r="BE168" s="442"/>
      <c r="BF168" s="424"/>
      <c r="BG168" s="425"/>
      <c r="BH168" s="425"/>
      <c r="BI168" s="425"/>
      <c r="BJ168" s="425"/>
      <c r="BK168" s="425"/>
      <c r="BL168" s="425"/>
      <c r="BM168" s="425"/>
      <c r="BN168" s="426"/>
      <c r="BO168" s="426"/>
      <c r="BP168" s="421"/>
      <c r="BQ168" s="422"/>
      <c r="BR168" s="423"/>
      <c r="BS168" s="423"/>
      <c r="BT168" s="423"/>
      <c r="BU168" s="424"/>
      <c r="BV168" s="417"/>
      <c r="BW168" s="418"/>
      <c r="BX168" s="424"/>
      <c r="BY168" s="425"/>
      <c r="BZ168" s="425"/>
      <c r="CA168" s="425"/>
      <c r="CB168" s="425"/>
      <c r="CC168" s="425"/>
      <c r="CD168" s="425"/>
      <c r="CE168" s="425"/>
      <c r="CF168" s="426"/>
      <c r="CG168" s="426"/>
      <c r="CH168" s="421"/>
    </row>
    <row r="169" spans="2:86" s="365" customFormat="1">
      <c r="B169" s="408"/>
      <c r="C169" s="470" t="s">
        <v>639</v>
      </c>
      <c r="D169" s="447" t="s">
        <v>640</v>
      </c>
      <c r="E169" s="637" t="s">
        <v>20</v>
      </c>
      <c r="F169" s="411" t="s">
        <v>21</v>
      </c>
      <c r="G169" s="411" t="s">
        <v>22</v>
      </c>
      <c r="H169" s="412" t="s">
        <v>18</v>
      </c>
      <c r="I169" s="448"/>
      <c r="J169" s="414">
        <v>86459</v>
      </c>
      <c r="K169" s="414"/>
      <c r="L169" s="414"/>
      <c r="M169" s="475"/>
      <c r="N169" s="475"/>
      <c r="O169" s="414"/>
      <c r="P169" s="430"/>
      <c r="Q169" s="430"/>
      <c r="R169" s="430"/>
      <c r="S169" s="445"/>
      <c r="T169" s="417"/>
      <c r="U169" s="418"/>
      <c r="V169" s="419"/>
      <c r="W169" s="434"/>
      <c r="X169" s="434"/>
      <c r="Y169" s="434"/>
      <c r="Z169" s="434"/>
      <c r="AA169" s="434"/>
      <c r="AB169" s="434"/>
      <c r="AC169" s="434"/>
      <c r="AD169" s="435"/>
      <c r="AE169" s="435"/>
      <c r="AF169" s="431"/>
      <c r="AG169" s="432"/>
      <c r="AH169" s="433"/>
      <c r="AI169" s="433"/>
      <c r="AJ169" s="433"/>
      <c r="AK169" s="424"/>
      <c r="AL169" s="417"/>
      <c r="AM169" s="418"/>
      <c r="AN169" s="424"/>
      <c r="AO169" s="434"/>
      <c r="AP169" s="434"/>
      <c r="AQ169" s="434"/>
      <c r="AR169" s="434"/>
      <c r="AS169" s="434"/>
      <c r="AT169" s="434"/>
      <c r="AU169" s="434"/>
      <c r="AV169" s="435"/>
      <c r="AW169" s="435"/>
      <c r="AX169" s="431"/>
      <c r="AY169" s="436"/>
      <c r="AZ169" s="430"/>
      <c r="BA169" s="430"/>
      <c r="BB169" s="430"/>
      <c r="BC169" s="424"/>
      <c r="BD169" s="417"/>
      <c r="BE169" s="418"/>
      <c r="BF169" s="424"/>
      <c r="BG169" s="434"/>
      <c r="BH169" s="434"/>
      <c r="BI169" s="434"/>
      <c r="BJ169" s="434"/>
      <c r="BK169" s="434"/>
      <c r="BL169" s="434"/>
      <c r="BM169" s="434"/>
      <c r="BN169" s="435"/>
      <c r="BO169" s="435"/>
      <c r="BP169" s="431"/>
      <c r="BQ169" s="432"/>
      <c r="BR169" s="433"/>
      <c r="BS169" s="433"/>
      <c r="BT169" s="433"/>
      <c r="BU169" s="424"/>
      <c r="BV169" s="417"/>
      <c r="BW169" s="418"/>
      <c r="BX169" s="424"/>
      <c r="BY169" s="434"/>
      <c r="BZ169" s="434"/>
      <c r="CA169" s="434"/>
      <c r="CB169" s="434"/>
      <c r="CC169" s="434"/>
      <c r="CD169" s="434"/>
      <c r="CE169" s="434"/>
      <c r="CF169" s="435"/>
      <c r="CG169" s="435"/>
      <c r="CH169" s="431"/>
    </row>
    <row r="170" spans="2:86" s="365" customFormat="1">
      <c r="B170" s="469" t="s">
        <v>641</v>
      </c>
      <c r="C170" s="470"/>
      <c r="D170" s="443"/>
      <c r="E170" s="637"/>
      <c r="F170" s="411"/>
      <c r="G170" s="411"/>
      <c r="H170" s="412"/>
      <c r="I170" s="444"/>
      <c r="J170" s="414"/>
      <c r="K170" s="414"/>
      <c r="L170" s="414"/>
      <c r="M170" s="474"/>
      <c r="N170" s="474"/>
      <c r="O170" s="414"/>
      <c r="P170" s="414"/>
      <c r="Q170" s="414"/>
      <c r="R170" s="414"/>
      <c r="S170" s="416"/>
      <c r="T170" s="417"/>
      <c r="U170" s="442"/>
      <c r="V170" s="419"/>
      <c r="W170" s="425"/>
      <c r="X170" s="425"/>
      <c r="Y170" s="425"/>
      <c r="Z170" s="425"/>
      <c r="AA170" s="425"/>
      <c r="AB170" s="425"/>
      <c r="AC170" s="425"/>
      <c r="AD170" s="426"/>
      <c r="AE170" s="426"/>
      <c r="AF170" s="421"/>
      <c r="AG170" s="422"/>
      <c r="AH170" s="423"/>
      <c r="AI170" s="423"/>
      <c r="AJ170" s="423"/>
      <c r="AK170" s="424"/>
      <c r="AL170" s="417"/>
      <c r="AM170" s="442"/>
      <c r="AN170" s="424"/>
      <c r="AO170" s="425"/>
      <c r="AP170" s="425"/>
      <c r="AQ170" s="425"/>
      <c r="AR170" s="425"/>
      <c r="AS170" s="425"/>
      <c r="AT170" s="425"/>
      <c r="AU170" s="425"/>
      <c r="AV170" s="426"/>
      <c r="AW170" s="426"/>
      <c r="AX170" s="421"/>
      <c r="AY170" s="427"/>
      <c r="AZ170" s="414"/>
      <c r="BA170" s="414"/>
      <c r="BB170" s="414"/>
      <c r="BC170" s="424"/>
      <c r="BD170" s="417"/>
      <c r="BE170" s="442"/>
      <c r="BF170" s="424"/>
      <c r="BG170" s="425"/>
      <c r="BH170" s="425"/>
      <c r="BI170" s="425"/>
      <c r="BJ170" s="425"/>
      <c r="BK170" s="425"/>
      <c r="BL170" s="425"/>
      <c r="BM170" s="425"/>
      <c r="BN170" s="426"/>
      <c r="BO170" s="426"/>
      <c r="BP170" s="421"/>
      <c r="BQ170" s="422"/>
      <c r="BR170" s="423"/>
      <c r="BS170" s="423"/>
      <c r="BT170" s="423"/>
      <c r="BU170" s="424"/>
      <c r="BV170" s="417"/>
      <c r="BW170" s="418"/>
      <c r="BX170" s="424"/>
      <c r="BY170" s="425"/>
      <c r="BZ170" s="425"/>
      <c r="CA170" s="425"/>
      <c r="CB170" s="425"/>
      <c r="CC170" s="425"/>
      <c r="CD170" s="425"/>
      <c r="CE170" s="425"/>
      <c r="CF170" s="426"/>
      <c r="CG170" s="426"/>
      <c r="CH170" s="421"/>
    </row>
    <row r="171" spans="2:86" s="365" customFormat="1">
      <c r="B171" s="437"/>
      <c r="C171" s="472" t="s">
        <v>609</v>
      </c>
      <c r="D171" s="443" t="s">
        <v>642</v>
      </c>
      <c r="E171" s="637" t="s">
        <v>20</v>
      </c>
      <c r="F171" s="411" t="s">
        <v>16</v>
      </c>
      <c r="G171" s="411" t="s">
        <v>17</v>
      </c>
      <c r="H171" s="412" t="s">
        <v>23</v>
      </c>
      <c r="I171" s="444"/>
      <c r="J171" s="414"/>
      <c r="K171" s="414"/>
      <c r="L171" s="414"/>
      <c r="M171" s="474">
        <v>828705</v>
      </c>
      <c r="N171" s="474">
        <v>850757</v>
      </c>
      <c r="O171" s="414"/>
      <c r="P171" s="414"/>
      <c r="Q171" s="414"/>
      <c r="R171" s="414"/>
      <c r="S171" s="416"/>
      <c r="T171" s="417"/>
      <c r="U171" s="442"/>
      <c r="V171" s="419"/>
      <c r="W171" s="425"/>
      <c r="X171" s="425"/>
      <c r="Y171" s="425"/>
      <c r="Z171" s="425"/>
      <c r="AA171" s="425"/>
      <c r="AB171" s="425"/>
      <c r="AC171" s="425"/>
      <c r="AD171" s="426"/>
      <c r="AE171" s="426"/>
      <c r="AF171" s="421"/>
      <c r="AG171" s="422"/>
      <c r="AH171" s="423"/>
      <c r="AI171" s="423"/>
      <c r="AJ171" s="423"/>
      <c r="AK171" s="424"/>
      <c r="AL171" s="417"/>
      <c r="AM171" s="442"/>
      <c r="AN171" s="424"/>
      <c r="AO171" s="425"/>
      <c r="AP171" s="425"/>
      <c r="AQ171" s="425"/>
      <c r="AR171" s="425"/>
      <c r="AS171" s="425"/>
      <c r="AT171" s="425"/>
      <c r="AU171" s="425"/>
      <c r="AV171" s="426"/>
      <c r="AW171" s="426"/>
      <c r="AX171" s="421"/>
      <c r="AY171" s="427"/>
      <c r="AZ171" s="414"/>
      <c r="BA171" s="414"/>
      <c r="BB171" s="414"/>
      <c r="BC171" s="424"/>
      <c r="BD171" s="417"/>
      <c r="BE171" s="442"/>
      <c r="BF171" s="424"/>
      <c r="BG171" s="425"/>
      <c r="BH171" s="425"/>
      <c r="BI171" s="425"/>
      <c r="BJ171" s="425"/>
      <c r="BK171" s="425"/>
      <c r="BL171" s="425"/>
      <c r="BM171" s="425"/>
      <c r="BN171" s="426"/>
      <c r="BO171" s="426"/>
      <c r="BP171" s="421"/>
      <c r="BQ171" s="422"/>
      <c r="BR171" s="423"/>
      <c r="BS171" s="423"/>
      <c r="BT171" s="423"/>
      <c r="BU171" s="424"/>
      <c r="BV171" s="417"/>
      <c r="BW171" s="418"/>
      <c r="BX171" s="424"/>
      <c r="BY171" s="425"/>
      <c r="BZ171" s="425"/>
      <c r="CA171" s="425"/>
      <c r="CB171" s="425"/>
      <c r="CC171" s="425"/>
      <c r="CD171" s="425"/>
      <c r="CE171" s="425"/>
      <c r="CF171" s="426"/>
      <c r="CG171" s="426"/>
      <c r="CH171" s="421"/>
    </row>
    <row r="172" spans="2:86" s="365" customFormat="1">
      <c r="B172" s="437"/>
      <c r="C172" s="472" t="s">
        <v>627</v>
      </c>
      <c r="D172" s="443" t="s">
        <v>643</v>
      </c>
      <c r="E172" s="637" t="s">
        <v>20</v>
      </c>
      <c r="F172" s="411" t="s">
        <v>16</v>
      </c>
      <c r="G172" s="411" t="s">
        <v>17</v>
      </c>
      <c r="H172" s="412" t="s">
        <v>23</v>
      </c>
      <c r="I172" s="444"/>
      <c r="J172" s="414"/>
      <c r="K172" s="414"/>
      <c r="L172" s="414"/>
      <c r="M172" s="474">
        <v>250000</v>
      </c>
      <c r="N172" s="474"/>
      <c r="O172" s="414"/>
      <c r="P172" s="414"/>
      <c r="Q172" s="414"/>
      <c r="R172" s="414"/>
      <c r="S172" s="416"/>
      <c r="T172" s="417"/>
      <c r="U172" s="442"/>
      <c r="V172" s="419"/>
      <c r="W172" s="425"/>
      <c r="X172" s="425"/>
      <c r="Y172" s="425"/>
      <c r="Z172" s="425"/>
      <c r="AA172" s="425"/>
      <c r="AB172" s="425"/>
      <c r="AC172" s="425"/>
      <c r="AD172" s="426"/>
      <c r="AE172" s="426"/>
      <c r="AF172" s="421"/>
      <c r="AG172" s="422"/>
      <c r="AH172" s="423"/>
      <c r="AI172" s="423"/>
      <c r="AJ172" s="423"/>
      <c r="AK172" s="424"/>
      <c r="AL172" s="417"/>
      <c r="AM172" s="442"/>
      <c r="AN172" s="424"/>
      <c r="AO172" s="425"/>
      <c r="AP172" s="425"/>
      <c r="AQ172" s="425"/>
      <c r="AR172" s="425"/>
      <c r="AS172" s="425"/>
      <c r="AT172" s="425"/>
      <c r="AU172" s="425"/>
      <c r="AV172" s="426"/>
      <c r="AW172" s="426"/>
      <c r="AX172" s="421"/>
      <c r="AY172" s="427"/>
      <c r="AZ172" s="414"/>
      <c r="BA172" s="414"/>
      <c r="BB172" s="414"/>
      <c r="BC172" s="424"/>
      <c r="BD172" s="417"/>
      <c r="BE172" s="442"/>
      <c r="BF172" s="424"/>
      <c r="BG172" s="425"/>
      <c r="BH172" s="425"/>
      <c r="BI172" s="425"/>
      <c r="BJ172" s="425"/>
      <c r="BK172" s="425"/>
      <c r="BL172" s="425"/>
      <c r="BM172" s="425"/>
      <c r="BN172" s="426"/>
      <c r="BO172" s="426"/>
      <c r="BP172" s="421"/>
      <c r="BQ172" s="422"/>
      <c r="BR172" s="423"/>
      <c r="BS172" s="423"/>
      <c r="BT172" s="423"/>
      <c r="BU172" s="424"/>
      <c r="BV172" s="417"/>
      <c r="BW172" s="418"/>
      <c r="BX172" s="424"/>
      <c r="BY172" s="425"/>
      <c r="BZ172" s="425"/>
      <c r="CA172" s="425"/>
      <c r="CB172" s="425"/>
      <c r="CC172" s="425"/>
      <c r="CD172" s="425"/>
      <c r="CE172" s="425"/>
      <c r="CF172" s="426"/>
      <c r="CG172" s="426"/>
      <c r="CH172" s="421"/>
    </row>
    <row r="173" spans="2:86" s="365" customFormat="1">
      <c r="B173" s="437"/>
      <c r="C173" s="472" t="s">
        <v>637</v>
      </c>
      <c r="D173" s="439" t="s">
        <v>644</v>
      </c>
      <c r="E173" s="637" t="s">
        <v>20</v>
      </c>
      <c r="F173" s="411" t="s">
        <v>24</v>
      </c>
      <c r="G173" s="411" t="s">
        <v>22</v>
      </c>
      <c r="H173" s="412" t="s">
        <v>18</v>
      </c>
      <c r="I173" s="413"/>
      <c r="J173" s="414"/>
      <c r="K173" s="414"/>
      <c r="L173" s="414"/>
      <c r="M173" s="473">
        <v>42500</v>
      </c>
      <c r="N173" s="473">
        <v>48000</v>
      </c>
      <c r="O173" s="414"/>
      <c r="P173" s="414"/>
      <c r="Q173" s="414"/>
      <c r="R173" s="414"/>
      <c r="S173" s="416"/>
      <c r="T173" s="417"/>
      <c r="U173" s="442"/>
      <c r="V173" s="419"/>
      <c r="W173" s="425"/>
      <c r="X173" s="425"/>
      <c r="Y173" s="425"/>
      <c r="Z173" s="425"/>
      <c r="AA173" s="425"/>
      <c r="AB173" s="425"/>
      <c r="AC173" s="425"/>
      <c r="AD173" s="426"/>
      <c r="AE173" s="426"/>
      <c r="AF173" s="421"/>
      <c r="AG173" s="422"/>
      <c r="AH173" s="423"/>
      <c r="AI173" s="423"/>
      <c r="AJ173" s="423"/>
      <c r="AK173" s="424"/>
      <c r="AL173" s="417"/>
      <c r="AM173" s="442"/>
      <c r="AN173" s="424"/>
      <c r="AO173" s="425"/>
      <c r="AP173" s="425"/>
      <c r="AQ173" s="425"/>
      <c r="AR173" s="425"/>
      <c r="AS173" s="425"/>
      <c r="AT173" s="425"/>
      <c r="AU173" s="425"/>
      <c r="AV173" s="426"/>
      <c r="AW173" s="426"/>
      <c r="AX173" s="421"/>
      <c r="AY173" s="427"/>
      <c r="AZ173" s="414"/>
      <c r="BA173" s="414"/>
      <c r="BB173" s="414"/>
      <c r="BC173" s="424"/>
      <c r="BD173" s="417"/>
      <c r="BE173" s="442"/>
      <c r="BF173" s="424"/>
      <c r="BG173" s="425"/>
      <c r="BH173" s="425"/>
      <c r="BI173" s="425"/>
      <c r="BJ173" s="425"/>
      <c r="BK173" s="425"/>
      <c r="BL173" s="425"/>
      <c r="BM173" s="425"/>
      <c r="BN173" s="426"/>
      <c r="BO173" s="426"/>
      <c r="BP173" s="421"/>
      <c r="BQ173" s="422"/>
      <c r="BR173" s="423"/>
      <c r="BS173" s="423"/>
      <c r="BT173" s="423"/>
      <c r="BU173" s="424"/>
      <c r="BV173" s="417"/>
      <c r="BW173" s="418"/>
      <c r="BX173" s="424"/>
      <c r="BY173" s="425"/>
      <c r="BZ173" s="425"/>
      <c r="CA173" s="425"/>
      <c r="CB173" s="425"/>
      <c r="CC173" s="425"/>
      <c r="CD173" s="425"/>
      <c r="CE173" s="425"/>
      <c r="CF173" s="426"/>
      <c r="CG173" s="426"/>
      <c r="CH173" s="421"/>
    </row>
    <row r="174" spans="2:86" s="365" customFormat="1">
      <c r="B174" s="437"/>
      <c r="C174" s="472" t="s">
        <v>639</v>
      </c>
      <c r="D174" s="439" t="s">
        <v>645</v>
      </c>
      <c r="E174" s="637" t="s">
        <v>20</v>
      </c>
      <c r="F174" s="411" t="s">
        <v>16</v>
      </c>
      <c r="G174" s="411" t="s">
        <v>22</v>
      </c>
      <c r="H174" s="412" t="s">
        <v>18</v>
      </c>
      <c r="I174" s="413"/>
      <c r="J174" s="414"/>
      <c r="K174" s="414"/>
      <c r="L174" s="414"/>
      <c r="M174" s="473">
        <v>1094913</v>
      </c>
      <c r="N174" s="473">
        <v>1143794</v>
      </c>
      <c r="O174" s="414"/>
      <c r="P174" s="414"/>
      <c r="Q174" s="414"/>
      <c r="R174" s="414"/>
      <c r="S174" s="416"/>
      <c r="T174" s="417"/>
      <c r="U174" s="442"/>
      <c r="V174" s="419"/>
      <c r="W174" s="425"/>
      <c r="X174" s="425"/>
      <c r="Y174" s="425"/>
      <c r="Z174" s="425"/>
      <c r="AA174" s="425"/>
      <c r="AB174" s="425"/>
      <c r="AC174" s="425"/>
      <c r="AD174" s="426"/>
      <c r="AE174" s="426"/>
      <c r="AF174" s="421"/>
      <c r="AG174" s="422"/>
      <c r="AH174" s="423"/>
      <c r="AI174" s="423"/>
      <c r="AJ174" s="423"/>
      <c r="AK174" s="424"/>
      <c r="AL174" s="417"/>
      <c r="AM174" s="442"/>
      <c r="AN174" s="424"/>
      <c r="AO174" s="425"/>
      <c r="AP174" s="425"/>
      <c r="AQ174" s="425"/>
      <c r="AR174" s="425"/>
      <c r="AS174" s="425"/>
      <c r="AT174" s="425"/>
      <c r="AU174" s="425"/>
      <c r="AV174" s="426"/>
      <c r="AW174" s="426"/>
      <c r="AX174" s="421"/>
      <c r="AY174" s="427"/>
      <c r="AZ174" s="414"/>
      <c r="BA174" s="414"/>
      <c r="BB174" s="414"/>
      <c r="BC174" s="424"/>
      <c r="BD174" s="417"/>
      <c r="BE174" s="442"/>
      <c r="BF174" s="424"/>
      <c r="BG174" s="425"/>
      <c r="BH174" s="425"/>
      <c r="BI174" s="425"/>
      <c r="BJ174" s="425"/>
      <c r="BK174" s="425"/>
      <c r="BL174" s="425"/>
      <c r="BM174" s="425"/>
      <c r="BN174" s="426"/>
      <c r="BO174" s="426"/>
      <c r="BP174" s="421"/>
      <c r="BQ174" s="422"/>
      <c r="BR174" s="423"/>
      <c r="BS174" s="423"/>
      <c r="BT174" s="423"/>
      <c r="BU174" s="424"/>
      <c r="BV174" s="417"/>
      <c r="BW174" s="418"/>
      <c r="BX174" s="424"/>
      <c r="BY174" s="425"/>
      <c r="BZ174" s="425"/>
      <c r="CA174" s="425"/>
      <c r="CB174" s="425"/>
      <c r="CC174" s="425"/>
      <c r="CD174" s="425"/>
      <c r="CE174" s="425"/>
      <c r="CF174" s="426"/>
      <c r="CG174" s="426"/>
      <c r="CH174" s="421"/>
    </row>
    <row r="175" spans="2:86">
      <c r="B175" s="437"/>
      <c r="C175" s="472" t="s">
        <v>557</v>
      </c>
      <c r="D175" s="439" t="s">
        <v>646</v>
      </c>
      <c r="E175" s="637" t="s">
        <v>15</v>
      </c>
      <c r="F175" s="411" t="s">
        <v>16</v>
      </c>
      <c r="G175" s="411" t="s">
        <v>30</v>
      </c>
      <c r="H175" s="412" t="s">
        <v>23</v>
      </c>
      <c r="I175" s="413"/>
      <c r="J175" s="414"/>
      <c r="K175" s="414"/>
      <c r="L175" s="414"/>
      <c r="M175" s="473">
        <v>20000</v>
      </c>
      <c r="N175" s="473">
        <v>23000</v>
      </c>
      <c r="O175" s="414"/>
      <c r="P175" s="414"/>
      <c r="Q175" s="414"/>
      <c r="R175" s="414"/>
      <c r="S175" s="416"/>
      <c r="T175" s="417"/>
      <c r="U175" s="442"/>
      <c r="V175" s="419"/>
      <c r="W175" s="425"/>
      <c r="X175" s="425"/>
      <c r="Y175" s="425"/>
      <c r="Z175" s="425"/>
      <c r="AA175" s="425"/>
      <c r="AB175" s="425"/>
      <c r="AC175" s="425"/>
      <c r="AD175" s="426"/>
      <c r="AE175" s="426"/>
      <c r="AF175" s="421"/>
      <c r="AG175" s="422"/>
      <c r="AH175" s="423"/>
      <c r="AI175" s="423"/>
      <c r="AJ175" s="423"/>
      <c r="AK175" s="424"/>
      <c r="AL175" s="417"/>
      <c r="AM175" s="442"/>
      <c r="AN175" s="424"/>
      <c r="AO175" s="425"/>
      <c r="AP175" s="425"/>
      <c r="AQ175" s="425"/>
      <c r="AR175" s="425"/>
      <c r="AS175" s="425"/>
      <c r="AT175" s="425"/>
      <c r="AU175" s="425"/>
      <c r="AV175" s="426"/>
      <c r="AW175" s="426"/>
      <c r="AX175" s="421"/>
      <c r="AY175" s="427"/>
      <c r="AZ175" s="414"/>
      <c r="BA175" s="414"/>
      <c r="BB175" s="414"/>
      <c r="BC175" s="424"/>
      <c r="BD175" s="417"/>
      <c r="BE175" s="442"/>
      <c r="BF175" s="424"/>
      <c r="BG175" s="425"/>
      <c r="BH175" s="425"/>
      <c r="BI175" s="425"/>
      <c r="BJ175" s="425"/>
      <c r="BK175" s="425"/>
      <c r="BL175" s="425"/>
      <c r="BM175" s="425"/>
      <c r="BN175" s="426"/>
      <c r="BO175" s="426"/>
      <c r="BP175" s="421"/>
      <c r="BQ175" s="422"/>
      <c r="BR175" s="423"/>
      <c r="BS175" s="423"/>
      <c r="BT175" s="423"/>
      <c r="BU175" s="424"/>
      <c r="BV175" s="417"/>
      <c r="BW175" s="418"/>
      <c r="BX175" s="424"/>
      <c r="BY175" s="425"/>
      <c r="BZ175" s="425"/>
      <c r="CA175" s="425"/>
      <c r="CB175" s="425"/>
      <c r="CC175" s="425"/>
      <c r="CD175" s="425"/>
      <c r="CE175" s="425"/>
      <c r="CF175" s="426"/>
      <c r="CG175" s="426"/>
      <c r="CH175" s="421"/>
    </row>
    <row r="176" spans="2:86">
      <c r="B176" s="437"/>
      <c r="C176" s="472" t="s">
        <v>559</v>
      </c>
      <c r="D176" s="439" t="s">
        <v>647</v>
      </c>
      <c r="E176" s="637" t="s">
        <v>15</v>
      </c>
      <c r="F176" s="411" t="s">
        <v>16</v>
      </c>
      <c r="G176" s="411" t="s">
        <v>30</v>
      </c>
      <c r="H176" s="412" t="s">
        <v>23</v>
      </c>
      <c r="I176" s="413"/>
      <c r="J176" s="414"/>
      <c r="K176" s="414"/>
      <c r="L176" s="414"/>
      <c r="M176" s="473">
        <v>104440</v>
      </c>
      <c r="N176" s="473"/>
      <c r="O176" s="414"/>
      <c r="P176" s="414"/>
      <c r="Q176" s="414"/>
      <c r="R176" s="414"/>
      <c r="S176" s="416"/>
      <c r="T176" s="417"/>
      <c r="U176" s="442"/>
      <c r="V176" s="419"/>
      <c r="W176" s="425"/>
      <c r="X176" s="425"/>
      <c r="Y176" s="425"/>
      <c r="Z176" s="425"/>
      <c r="AA176" s="425"/>
      <c r="AB176" s="425"/>
      <c r="AC176" s="425"/>
      <c r="AD176" s="426"/>
      <c r="AE176" s="426"/>
      <c r="AF176" s="421"/>
      <c r="AG176" s="422"/>
      <c r="AH176" s="423"/>
      <c r="AI176" s="423"/>
      <c r="AJ176" s="423"/>
      <c r="AK176" s="424"/>
      <c r="AL176" s="417"/>
      <c r="AM176" s="442"/>
      <c r="AN176" s="424"/>
      <c r="AO176" s="425"/>
      <c r="AP176" s="425"/>
      <c r="AQ176" s="425"/>
      <c r="AR176" s="425"/>
      <c r="AS176" s="425"/>
      <c r="AT176" s="425"/>
      <c r="AU176" s="425"/>
      <c r="AV176" s="426"/>
      <c r="AW176" s="426"/>
      <c r="AX176" s="421"/>
      <c r="AY176" s="427"/>
      <c r="AZ176" s="414"/>
      <c r="BA176" s="414"/>
      <c r="BB176" s="414"/>
      <c r="BC176" s="424"/>
      <c r="BD176" s="417"/>
      <c r="BE176" s="442"/>
      <c r="BF176" s="424"/>
      <c r="BG176" s="425"/>
      <c r="BH176" s="425"/>
      <c r="BI176" s="425"/>
      <c r="BJ176" s="425"/>
      <c r="BK176" s="425"/>
      <c r="BL176" s="425"/>
      <c r="BM176" s="425"/>
      <c r="BN176" s="426"/>
      <c r="BO176" s="426"/>
      <c r="BP176" s="421"/>
      <c r="BQ176" s="422"/>
      <c r="BR176" s="423"/>
      <c r="BS176" s="423"/>
      <c r="BT176" s="423"/>
      <c r="BU176" s="424"/>
      <c r="BV176" s="417"/>
      <c r="BW176" s="418"/>
      <c r="BX176" s="424"/>
      <c r="BY176" s="425"/>
      <c r="BZ176" s="425"/>
      <c r="CA176" s="425"/>
      <c r="CB176" s="425"/>
      <c r="CC176" s="425"/>
      <c r="CD176" s="425"/>
      <c r="CE176" s="425"/>
      <c r="CF176" s="426"/>
      <c r="CG176" s="426"/>
      <c r="CH176" s="421"/>
    </row>
    <row r="177" spans="2:86">
      <c r="B177" s="437"/>
      <c r="C177" s="472" t="s">
        <v>579</v>
      </c>
      <c r="D177" s="439" t="s">
        <v>580</v>
      </c>
      <c r="E177" s="637" t="s">
        <v>20</v>
      </c>
      <c r="F177" s="411" t="s">
        <v>21</v>
      </c>
      <c r="G177" s="411" t="s">
        <v>25</v>
      </c>
      <c r="H177" s="412" t="s">
        <v>18</v>
      </c>
      <c r="I177" s="413"/>
      <c r="J177" s="414"/>
      <c r="K177" s="414"/>
      <c r="L177" s="414"/>
      <c r="M177" s="473">
        <v>137088</v>
      </c>
      <c r="N177" s="473"/>
      <c r="O177" s="414"/>
      <c r="P177" s="414"/>
      <c r="Q177" s="414"/>
      <c r="R177" s="414"/>
      <c r="S177" s="416"/>
      <c r="T177" s="417"/>
      <c r="U177" s="442"/>
      <c r="V177" s="419"/>
      <c r="W177" s="425"/>
      <c r="X177" s="425"/>
      <c r="Y177" s="425"/>
      <c r="Z177" s="425"/>
      <c r="AA177" s="425"/>
      <c r="AB177" s="425"/>
      <c r="AC177" s="425"/>
      <c r="AD177" s="426"/>
      <c r="AE177" s="426"/>
      <c r="AF177" s="421"/>
      <c r="AG177" s="422"/>
      <c r="AH177" s="423"/>
      <c r="AI177" s="423"/>
      <c r="AJ177" s="423"/>
      <c r="AK177" s="424"/>
      <c r="AL177" s="417"/>
      <c r="AM177" s="442"/>
      <c r="AN177" s="424"/>
      <c r="AO177" s="425"/>
      <c r="AP177" s="425"/>
      <c r="AQ177" s="425"/>
      <c r="AR177" s="425"/>
      <c r="AS177" s="425"/>
      <c r="AT177" s="425"/>
      <c r="AU177" s="425"/>
      <c r="AV177" s="426"/>
      <c r="AW177" s="426"/>
      <c r="AX177" s="421"/>
      <c r="AY177" s="427"/>
      <c r="AZ177" s="414"/>
      <c r="BA177" s="414"/>
      <c r="BB177" s="414"/>
      <c r="BC177" s="424"/>
      <c r="BD177" s="417"/>
      <c r="BE177" s="442"/>
      <c r="BF177" s="424"/>
      <c r="BG177" s="425"/>
      <c r="BH177" s="425"/>
      <c r="BI177" s="425"/>
      <c r="BJ177" s="425"/>
      <c r="BK177" s="425"/>
      <c r="BL177" s="425"/>
      <c r="BM177" s="425"/>
      <c r="BN177" s="426"/>
      <c r="BO177" s="426"/>
      <c r="BP177" s="421"/>
      <c r="BQ177" s="422"/>
      <c r="BR177" s="423"/>
      <c r="BS177" s="423"/>
      <c r="BT177" s="423"/>
      <c r="BU177" s="424"/>
      <c r="BV177" s="417"/>
      <c r="BW177" s="418"/>
      <c r="BX177" s="424"/>
      <c r="BY177" s="425"/>
      <c r="BZ177" s="425"/>
      <c r="CA177" s="425"/>
      <c r="CB177" s="425"/>
      <c r="CC177" s="425"/>
      <c r="CD177" s="425"/>
      <c r="CE177" s="425"/>
      <c r="CF177" s="426"/>
      <c r="CG177" s="426"/>
      <c r="CH177" s="421"/>
    </row>
    <row r="178" spans="2:86">
      <c r="B178" s="437"/>
      <c r="C178" s="472"/>
      <c r="D178" s="439"/>
      <c r="E178" s="637"/>
      <c r="F178" s="411"/>
      <c r="G178" s="411"/>
      <c r="H178" s="412"/>
      <c r="I178" s="413"/>
      <c r="J178" s="414"/>
      <c r="K178" s="414"/>
      <c r="L178" s="414"/>
      <c r="M178" s="473">
        <v>610242</v>
      </c>
      <c r="N178" s="473"/>
      <c r="O178" s="414"/>
      <c r="P178" s="414"/>
      <c r="Q178" s="414"/>
      <c r="R178" s="414"/>
      <c r="S178" s="416"/>
      <c r="T178" s="417"/>
      <c r="U178" s="442"/>
      <c r="V178" s="419"/>
      <c r="W178" s="425"/>
      <c r="X178" s="425"/>
      <c r="Y178" s="425"/>
      <c r="Z178" s="425"/>
      <c r="AA178" s="425"/>
      <c r="AB178" s="425"/>
      <c r="AC178" s="425"/>
      <c r="AD178" s="426"/>
      <c r="AE178" s="426"/>
      <c r="AF178" s="421"/>
      <c r="AG178" s="422"/>
      <c r="AH178" s="423"/>
      <c r="AI178" s="423"/>
      <c r="AJ178" s="423"/>
      <c r="AK178" s="424"/>
      <c r="AL178" s="417"/>
      <c r="AM178" s="442"/>
      <c r="AN178" s="424"/>
      <c r="AO178" s="425"/>
      <c r="AP178" s="425"/>
      <c r="AQ178" s="425"/>
      <c r="AR178" s="425"/>
      <c r="AS178" s="425"/>
      <c r="AT178" s="425"/>
      <c r="AU178" s="425"/>
      <c r="AV178" s="426"/>
      <c r="AW178" s="426"/>
      <c r="AX178" s="421"/>
      <c r="AY178" s="427"/>
      <c r="AZ178" s="414"/>
      <c r="BA178" s="414"/>
      <c r="BB178" s="414"/>
      <c r="BC178" s="424"/>
      <c r="BD178" s="417"/>
      <c r="BE178" s="442"/>
      <c r="BF178" s="424"/>
      <c r="BG178" s="425"/>
      <c r="BH178" s="425"/>
      <c r="BI178" s="425"/>
      <c r="BJ178" s="425"/>
      <c r="BK178" s="425"/>
      <c r="BL178" s="425"/>
      <c r="BM178" s="425"/>
      <c r="BN178" s="426"/>
      <c r="BO178" s="426"/>
      <c r="BP178" s="421"/>
      <c r="BQ178" s="422"/>
      <c r="BR178" s="423"/>
      <c r="BS178" s="423"/>
      <c r="BT178" s="423"/>
      <c r="BU178" s="424"/>
      <c r="BV178" s="417"/>
      <c r="BW178" s="418"/>
      <c r="BX178" s="424"/>
      <c r="BY178" s="425"/>
      <c r="BZ178" s="425"/>
      <c r="CA178" s="425"/>
      <c r="CB178" s="425"/>
      <c r="CC178" s="425"/>
      <c r="CD178" s="425"/>
      <c r="CE178" s="425"/>
      <c r="CF178" s="426"/>
      <c r="CG178" s="426"/>
      <c r="CH178" s="421"/>
    </row>
    <row r="179" spans="2:86">
      <c r="B179" s="437"/>
      <c r="C179" s="472"/>
      <c r="D179" s="439"/>
      <c r="E179" s="637"/>
      <c r="F179" s="411"/>
      <c r="G179" s="411"/>
      <c r="H179" s="412"/>
      <c r="I179" s="413"/>
      <c r="J179" s="414"/>
      <c r="K179" s="414"/>
      <c r="L179" s="414"/>
      <c r="M179" s="414"/>
      <c r="N179" s="414"/>
      <c r="O179" s="415"/>
      <c r="P179" s="414"/>
      <c r="Q179" s="414"/>
      <c r="R179" s="414"/>
      <c r="S179" s="416"/>
      <c r="T179" s="417"/>
      <c r="U179" s="442"/>
      <c r="V179" s="419"/>
      <c r="W179" s="425"/>
      <c r="X179" s="425"/>
      <c r="Y179" s="425"/>
      <c r="Z179" s="425"/>
      <c r="AA179" s="425"/>
      <c r="AB179" s="425"/>
      <c r="AC179" s="425"/>
      <c r="AD179" s="426"/>
      <c r="AE179" s="426"/>
      <c r="AF179" s="421"/>
      <c r="AG179" s="422"/>
      <c r="AH179" s="423"/>
      <c r="AI179" s="423"/>
      <c r="AJ179" s="423"/>
      <c r="AK179" s="424"/>
      <c r="AL179" s="417"/>
      <c r="AM179" s="442"/>
      <c r="AN179" s="424"/>
      <c r="AO179" s="425"/>
      <c r="AP179" s="425"/>
      <c r="AQ179" s="425"/>
      <c r="AR179" s="425"/>
      <c r="AS179" s="425"/>
      <c r="AT179" s="425"/>
      <c r="AU179" s="425"/>
      <c r="AV179" s="426"/>
      <c r="AW179" s="426"/>
      <c r="AX179" s="421"/>
      <c r="AY179" s="427"/>
      <c r="AZ179" s="414"/>
      <c r="BA179" s="414"/>
      <c r="BB179" s="414"/>
      <c r="BC179" s="424"/>
      <c r="BD179" s="417"/>
      <c r="BE179" s="442"/>
      <c r="BF179" s="424"/>
      <c r="BG179" s="425"/>
      <c r="BH179" s="425"/>
      <c r="BI179" s="425"/>
      <c r="BJ179" s="425"/>
      <c r="BK179" s="425"/>
      <c r="BL179" s="425"/>
      <c r="BM179" s="425"/>
      <c r="BN179" s="426"/>
      <c r="BO179" s="426"/>
      <c r="BP179" s="421"/>
      <c r="BQ179" s="422"/>
      <c r="BR179" s="423"/>
      <c r="BS179" s="423"/>
      <c r="BT179" s="423"/>
      <c r="BU179" s="424"/>
      <c r="BV179" s="417"/>
      <c r="BW179" s="418"/>
      <c r="BX179" s="424"/>
      <c r="BY179" s="425"/>
      <c r="BZ179" s="425"/>
      <c r="CA179" s="425"/>
      <c r="CB179" s="425"/>
      <c r="CC179" s="425"/>
      <c r="CD179" s="425"/>
      <c r="CE179" s="425"/>
      <c r="CF179" s="426"/>
      <c r="CG179" s="426"/>
      <c r="CH179" s="421"/>
    </row>
    <row r="180" spans="2:86">
      <c r="B180" s="437"/>
      <c r="C180" s="472"/>
      <c r="D180" s="439"/>
      <c r="E180" s="637"/>
      <c r="F180" s="411"/>
      <c r="G180" s="411"/>
      <c r="H180" s="412"/>
      <c r="I180" s="413"/>
      <c r="J180" s="414"/>
      <c r="K180" s="414"/>
      <c r="L180" s="414"/>
      <c r="M180" s="414"/>
      <c r="N180" s="414"/>
      <c r="O180" s="415"/>
      <c r="P180" s="414"/>
      <c r="Q180" s="414"/>
      <c r="R180" s="414"/>
      <c r="S180" s="416"/>
      <c r="T180" s="417"/>
      <c r="U180" s="442"/>
      <c r="V180" s="419"/>
      <c r="W180" s="425"/>
      <c r="X180" s="425"/>
      <c r="Y180" s="425"/>
      <c r="Z180" s="425"/>
      <c r="AA180" s="425"/>
      <c r="AB180" s="425"/>
      <c r="AC180" s="425"/>
      <c r="AD180" s="426"/>
      <c r="AE180" s="426"/>
      <c r="AF180" s="421"/>
      <c r="AG180" s="422"/>
      <c r="AH180" s="423"/>
      <c r="AI180" s="423"/>
      <c r="AJ180" s="423"/>
      <c r="AK180" s="424"/>
      <c r="AL180" s="417"/>
      <c r="AM180" s="442"/>
      <c r="AN180" s="424"/>
      <c r="AO180" s="425"/>
      <c r="AP180" s="425"/>
      <c r="AQ180" s="425"/>
      <c r="AR180" s="425"/>
      <c r="AS180" s="425"/>
      <c r="AT180" s="425"/>
      <c r="AU180" s="425"/>
      <c r="AV180" s="426"/>
      <c r="AW180" s="426"/>
      <c r="AX180" s="421"/>
      <c r="AY180" s="427"/>
      <c r="AZ180" s="414"/>
      <c r="BA180" s="414"/>
      <c r="BB180" s="414"/>
      <c r="BC180" s="424"/>
      <c r="BD180" s="417"/>
      <c r="BE180" s="442"/>
      <c r="BF180" s="424"/>
      <c r="BG180" s="425"/>
      <c r="BH180" s="425"/>
      <c r="BI180" s="425"/>
      <c r="BJ180" s="425"/>
      <c r="BK180" s="425"/>
      <c r="BL180" s="425"/>
      <c r="BM180" s="425"/>
      <c r="BN180" s="426"/>
      <c r="BO180" s="426"/>
      <c r="BP180" s="421"/>
      <c r="BQ180" s="422"/>
      <c r="BR180" s="423"/>
      <c r="BS180" s="423"/>
      <c r="BT180" s="423"/>
      <c r="BU180" s="424"/>
      <c r="BV180" s="417"/>
      <c r="BW180" s="418"/>
      <c r="BX180" s="424"/>
      <c r="BY180" s="425"/>
      <c r="BZ180" s="425"/>
      <c r="CA180" s="425"/>
      <c r="CB180" s="425"/>
      <c r="CC180" s="425"/>
      <c r="CD180" s="425"/>
      <c r="CE180" s="425"/>
      <c r="CF180" s="426"/>
      <c r="CG180" s="426"/>
      <c r="CH180" s="421"/>
    </row>
    <row r="181" spans="2:86">
      <c r="B181" s="437"/>
      <c r="C181" s="472"/>
      <c r="D181" s="439"/>
      <c r="E181" s="637"/>
      <c r="F181" s="411"/>
      <c r="G181" s="411"/>
      <c r="H181" s="412"/>
      <c r="I181" s="413"/>
      <c r="J181" s="414"/>
      <c r="K181" s="414"/>
      <c r="L181" s="414"/>
      <c r="M181" s="414"/>
      <c r="N181" s="414"/>
      <c r="O181" s="415"/>
      <c r="P181" s="414"/>
      <c r="Q181" s="414"/>
      <c r="R181" s="414"/>
      <c r="S181" s="416"/>
      <c r="T181" s="417"/>
      <c r="U181" s="442"/>
      <c r="V181" s="419"/>
      <c r="W181" s="425"/>
      <c r="X181" s="425"/>
      <c r="Y181" s="425"/>
      <c r="Z181" s="425"/>
      <c r="AA181" s="425"/>
      <c r="AB181" s="425"/>
      <c r="AC181" s="425"/>
      <c r="AD181" s="426"/>
      <c r="AE181" s="426"/>
      <c r="AF181" s="421"/>
      <c r="AG181" s="422"/>
      <c r="AH181" s="423"/>
      <c r="AI181" s="423"/>
      <c r="AJ181" s="423"/>
      <c r="AK181" s="424"/>
      <c r="AL181" s="417"/>
      <c r="AM181" s="442"/>
      <c r="AN181" s="424"/>
      <c r="AO181" s="425"/>
      <c r="AP181" s="425"/>
      <c r="AQ181" s="425"/>
      <c r="AR181" s="425"/>
      <c r="AS181" s="425"/>
      <c r="AT181" s="425"/>
      <c r="AU181" s="425"/>
      <c r="AV181" s="426"/>
      <c r="AW181" s="426"/>
      <c r="AX181" s="421"/>
      <c r="AY181" s="427"/>
      <c r="AZ181" s="414"/>
      <c r="BA181" s="414"/>
      <c r="BB181" s="414"/>
      <c r="BC181" s="424"/>
      <c r="BD181" s="417"/>
      <c r="BE181" s="442"/>
      <c r="BF181" s="424"/>
      <c r="BG181" s="425"/>
      <c r="BH181" s="425"/>
      <c r="BI181" s="425"/>
      <c r="BJ181" s="425"/>
      <c r="BK181" s="425"/>
      <c r="BL181" s="425"/>
      <c r="BM181" s="425"/>
      <c r="BN181" s="426"/>
      <c r="BO181" s="426"/>
      <c r="BP181" s="421"/>
      <c r="BQ181" s="422"/>
      <c r="BR181" s="423"/>
      <c r="BS181" s="423"/>
      <c r="BT181" s="423"/>
      <c r="BU181" s="424"/>
      <c r="BV181" s="417"/>
      <c r="BW181" s="418"/>
      <c r="BX181" s="424"/>
      <c r="BY181" s="425"/>
      <c r="BZ181" s="425"/>
      <c r="CA181" s="425"/>
      <c r="CB181" s="425"/>
      <c r="CC181" s="425"/>
      <c r="CD181" s="425"/>
      <c r="CE181" s="425"/>
      <c r="CF181" s="426"/>
      <c r="CG181" s="426"/>
      <c r="CH181" s="421"/>
    </row>
    <row r="182" spans="2:86" s="491" customFormat="1" ht="18" customHeight="1">
      <c r="B182" s="476"/>
      <c r="C182" s="477"/>
      <c r="D182" s="478" t="s">
        <v>648</v>
      </c>
      <c r="E182" s="638"/>
      <c r="F182" s="479"/>
      <c r="G182" s="479"/>
      <c r="H182" s="479"/>
      <c r="I182" s="480">
        <f t="shared" ref="I182:AV182" si="41">SUM(I7:I181)</f>
        <v>0</v>
      </c>
      <c r="J182" s="481">
        <f t="shared" si="41"/>
        <v>101773722.30000001</v>
      </c>
      <c r="K182" s="482">
        <f t="shared" si="41"/>
        <v>0</v>
      </c>
      <c r="L182" s="482">
        <f t="shared" si="41"/>
        <v>55400530</v>
      </c>
      <c r="M182" s="482">
        <f t="shared" si="41"/>
        <v>119605506</v>
      </c>
      <c r="N182" s="482">
        <f t="shared" si="41"/>
        <v>127134968</v>
      </c>
      <c r="O182" s="483">
        <f t="shared" si="41"/>
        <v>13619088.83811166</v>
      </c>
      <c r="P182" s="484">
        <f t="shared" si="41"/>
        <v>7107211.6999391029</v>
      </c>
      <c r="Q182" s="484">
        <f t="shared" si="41"/>
        <v>58664347.273819633</v>
      </c>
      <c r="R182" s="484">
        <f t="shared" si="41"/>
        <v>66229390.075366206</v>
      </c>
      <c r="S182" s="484">
        <f t="shared" si="41"/>
        <v>145620037.8872366</v>
      </c>
      <c r="T182" s="417">
        <f t="shared" si="26"/>
        <v>0.1453972119396498</v>
      </c>
      <c r="U182" s="485">
        <f t="shared" si="41"/>
        <v>0</v>
      </c>
      <c r="V182" s="484">
        <f t="shared" si="41"/>
        <v>145620037.8872366</v>
      </c>
      <c r="W182" s="486">
        <f t="shared" si="41"/>
        <v>13136113.579999998</v>
      </c>
      <c r="X182" s="486">
        <f t="shared" si="41"/>
        <v>2925.2999999999993</v>
      </c>
      <c r="Y182" s="486">
        <f t="shared" si="41"/>
        <v>51758457.830899999</v>
      </c>
      <c r="Z182" s="486">
        <f t="shared" si="41"/>
        <v>3862.6999999999994</v>
      </c>
      <c r="AA182" s="486">
        <f t="shared" si="41"/>
        <v>304454.74000000011</v>
      </c>
      <c r="AB182" s="486">
        <f t="shared" si="41"/>
        <v>90506165.63000001</v>
      </c>
      <c r="AC182" s="486">
        <f t="shared" si="41"/>
        <v>518620847.31</v>
      </c>
      <c r="AD182" s="486">
        <f t="shared" si="41"/>
        <v>27152.43</v>
      </c>
      <c r="AE182" s="486">
        <f t="shared" si="41"/>
        <v>3057159.5700000008</v>
      </c>
      <c r="AF182" s="487">
        <f t="shared" ref="AF182" si="42">SUM(AF7:AF181)</f>
        <v>0</v>
      </c>
      <c r="AG182" s="488">
        <f t="shared" si="41"/>
        <v>13779662.831940398</v>
      </c>
      <c r="AH182" s="489">
        <f t="shared" si="41"/>
        <v>7021536.8261102121</v>
      </c>
      <c r="AI182" s="489">
        <f t="shared" si="41"/>
        <v>59148989.350817703</v>
      </c>
      <c r="AJ182" s="489">
        <f t="shared" si="41"/>
        <v>66255651.661529884</v>
      </c>
      <c r="AK182" s="485">
        <f t="shared" si="41"/>
        <v>146205840.67039824</v>
      </c>
      <c r="AL182" s="417">
        <f t="shared" si="27"/>
        <v>4.0228171319064395E-3</v>
      </c>
      <c r="AM182" s="485">
        <f t="shared" si="41"/>
        <v>0</v>
      </c>
      <c r="AN182" s="485">
        <f t="shared" si="41"/>
        <v>146205840.67039824</v>
      </c>
      <c r="AO182" s="486">
        <f t="shared" si="41"/>
        <v>13144723.884089999</v>
      </c>
      <c r="AP182" s="486">
        <f t="shared" si="41"/>
        <v>2927.5203897339998</v>
      </c>
      <c r="AQ182" s="486">
        <f t="shared" si="41"/>
        <v>51250982.956430003</v>
      </c>
      <c r="AR182" s="486">
        <f t="shared" ref="AR182:AS182" si="43">SUM(AR7:AR181)</f>
        <v>3637.3191189519998</v>
      </c>
      <c r="AS182" s="486">
        <f t="shared" si="43"/>
        <v>301490.47364790004</v>
      </c>
      <c r="AT182" s="486">
        <f t="shared" si="41"/>
        <v>90556358.481199995</v>
      </c>
      <c r="AU182" s="486">
        <f t="shared" si="41"/>
        <v>509997403.63720006</v>
      </c>
      <c r="AV182" s="486">
        <f t="shared" si="41"/>
        <v>26497.687458738001</v>
      </c>
      <c r="AW182" s="486">
        <f t="shared" ref="AW182:AX182" si="44">SUM(AW7:AW181)</f>
        <v>3006759.9527310003</v>
      </c>
      <c r="AX182" s="487">
        <f t="shared" si="44"/>
        <v>0</v>
      </c>
      <c r="AY182" s="490">
        <f t="shared" ref="AY182:BN182" si="45">SUM(AY7:AY181)</f>
        <v>13903603.437118672</v>
      </c>
      <c r="AZ182" s="484">
        <f t="shared" si="45"/>
        <v>6936701.4538436113</v>
      </c>
      <c r="BA182" s="484">
        <f t="shared" si="45"/>
        <v>59645352.186256096</v>
      </c>
      <c r="BB182" s="484">
        <f t="shared" si="45"/>
        <v>66481817.996552348</v>
      </c>
      <c r="BC182" s="485">
        <f t="shared" si="45"/>
        <v>146967475.07377073</v>
      </c>
      <c r="BD182" s="417">
        <f t="shared" si="28"/>
        <v>5.2093295307504206E-3</v>
      </c>
      <c r="BE182" s="485">
        <f t="shared" si="45"/>
        <v>0</v>
      </c>
      <c r="BF182" s="485">
        <f t="shared" si="45"/>
        <v>146967475.07377073</v>
      </c>
      <c r="BG182" s="486">
        <f t="shared" si="45"/>
        <v>13144291.759089999</v>
      </c>
      <c r="BH182" s="486">
        <f t="shared" si="45"/>
        <v>2927.3280897340001</v>
      </c>
      <c r="BI182" s="486">
        <f t="shared" si="45"/>
        <v>48015088.696430005</v>
      </c>
      <c r="BJ182" s="486">
        <f t="shared" si="45"/>
        <v>3389.345203499</v>
      </c>
      <c r="BK182" s="486">
        <f t="shared" si="45"/>
        <v>282521.84863990004</v>
      </c>
      <c r="BL182" s="486">
        <f t="shared" si="45"/>
        <v>90544979.151199996</v>
      </c>
      <c r="BM182" s="486">
        <f t="shared" si="45"/>
        <v>471245846.23720002</v>
      </c>
      <c r="BN182" s="486">
        <f t="shared" si="45"/>
        <v>26032.297748295994</v>
      </c>
      <c r="BO182" s="486">
        <f t="shared" ref="BO182:BP182" si="46">SUM(BO7:BO181)</f>
        <v>2779658.5262910002</v>
      </c>
      <c r="BP182" s="487">
        <f t="shared" si="46"/>
        <v>0</v>
      </c>
      <c r="BQ182" s="488">
        <f t="shared" ref="BQ182:CD182" si="47">SUM(BQ7:BQ181)</f>
        <v>14209008.726777466</v>
      </c>
      <c r="BR182" s="489">
        <f t="shared" si="47"/>
        <v>6806879.4512947546</v>
      </c>
      <c r="BS182" s="489">
        <f t="shared" si="47"/>
        <v>60040899.974416792</v>
      </c>
      <c r="BT182" s="489">
        <f t="shared" si="47"/>
        <v>67385700.942655042</v>
      </c>
      <c r="BU182" s="485">
        <f t="shared" si="47"/>
        <v>148442489.09514409</v>
      </c>
      <c r="BV182" s="417">
        <f t="shared" ref="BV182" si="48">(BU182-BC182)/BC182</f>
        <v>1.0036329607166307E-2</v>
      </c>
      <c r="BW182" s="485">
        <f t="shared" si="47"/>
        <v>0</v>
      </c>
      <c r="BX182" s="485">
        <f t="shared" si="47"/>
        <v>148442489.09514409</v>
      </c>
      <c r="BY182" s="486">
        <f t="shared" si="47"/>
        <v>13142251.38779</v>
      </c>
      <c r="BZ182" s="486">
        <f t="shared" si="47"/>
        <v>2927.430754342</v>
      </c>
      <c r="CA182" s="486">
        <f t="shared" si="47"/>
        <v>45511605.638330005</v>
      </c>
      <c r="CB182" s="486">
        <f t="shared" si="47"/>
        <v>3240.9884133079995</v>
      </c>
      <c r="CC182" s="486">
        <f t="shared" si="47"/>
        <v>267849.08858490002</v>
      </c>
      <c r="CD182" s="486">
        <f t="shared" si="47"/>
        <v>90493211.657199994</v>
      </c>
      <c r="CE182" s="486">
        <f>SUM(CE7:CE181)</f>
        <v>441339938.76720005</v>
      </c>
      <c r="CF182" s="486">
        <f>SUM(CF7:CF181)</f>
        <v>25824.931562304002</v>
      </c>
      <c r="CG182" s="486">
        <f t="shared" ref="CG182:CH182" si="49">SUM(CG7:CG181)</f>
        <v>2604425.9540810003</v>
      </c>
      <c r="CH182" s="487">
        <f t="shared" si="49"/>
        <v>0</v>
      </c>
    </row>
    <row r="183" spans="2:86" s="491" customFormat="1" ht="18" customHeight="1">
      <c r="B183" s="492"/>
      <c r="C183" s="493"/>
      <c r="D183" s="494"/>
      <c r="E183" s="639"/>
      <c r="F183" s="495"/>
      <c r="G183" s="495"/>
      <c r="H183" s="496"/>
      <c r="I183" s="494"/>
      <c r="J183" s="497"/>
      <c r="K183" s="494"/>
      <c r="L183" s="498"/>
      <c r="M183" s="498"/>
      <c r="N183" s="498"/>
      <c r="O183" s="499"/>
      <c r="P183" s="499"/>
      <c r="Q183" s="499"/>
      <c r="R183" s="499"/>
      <c r="S183" s="499"/>
      <c r="T183" s="498"/>
      <c r="U183" s="498"/>
      <c r="V183" s="499"/>
      <c r="W183" s="500"/>
      <c r="X183" s="500"/>
      <c r="Y183" s="501"/>
      <c r="Z183" s="500"/>
      <c r="AA183" s="501"/>
      <c r="AB183" s="500"/>
      <c r="AC183" s="501"/>
      <c r="AD183" s="500"/>
      <c r="AE183" s="501"/>
      <c r="AF183" s="500"/>
      <c r="AG183" s="502"/>
      <c r="AH183" s="502"/>
      <c r="AI183" s="502"/>
      <c r="AJ183" s="502"/>
      <c r="AK183" s="498"/>
      <c r="AL183" s="498"/>
      <c r="AM183" s="498"/>
      <c r="AN183" s="498"/>
      <c r="AO183" s="500"/>
      <c r="AP183" s="500"/>
      <c r="AQ183" s="500"/>
      <c r="AR183" s="500"/>
      <c r="AS183" s="501"/>
      <c r="AT183" s="500"/>
      <c r="AU183" s="501"/>
      <c r="AV183" s="500"/>
      <c r="AW183" s="501"/>
      <c r="AX183" s="500"/>
      <c r="AY183" s="499"/>
      <c r="AZ183" s="499"/>
      <c r="BA183" s="499"/>
      <c r="BB183" s="499"/>
      <c r="BC183" s="498"/>
      <c r="BD183" s="498"/>
      <c r="BE183" s="498"/>
      <c r="BF183" s="498"/>
      <c r="BG183" s="500"/>
      <c r="BH183" s="500"/>
      <c r="BI183" s="501"/>
      <c r="BJ183" s="500"/>
      <c r="BK183" s="501"/>
      <c r="BL183" s="500"/>
      <c r="BM183" s="501"/>
      <c r="BN183" s="500"/>
      <c r="BO183" s="501"/>
      <c r="BP183" s="500"/>
      <c r="BQ183" s="502"/>
      <c r="BR183" s="502"/>
      <c r="BS183" s="502"/>
      <c r="BT183" s="502"/>
      <c r="BU183" s="498"/>
      <c r="BV183" s="498"/>
      <c r="BW183" s="498"/>
      <c r="BX183" s="498"/>
      <c r="BY183" s="500"/>
      <c r="BZ183" s="500"/>
      <c r="CA183" s="501"/>
      <c r="CB183" s="500"/>
      <c r="CC183" s="501"/>
      <c r="CD183" s="500"/>
      <c r="CE183" s="501"/>
      <c r="CF183" s="500"/>
      <c r="CG183" s="501"/>
      <c r="CH183" s="500"/>
    </row>
    <row r="184" spans="2:86" s="491" customFormat="1" ht="18" customHeight="1">
      <c r="B184" s="503"/>
      <c r="C184" s="504"/>
      <c r="D184" s="505" t="s">
        <v>649</v>
      </c>
      <c r="E184" s="505"/>
      <c r="F184" s="506"/>
      <c r="G184" s="507"/>
      <c r="H184" s="508"/>
      <c r="I184" s="509"/>
      <c r="J184" s="510"/>
      <c r="K184" s="509"/>
      <c r="L184" s="506"/>
      <c r="M184" s="506"/>
      <c r="N184" s="506"/>
      <c r="O184" s="511"/>
      <c r="P184" s="511"/>
      <c r="Q184" s="511"/>
      <c r="R184" s="511"/>
      <c r="S184" s="511"/>
      <c r="T184" s="506"/>
      <c r="U184" s="506"/>
      <c r="V184" s="511"/>
      <c r="W184" s="512"/>
      <c r="X184" s="512"/>
      <c r="Y184" s="513"/>
      <c r="Z184" s="512"/>
      <c r="AA184" s="513"/>
      <c r="AB184" s="512"/>
      <c r="AC184" s="513"/>
      <c r="AD184" s="512"/>
      <c r="AE184" s="513"/>
      <c r="AF184" s="512"/>
      <c r="AG184" s="514"/>
      <c r="AH184" s="514"/>
      <c r="AI184" s="514"/>
      <c r="AJ184" s="514"/>
      <c r="AK184" s="506"/>
      <c r="AL184" s="506"/>
      <c r="AM184" s="506"/>
      <c r="AN184" s="506"/>
      <c r="AO184" s="512"/>
      <c r="AP184" s="512"/>
      <c r="AQ184" s="512"/>
      <c r="AR184" s="512"/>
      <c r="AS184" s="513"/>
      <c r="AT184" s="512"/>
      <c r="AU184" s="513"/>
      <c r="AV184" s="512"/>
      <c r="AW184" s="513"/>
      <c r="AX184" s="512"/>
      <c r="AY184" s="511"/>
      <c r="AZ184" s="511"/>
      <c r="BA184" s="511"/>
      <c r="BB184" s="511"/>
      <c r="BC184" s="506"/>
      <c r="BD184" s="506"/>
      <c r="BE184" s="506"/>
      <c r="BF184" s="506"/>
      <c r="BG184" s="512"/>
      <c r="BH184" s="512"/>
      <c r="BI184" s="513"/>
      <c r="BJ184" s="512"/>
      <c r="BK184" s="513"/>
      <c r="BL184" s="512"/>
      <c r="BM184" s="513"/>
      <c r="BN184" s="512"/>
      <c r="BO184" s="513"/>
      <c r="BP184" s="512"/>
      <c r="BQ184" s="514"/>
      <c r="BR184" s="514"/>
      <c r="BS184" s="514"/>
      <c r="BT184" s="514"/>
      <c r="BU184" s="506"/>
      <c r="BV184" s="506"/>
      <c r="BW184" s="506"/>
      <c r="BX184" s="506"/>
      <c r="BY184" s="512"/>
      <c r="BZ184" s="512"/>
      <c r="CA184" s="513"/>
      <c r="CB184" s="512"/>
      <c r="CC184" s="513"/>
      <c r="CD184" s="512"/>
      <c r="CE184" s="513"/>
      <c r="CF184" s="512"/>
      <c r="CG184" s="513"/>
      <c r="CH184" s="512"/>
    </row>
    <row r="185" spans="2:86" s="365" customFormat="1">
      <c r="B185" s="492"/>
      <c r="C185" s="515"/>
      <c r="D185" s="516" t="s">
        <v>650</v>
      </c>
      <c r="E185" s="640"/>
      <c r="F185" s="518"/>
      <c r="G185" s="518"/>
      <c r="H185" s="518"/>
      <c r="I185" s="517"/>
      <c r="J185" s="519"/>
      <c r="K185" s="517"/>
      <c r="L185" s="463">
        <v>382176</v>
      </c>
      <c r="M185" s="463">
        <v>1370480</v>
      </c>
      <c r="N185" s="463">
        <v>1456755</v>
      </c>
      <c r="O185" s="520"/>
      <c r="P185" s="520"/>
      <c r="Q185" s="520"/>
      <c r="R185" s="520"/>
      <c r="S185" s="460">
        <f>0.3*S187</f>
        <v>1820250.4735904573</v>
      </c>
      <c r="T185" s="417">
        <f t="shared" ref="T185:T189" si="50">(S185-N185)/N185</f>
        <v>0.24952409539727499</v>
      </c>
      <c r="U185" s="463"/>
      <c r="V185" s="416">
        <f>S185-U185</f>
        <v>1820250.4735904573</v>
      </c>
      <c r="W185" s="521"/>
      <c r="X185" s="521"/>
      <c r="Y185" s="522"/>
      <c r="Z185" s="521"/>
      <c r="AA185" s="522"/>
      <c r="AB185" s="521"/>
      <c r="AC185" s="522"/>
      <c r="AD185" s="521"/>
      <c r="AE185" s="522"/>
      <c r="AF185" s="521"/>
      <c r="AG185" s="523"/>
      <c r="AH185" s="523"/>
      <c r="AI185" s="523"/>
      <c r="AJ185" s="523"/>
      <c r="AK185" s="463">
        <f>0.3*AK187</f>
        <v>1827573.0083799779</v>
      </c>
      <c r="AL185" s="417">
        <f t="shared" ref="AL185:AL189" si="51">(AK185-S185)/S185</f>
        <v>4.0228171319064655E-3</v>
      </c>
      <c r="AM185" s="463"/>
      <c r="AN185" s="524">
        <f>AK185-AM185</f>
        <v>1827573.0083799779</v>
      </c>
      <c r="AO185" s="521"/>
      <c r="AP185" s="521"/>
      <c r="AQ185" s="521"/>
      <c r="AR185" s="521"/>
      <c r="AS185" s="522"/>
      <c r="AT185" s="521"/>
      <c r="AU185" s="522"/>
      <c r="AV185" s="521"/>
      <c r="AW185" s="522"/>
      <c r="AX185" s="521"/>
      <c r="AY185" s="520"/>
      <c r="AZ185" s="520"/>
      <c r="BA185" s="520"/>
      <c r="BB185" s="520"/>
      <c r="BC185" s="463">
        <f>0.3*BC187</f>
        <v>1837093.4384221339</v>
      </c>
      <c r="BD185" s="417">
        <f t="shared" ref="BD185:BD189" si="52">(BC185-AK185)/AK185</f>
        <v>5.2093295307503182E-3</v>
      </c>
      <c r="BE185" s="463"/>
      <c r="BF185" s="524">
        <f>BC185-BE185</f>
        <v>1837093.4384221339</v>
      </c>
      <c r="BG185" s="521"/>
      <c r="BH185" s="521"/>
      <c r="BI185" s="522"/>
      <c r="BJ185" s="521"/>
      <c r="BK185" s="522"/>
      <c r="BL185" s="521"/>
      <c r="BM185" s="522"/>
      <c r="BN185" s="521"/>
      <c r="BO185" s="522"/>
      <c r="BP185" s="521"/>
      <c r="BQ185" s="523"/>
      <c r="BR185" s="523"/>
      <c r="BS185" s="523"/>
      <c r="BT185" s="523"/>
      <c r="BU185" s="463">
        <f>0.3*BU187</f>
        <v>1855531.1136893011</v>
      </c>
      <c r="BV185" s="417">
        <f t="shared" ref="BV185:BV189" si="53">(BU185-BC185)/BC185</f>
        <v>1.0036329607166383E-2</v>
      </c>
      <c r="BW185" s="463"/>
      <c r="BX185" s="524">
        <f>BU185-BW185</f>
        <v>1855531.1136893011</v>
      </c>
      <c r="BY185" s="521"/>
      <c r="BZ185" s="521"/>
      <c r="CA185" s="522"/>
      <c r="CB185" s="521"/>
      <c r="CC185" s="522"/>
      <c r="CD185" s="521"/>
      <c r="CE185" s="522"/>
      <c r="CF185" s="521"/>
      <c r="CG185" s="522"/>
      <c r="CH185" s="521"/>
    </row>
    <row r="186" spans="2:86" s="365" customFormat="1">
      <c r="B186" s="492"/>
      <c r="C186" s="515"/>
      <c r="D186" s="516" t="s">
        <v>651</v>
      </c>
      <c r="E186" s="640"/>
      <c r="F186" s="518"/>
      <c r="G186" s="518"/>
      <c r="H186" s="518"/>
      <c r="I186" s="517"/>
      <c r="J186" s="519"/>
      <c r="K186" s="517"/>
      <c r="L186" s="463"/>
      <c r="M186" s="463">
        <v>3807259</v>
      </c>
      <c r="N186" s="463">
        <v>4043024</v>
      </c>
      <c r="O186" s="520"/>
      <c r="P186" s="520"/>
      <c r="Q186" s="520"/>
      <c r="R186" s="520"/>
      <c r="S186" s="460">
        <f>S187-S185</f>
        <v>4247251.1050444003</v>
      </c>
      <c r="T186" s="417">
        <f t="shared" si="50"/>
        <v>5.0513453554666091E-2</v>
      </c>
      <c r="U186" s="463"/>
      <c r="V186" s="416">
        <f>S186-U186</f>
        <v>4247251.1050444003</v>
      </c>
      <c r="W186" s="521"/>
      <c r="X186" s="521"/>
      <c r="Y186" s="522"/>
      <c r="Z186" s="521"/>
      <c r="AA186" s="522"/>
      <c r="AB186" s="521"/>
      <c r="AC186" s="522"/>
      <c r="AD186" s="521"/>
      <c r="AE186" s="522"/>
      <c r="AF186" s="521"/>
      <c r="AG186" s="523"/>
      <c r="AH186" s="523"/>
      <c r="AI186" s="523"/>
      <c r="AJ186" s="523"/>
      <c r="AK186" s="463">
        <f>AK187-AK185</f>
        <v>4264337.0195532814</v>
      </c>
      <c r="AL186" s="417">
        <f t="shared" si="51"/>
        <v>4.0228171319064109E-3</v>
      </c>
      <c r="AM186" s="463"/>
      <c r="AN186" s="524">
        <f>AK186-AM186</f>
        <v>4264337.0195532814</v>
      </c>
      <c r="AO186" s="521"/>
      <c r="AP186" s="521"/>
      <c r="AQ186" s="521"/>
      <c r="AR186" s="521"/>
      <c r="AS186" s="522"/>
      <c r="AT186" s="521"/>
      <c r="AU186" s="522"/>
      <c r="AV186" s="521"/>
      <c r="AW186" s="522"/>
      <c r="AX186" s="521"/>
      <c r="AY186" s="520"/>
      <c r="AZ186" s="520"/>
      <c r="BA186" s="520"/>
      <c r="BB186" s="520"/>
      <c r="BC186" s="463">
        <f>BC187-BC185</f>
        <v>4286551.3563183127</v>
      </c>
      <c r="BD186" s="417">
        <f t="shared" si="52"/>
        <v>5.2093295307504648E-3</v>
      </c>
      <c r="BE186" s="463"/>
      <c r="BF186" s="524">
        <f>BC186-BE186</f>
        <v>4286551.3563183127</v>
      </c>
      <c r="BG186" s="521"/>
      <c r="BH186" s="521"/>
      <c r="BI186" s="522"/>
      <c r="BJ186" s="521"/>
      <c r="BK186" s="522"/>
      <c r="BL186" s="521"/>
      <c r="BM186" s="522"/>
      <c r="BN186" s="521"/>
      <c r="BO186" s="522"/>
      <c r="BP186" s="521"/>
      <c r="BQ186" s="523"/>
      <c r="BR186" s="523"/>
      <c r="BS186" s="523"/>
      <c r="BT186" s="523"/>
      <c r="BU186" s="463">
        <f>BU187-BU185</f>
        <v>4329572.598608369</v>
      </c>
      <c r="BV186" s="417">
        <f t="shared" si="53"/>
        <v>1.0036329607166293E-2</v>
      </c>
      <c r="BW186" s="463"/>
      <c r="BX186" s="524">
        <f>BU186-BW186</f>
        <v>4329572.598608369</v>
      </c>
      <c r="BY186" s="521"/>
      <c r="BZ186" s="521"/>
      <c r="CA186" s="522"/>
      <c r="CB186" s="521"/>
      <c r="CC186" s="522"/>
      <c r="CD186" s="521"/>
      <c r="CE186" s="522"/>
      <c r="CF186" s="521"/>
      <c r="CG186" s="522"/>
      <c r="CH186" s="521"/>
    </row>
    <row r="187" spans="2:86" s="491" customFormat="1" ht="18" customHeight="1">
      <c r="B187" s="476"/>
      <c r="C187" s="477"/>
      <c r="D187" s="478" t="s">
        <v>652</v>
      </c>
      <c r="E187" s="641"/>
      <c r="F187" s="526"/>
      <c r="G187" s="526"/>
      <c r="H187" s="526"/>
      <c r="I187" s="527"/>
      <c r="J187" s="528"/>
      <c r="K187" s="527"/>
      <c r="L187" s="482">
        <f>SUM(L185:L186)</f>
        <v>382176</v>
      </c>
      <c r="M187" s="482">
        <f t="shared" ref="M187:N187" si="54">SUM(M185:M186)</f>
        <v>5177739</v>
      </c>
      <c r="N187" s="482">
        <f t="shared" si="54"/>
        <v>5499779</v>
      </c>
      <c r="O187" s="528"/>
      <c r="P187" s="528"/>
      <c r="Q187" s="528"/>
      <c r="R187" s="528"/>
      <c r="S187" s="529">
        <f>(S182)*(4/96)</f>
        <v>6067501.5786348581</v>
      </c>
      <c r="T187" s="417">
        <f t="shared" si="50"/>
        <v>0.10322643485035637</v>
      </c>
      <c r="U187" s="482">
        <f>SUM(U185:U186)</f>
        <v>0</v>
      </c>
      <c r="V187" s="481">
        <f>SUM(V185:V186)</f>
        <v>6067501.5786348581</v>
      </c>
      <c r="W187" s="530"/>
      <c r="X187" s="530"/>
      <c r="Y187" s="531"/>
      <c r="Z187" s="530"/>
      <c r="AA187" s="531"/>
      <c r="AB187" s="530"/>
      <c r="AC187" s="531"/>
      <c r="AD187" s="530"/>
      <c r="AE187" s="531"/>
      <c r="AF187" s="530"/>
      <c r="AG187" s="532"/>
      <c r="AH187" s="532"/>
      <c r="AI187" s="532"/>
      <c r="AJ187" s="532"/>
      <c r="AK187" s="482">
        <f>(AK182)*(4/96)</f>
        <v>6091910.0279332595</v>
      </c>
      <c r="AL187" s="417">
        <f t="shared" si="51"/>
        <v>4.0228171319063883E-3</v>
      </c>
      <c r="AM187" s="482">
        <f>SUM(AM185:AM186)</f>
        <v>0</v>
      </c>
      <c r="AN187" s="482">
        <f>SUM(AN185:AN186)</f>
        <v>6091910.0279332595</v>
      </c>
      <c r="AO187" s="527"/>
      <c r="AP187" s="527"/>
      <c r="AQ187" s="527"/>
      <c r="AR187" s="530"/>
      <c r="AS187" s="531"/>
      <c r="AT187" s="527"/>
      <c r="AU187" s="531"/>
      <c r="AV187" s="530"/>
      <c r="AW187" s="531"/>
      <c r="AX187" s="530"/>
      <c r="AY187" s="528"/>
      <c r="AZ187" s="528"/>
      <c r="BA187" s="528"/>
      <c r="BB187" s="528"/>
      <c r="BC187" s="482">
        <f>(BC182)*(4/96)</f>
        <v>6123644.7947404468</v>
      </c>
      <c r="BD187" s="417">
        <f t="shared" si="52"/>
        <v>5.2093295307504206E-3</v>
      </c>
      <c r="BE187" s="482">
        <f>SUM(BE185:BE186)</f>
        <v>0</v>
      </c>
      <c r="BF187" s="482">
        <f>SUM(BF185:BF186)</f>
        <v>6123644.7947404468</v>
      </c>
      <c r="BG187" s="527"/>
      <c r="BH187" s="527"/>
      <c r="BI187" s="531"/>
      <c r="BJ187" s="530"/>
      <c r="BK187" s="531"/>
      <c r="BL187" s="527"/>
      <c r="BM187" s="531"/>
      <c r="BN187" s="530"/>
      <c r="BO187" s="531"/>
      <c r="BP187" s="530"/>
      <c r="BQ187" s="532"/>
      <c r="BR187" s="532"/>
      <c r="BS187" s="532"/>
      <c r="BT187" s="532"/>
      <c r="BU187" s="482">
        <f>(BU182)*(4/96)</f>
        <v>6185103.7122976705</v>
      </c>
      <c r="BV187" s="417">
        <f t="shared" si="53"/>
        <v>1.0036329607166357E-2</v>
      </c>
      <c r="BW187" s="482">
        <f>SUM(BW185:BW186)</f>
        <v>0</v>
      </c>
      <c r="BX187" s="482">
        <f>SUM(BX185:BX186)</f>
        <v>6185103.7122976705</v>
      </c>
      <c r="BY187" s="527"/>
      <c r="BZ187" s="527"/>
      <c r="CA187" s="531"/>
      <c r="CB187" s="530"/>
      <c r="CC187" s="531"/>
      <c r="CD187" s="527"/>
      <c r="CE187" s="531"/>
      <c r="CF187" s="530"/>
      <c r="CG187" s="531"/>
      <c r="CH187" s="530"/>
    </row>
    <row r="188" spans="2:86" s="491" customFormat="1" ht="18" customHeight="1">
      <c r="B188" s="533"/>
      <c r="C188" s="534"/>
      <c r="D188" s="535"/>
      <c r="E188" s="642"/>
      <c r="F188" s="495"/>
      <c r="G188" s="495"/>
      <c r="H188" s="495"/>
      <c r="I188" s="535"/>
      <c r="J188" s="536"/>
      <c r="K188" s="535"/>
      <c r="L188" s="537"/>
      <c r="M188" s="537"/>
      <c r="N188" s="537"/>
      <c r="O188" s="538"/>
      <c r="P188" s="538"/>
      <c r="Q188" s="538"/>
      <c r="R188" s="538"/>
      <c r="S188" s="538"/>
      <c r="T188" s="539"/>
      <c r="U188" s="537"/>
      <c r="V188" s="538"/>
      <c r="W188" s="540"/>
      <c r="X188" s="540"/>
      <c r="Y188" s="541"/>
      <c r="Z188" s="540"/>
      <c r="AA188" s="541"/>
      <c r="AB188" s="540"/>
      <c r="AC188" s="541"/>
      <c r="AD188" s="540"/>
      <c r="AE188" s="541"/>
      <c r="AF188" s="540"/>
      <c r="AG188" s="542"/>
      <c r="AH188" s="542"/>
      <c r="AI188" s="542"/>
      <c r="AJ188" s="542"/>
      <c r="AK188" s="537"/>
      <c r="AL188" s="539"/>
      <c r="AM188" s="537"/>
      <c r="AN188" s="537"/>
      <c r="AO188" s="540"/>
      <c r="AP188" s="540"/>
      <c r="AQ188" s="540"/>
      <c r="AR188" s="540"/>
      <c r="AS188" s="541"/>
      <c r="AT188" s="540"/>
      <c r="AU188" s="541"/>
      <c r="AV188" s="540"/>
      <c r="AW188" s="541"/>
      <c r="AX188" s="540"/>
      <c r="AY188" s="538"/>
      <c r="AZ188" s="538"/>
      <c r="BA188" s="538"/>
      <c r="BB188" s="538"/>
      <c r="BC188" s="537"/>
      <c r="BD188" s="539"/>
      <c r="BE188" s="537"/>
      <c r="BF188" s="537"/>
      <c r="BG188" s="540"/>
      <c r="BH188" s="540"/>
      <c r="BI188" s="541"/>
      <c r="BJ188" s="540"/>
      <c r="BK188" s="541"/>
      <c r="BL188" s="540"/>
      <c r="BM188" s="541"/>
      <c r="BN188" s="540"/>
      <c r="BO188" s="541"/>
      <c r="BP188" s="540"/>
      <c r="BQ188" s="542"/>
      <c r="BR188" s="542"/>
      <c r="BS188" s="542"/>
      <c r="BT188" s="542"/>
      <c r="BU188" s="537"/>
      <c r="BV188" s="539"/>
      <c r="BW188" s="537"/>
      <c r="BX188" s="537"/>
      <c r="BY188" s="540"/>
      <c r="BZ188" s="540"/>
      <c r="CA188" s="541"/>
      <c r="CB188" s="540"/>
      <c r="CC188" s="541"/>
      <c r="CD188" s="540"/>
      <c r="CE188" s="541"/>
      <c r="CF188" s="540"/>
      <c r="CG188" s="541"/>
      <c r="CH188" s="540"/>
    </row>
    <row r="189" spans="2:86" s="491" customFormat="1" ht="16.350000000000001" customHeight="1">
      <c r="B189" s="476"/>
      <c r="C189" s="477"/>
      <c r="D189" s="478" t="s">
        <v>653</v>
      </c>
      <c r="E189" s="638"/>
      <c r="F189" s="479"/>
      <c r="G189" s="479"/>
      <c r="H189" s="479"/>
      <c r="I189" s="482">
        <f t="shared" ref="I189:AU189" si="55">I182+I187</f>
        <v>0</v>
      </c>
      <c r="J189" s="481">
        <f t="shared" si="55"/>
        <v>101773722.30000001</v>
      </c>
      <c r="K189" s="482">
        <f t="shared" si="55"/>
        <v>0</v>
      </c>
      <c r="L189" s="482">
        <f t="shared" si="55"/>
        <v>55782706</v>
      </c>
      <c r="M189" s="482">
        <f t="shared" si="55"/>
        <v>124783245</v>
      </c>
      <c r="N189" s="482">
        <f t="shared" si="55"/>
        <v>132634747</v>
      </c>
      <c r="O189" s="481">
        <f t="shared" si="55"/>
        <v>13619088.83811166</v>
      </c>
      <c r="P189" s="481">
        <f t="shared" si="55"/>
        <v>7107211.6999391029</v>
      </c>
      <c r="Q189" s="481">
        <f t="shared" si="55"/>
        <v>58664347.273819633</v>
      </c>
      <c r="R189" s="481">
        <f t="shared" si="55"/>
        <v>66229390.075366206</v>
      </c>
      <c r="S189" s="481">
        <f t="shared" si="55"/>
        <v>151687539.46587145</v>
      </c>
      <c r="T189" s="417">
        <f t="shared" si="50"/>
        <v>0.14364857548129115</v>
      </c>
      <c r="U189" s="482">
        <f t="shared" si="55"/>
        <v>0</v>
      </c>
      <c r="V189" s="481">
        <f t="shared" si="55"/>
        <v>151687539.46587145</v>
      </c>
      <c r="W189" s="543">
        <f t="shared" si="55"/>
        <v>13136113.579999998</v>
      </c>
      <c r="X189" s="543">
        <f t="shared" si="55"/>
        <v>2925.2999999999993</v>
      </c>
      <c r="Y189" s="543">
        <f t="shared" si="55"/>
        <v>51758457.830899999</v>
      </c>
      <c r="Z189" s="543">
        <f t="shared" si="55"/>
        <v>3862.6999999999994</v>
      </c>
      <c r="AA189" s="543">
        <f t="shared" si="55"/>
        <v>304454.74000000011</v>
      </c>
      <c r="AB189" s="543">
        <f t="shared" si="55"/>
        <v>90506165.63000001</v>
      </c>
      <c r="AC189" s="543">
        <f t="shared" si="55"/>
        <v>518620847.31</v>
      </c>
      <c r="AD189" s="543">
        <f t="shared" si="55"/>
        <v>27152.43</v>
      </c>
      <c r="AE189" s="543">
        <f t="shared" si="55"/>
        <v>3057159.5700000008</v>
      </c>
      <c r="AF189" s="543">
        <f t="shared" ref="AF189" si="56">AF182+AF187</f>
        <v>0</v>
      </c>
      <c r="AG189" s="544">
        <f t="shared" si="55"/>
        <v>13779662.831940398</v>
      </c>
      <c r="AH189" s="544">
        <f t="shared" si="55"/>
        <v>7021536.8261102121</v>
      </c>
      <c r="AI189" s="544">
        <f t="shared" si="55"/>
        <v>59148989.350817703</v>
      </c>
      <c r="AJ189" s="544">
        <f t="shared" si="55"/>
        <v>66255651.661529884</v>
      </c>
      <c r="AK189" s="482">
        <f t="shared" si="55"/>
        <v>152297750.69833151</v>
      </c>
      <c r="AL189" s="417">
        <f t="shared" si="51"/>
        <v>4.0228171319065045E-3</v>
      </c>
      <c r="AM189" s="482">
        <f t="shared" si="55"/>
        <v>0</v>
      </c>
      <c r="AN189" s="482">
        <f t="shared" si="55"/>
        <v>152297750.69833151</v>
      </c>
      <c r="AO189" s="543">
        <f t="shared" si="55"/>
        <v>13144723.884089999</v>
      </c>
      <c r="AP189" s="543">
        <f t="shared" si="55"/>
        <v>2927.5203897339998</v>
      </c>
      <c r="AQ189" s="543">
        <f t="shared" si="55"/>
        <v>51250982.956430003</v>
      </c>
      <c r="AR189" s="543">
        <f t="shared" ref="AR189:AS189" si="57">AR182+AR187</f>
        <v>3637.3191189519998</v>
      </c>
      <c r="AS189" s="543">
        <f t="shared" si="57"/>
        <v>301490.47364790004</v>
      </c>
      <c r="AT189" s="543">
        <f t="shared" si="55"/>
        <v>90556358.481199995</v>
      </c>
      <c r="AU189" s="543">
        <f t="shared" si="55"/>
        <v>509997403.63720006</v>
      </c>
      <c r="AV189" s="543">
        <f t="shared" ref="AV189:AX189" si="58">AV182+AV187</f>
        <v>26497.687458738001</v>
      </c>
      <c r="AW189" s="543">
        <f t="shared" si="58"/>
        <v>3006759.9527310003</v>
      </c>
      <c r="AX189" s="543">
        <f t="shared" si="58"/>
        <v>0</v>
      </c>
      <c r="AY189" s="481">
        <f t="shared" ref="AY189:BP189" si="59">AY182+AY187</f>
        <v>13903603.437118672</v>
      </c>
      <c r="AZ189" s="481">
        <f t="shared" si="59"/>
        <v>6936701.4538436113</v>
      </c>
      <c r="BA189" s="481">
        <f t="shared" si="59"/>
        <v>59645352.186256096</v>
      </c>
      <c r="BB189" s="481">
        <f t="shared" si="59"/>
        <v>66481817.996552348</v>
      </c>
      <c r="BC189" s="482">
        <f t="shared" si="59"/>
        <v>153091119.86851117</v>
      </c>
      <c r="BD189" s="417">
        <f t="shared" si="52"/>
        <v>5.2093295307502974E-3</v>
      </c>
      <c r="BE189" s="482">
        <f t="shared" si="59"/>
        <v>0</v>
      </c>
      <c r="BF189" s="482">
        <f t="shared" si="59"/>
        <v>153091119.86851117</v>
      </c>
      <c r="BG189" s="543">
        <f t="shared" si="59"/>
        <v>13144291.759089999</v>
      </c>
      <c r="BH189" s="543">
        <f t="shared" si="59"/>
        <v>2927.3280897340001</v>
      </c>
      <c r="BI189" s="543">
        <f t="shared" si="59"/>
        <v>48015088.696430005</v>
      </c>
      <c r="BJ189" s="543">
        <f t="shared" si="59"/>
        <v>3389.345203499</v>
      </c>
      <c r="BK189" s="543">
        <f t="shared" si="59"/>
        <v>282521.84863990004</v>
      </c>
      <c r="BL189" s="543">
        <f t="shared" si="59"/>
        <v>90544979.151199996</v>
      </c>
      <c r="BM189" s="543">
        <f t="shared" si="59"/>
        <v>471245846.23720002</v>
      </c>
      <c r="BN189" s="543">
        <f t="shared" si="59"/>
        <v>26032.297748295994</v>
      </c>
      <c r="BO189" s="543">
        <f t="shared" si="59"/>
        <v>2779658.5262910002</v>
      </c>
      <c r="BP189" s="543">
        <f t="shared" si="59"/>
        <v>0</v>
      </c>
      <c r="BQ189" s="544">
        <f t="shared" ref="BQ189:CH189" si="60">BQ182+BQ187</f>
        <v>14209008.726777466</v>
      </c>
      <c r="BR189" s="544">
        <f t="shared" si="60"/>
        <v>6806879.4512947546</v>
      </c>
      <c r="BS189" s="544">
        <f t="shared" si="60"/>
        <v>60040899.974416792</v>
      </c>
      <c r="BT189" s="544">
        <f t="shared" si="60"/>
        <v>67385700.942655042</v>
      </c>
      <c r="BU189" s="482">
        <f t="shared" si="60"/>
        <v>154627592.80744177</v>
      </c>
      <c r="BV189" s="417">
        <f t="shared" si="53"/>
        <v>1.0036329607166413E-2</v>
      </c>
      <c r="BW189" s="482">
        <f t="shared" si="60"/>
        <v>0</v>
      </c>
      <c r="BX189" s="482">
        <f t="shared" si="60"/>
        <v>154627592.80744177</v>
      </c>
      <c r="BY189" s="543">
        <f t="shared" si="60"/>
        <v>13142251.38779</v>
      </c>
      <c r="BZ189" s="543">
        <f t="shared" si="60"/>
        <v>2927.430754342</v>
      </c>
      <c r="CA189" s="543">
        <f t="shared" si="60"/>
        <v>45511605.638330005</v>
      </c>
      <c r="CB189" s="543">
        <f t="shared" si="60"/>
        <v>3240.9884133079995</v>
      </c>
      <c r="CC189" s="543">
        <f t="shared" si="60"/>
        <v>267849.08858490002</v>
      </c>
      <c r="CD189" s="543">
        <f t="shared" si="60"/>
        <v>90493211.657199994</v>
      </c>
      <c r="CE189" s="543">
        <f t="shared" si="60"/>
        <v>441339938.76720005</v>
      </c>
      <c r="CF189" s="543">
        <f t="shared" si="60"/>
        <v>25824.931562304002</v>
      </c>
      <c r="CG189" s="543">
        <f t="shared" si="60"/>
        <v>2604425.9540810003</v>
      </c>
      <c r="CH189" s="543">
        <f t="shared" si="60"/>
        <v>0</v>
      </c>
    </row>
    <row r="190" spans="2:86" s="491" customFormat="1" ht="18" customHeight="1">
      <c r="B190" s="533"/>
      <c r="C190" s="534"/>
      <c r="D190" s="535"/>
      <c r="E190" s="642"/>
      <c r="F190" s="495"/>
      <c r="G190" s="495"/>
      <c r="H190" s="495"/>
      <c r="I190" s="535"/>
      <c r="J190" s="536"/>
      <c r="K190" s="535"/>
      <c r="L190" s="537"/>
      <c r="M190" s="537"/>
      <c r="N190" s="537"/>
      <c r="O190" s="538"/>
      <c r="P190" s="538"/>
      <c r="Q190" s="538"/>
      <c r="R190" s="538"/>
      <c r="S190" s="538"/>
      <c r="T190" s="537"/>
      <c r="U190" s="537"/>
      <c r="V190" s="538"/>
      <c r="W190" s="540"/>
      <c r="X190" s="540"/>
      <c r="Y190" s="541"/>
      <c r="Z190" s="540"/>
      <c r="AA190" s="541"/>
      <c r="AB190" s="540"/>
      <c r="AC190" s="541"/>
      <c r="AD190" s="540"/>
      <c r="AE190" s="541"/>
      <c r="AF190" s="540"/>
      <c r="AG190" s="542"/>
      <c r="AH190" s="542"/>
      <c r="AI190" s="542"/>
      <c r="AJ190" s="542"/>
      <c r="AK190" s="537"/>
      <c r="AL190" s="537"/>
      <c r="AM190" s="537"/>
      <c r="AN190" s="537"/>
      <c r="AO190" s="540"/>
      <c r="AP190" s="540"/>
      <c r="AQ190" s="540"/>
      <c r="AR190" s="540"/>
      <c r="AS190" s="541"/>
      <c r="AT190" s="540"/>
      <c r="AU190" s="541"/>
      <c r="AV190" s="540"/>
      <c r="AW190" s="541"/>
      <c r="AX190" s="540"/>
      <c r="AY190" s="538"/>
      <c r="AZ190" s="538"/>
      <c r="BA190" s="538"/>
      <c r="BB190" s="538"/>
      <c r="BC190" s="537"/>
      <c r="BD190" s="537"/>
      <c r="BE190" s="537"/>
      <c r="BF190" s="537"/>
      <c r="BG190" s="540"/>
      <c r="BH190" s="540"/>
      <c r="BI190" s="541"/>
      <c r="BJ190" s="540"/>
      <c r="BK190" s="541"/>
      <c r="BL190" s="540"/>
      <c r="BM190" s="541"/>
      <c r="BN190" s="540"/>
      <c r="BO190" s="541"/>
      <c r="BP190" s="540"/>
      <c r="BQ190" s="542"/>
      <c r="BR190" s="542"/>
      <c r="BS190" s="542"/>
      <c r="BT190" s="542"/>
      <c r="BU190" s="537"/>
      <c r="BV190" s="537"/>
      <c r="BW190" s="537"/>
      <c r="BX190" s="537"/>
      <c r="BY190" s="540"/>
      <c r="BZ190" s="540"/>
      <c r="CA190" s="541"/>
      <c r="CB190" s="540"/>
      <c r="CC190" s="541"/>
      <c r="CD190" s="540"/>
      <c r="CE190" s="541"/>
      <c r="CF190" s="540"/>
      <c r="CG190" s="541"/>
      <c r="CH190" s="540"/>
    </row>
    <row r="191" spans="2:86">
      <c r="B191" s="545"/>
      <c r="C191" s="546"/>
      <c r="D191" s="547"/>
      <c r="E191" s="643"/>
      <c r="F191" s="495"/>
      <c r="G191" s="548"/>
      <c r="H191" s="548"/>
      <c r="I191" s="547"/>
      <c r="J191" s="549"/>
      <c r="K191" s="547"/>
      <c r="L191" s="550"/>
      <c r="M191" s="550"/>
      <c r="N191" s="550"/>
      <c r="O191" s="551"/>
      <c r="P191" s="551"/>
      <c r="Q191" s="551"/>
      <c r="R191" s="551"/>
      <c r="S191" s="538"/>
      <c r="T191" s="537"/>
      <c r="U191" s="537"/>
      <c r="V191" s="538"/>
      <c r="W191" s="552"/>
      <c r="X191" s="552"/>
      <c r="Y191" s="553"/>
      <c r="Z191" s="552"/>
      <c r="AA191" s="553"/>
      <c r="AB191" s="552"/>
      <c r="AC191" s="553"/>
      <c r="AD191" s="552"/>
      <c r="AE191" s="553"/>
      <c r="AF191" s="552"/>
      <c r="AG191" s="554"/>
      <c r="AH191" s="554"/>
      <c r="AI191" s="554"/>
      <c r="AJ191" s="554"/>
      <c r="AK191" s="537"/>
      <c r="AL191" s="537"/>
      <c r="AM191" s="537"/>
      <c r="AN191" s="537"/>
      <c r="AO191" s="552"/>
      <c r="AP191" s="552"/>
      <c r="AQ191" s="552"/>
      <c r="AR191" s="552"/>
      <c r="AS191" s="553"/>
      <c r="AT191" s="552"/>
      <c r="AU191" s="553"/>
      <c r="AV191" s="552"/>
      <c r="AW191" s="553"/>
      <c r="AX191" s="552"/>
      <c r="AY191" s="551"/>
      <c r="AZ191" s="551"/>
      <c r="BA191" s="551"/>
      <c r="BB191" s="551"/>
      <c r="BC191" s="537"/>
      <c r="BD191" s="537"/>
      <c r="BE191" s="537"/>
      <c r="BF191" s="537"/>
      <c r="BG191" s="552"/>
      <c r="BH191" s="552"/>
      <c r="BI191" s="553"/>
      <c r="BJ191" s="552"/>
      <c r="BK191" s="553"/>
      <c r="BL191" s="552"/>
      <c r="BM191" s="553"/>
      <c r="BN191" s="552"/>
      <c r="BO191" s="553"/>
      <c r="BP191" s="552"/>
      <c r="BQ191" s="554"/>
      <c r="BR191" s="554"/>
      <c r="BS191" s="554"/>
      <c r="BT191" s="554"/>
      <c r="BU191" s="537"/>
      <c r="BV191" s="537"/>
      <c r="BW191" s="537"/>
      <c r="BX191" s="537"/>
      <c r="BY191" s="552"/>
      <c r="BZ191" s="552"/>
      <c r="CA191" s="553"/>
      <c r="CB191" s="552"/>
      <c r="CC191" s="553"/>
      <c r="CD191" s="552"/>
      <c r="CE191" s="553"/>
      <c r="CF191" s="552"/>
      <c r="CG191" s="553"/>
      <c r="CH191" s="552"/>
    </row>
    <row r="192" spans="2:86" s="365" customFormat="1">
      <c r="B192" s="492"/>
      <c r="C192" s="493"/>
      <c r="D192" s="29"/>
      <c r="E192" s="644"/>
      <c r="F192" s="496"/>
      <c r="G192" s="496"/>
      <c r="H192" s="496"/>
      <c r="I192" s="498"/>
      <c r="J192" s="499"/>
      <c r="K192" s="498"/>
      <c r="L192" s="498"/>
      <c r="M192" s="498"/>
      <c r="N192" s="498"/>
      <c r="O192" s="499"/>
      <c r="P192" s="499"/>
      <c r="Q192" s="499"/>
      <c r="R192" s="499"/>
      <c r="S192" s="499"/>
      <c r="T192" s="498"/>
      <c r="U192" s="498"/>
      <c r="V192" s="499"/>
      <c r="W192" s="500"/>
      <c r="X192" s="500"/>
      <c r="Y192" s="501"/>
      <c r="Z192" s="500"/>
      <c r="AA192" s="501"/>
      <c r="AB192" s="500"/>
      <c r="AC192" s="501"/>
      <c r="AD192" s="500"/>
      <c r="AE192" s="501"/>
      <c r="AF192" s="500"/>
      <c r="AG192" s="502"/>
      <c r="AH192" s="502"/>
      <c r="AI192" s="502"/>
      <c r="AJ192" s="502"/>
      <c r="AK192" s="498"/>
      <c r="AL192" s="498"/>
      <c r="AM192" s="498"/>
      <c r="AN192" s="498"/>
      <c r="AO192" s="500"/>
      <c r="AP192" s="500"/>
      <c r="AQ192" s="500"/>
      <c r="AR192" s="500"/>
      <c r="AS192" s="501"/>
      <c r="AT192" s="500"/>
      <c r="AU192" s="501"/>
      <c r="AV192" s="500"/>
      <c r="AW192" s="501"/>
      <c r="AX192" s="500"/>
      <c r="AY192" s="499"/>
      <c r="AZ192" s="499"/>
      <c r="BA192" s="499"/>
      <c r="BB192" s="499"/>
      <c r="BC192" s="498"/>
      <c r="BD192" s="498"/>
      <c r="BE192" s="498"/>
      <c r="BF192" s="498"/>
      <c r="BG192" s="500"/>
      <c r="BH192" s="500"/>
      <c r="BI192" s="501"/>
      <c r="BJ192" s="500"/>
      <c r="BK192" s="501"/>
      <c r="BL192" s="500"/>
      <c r="BM192" s="501"/>
      <c r="BN192" s="500"/>
      <c r="BO192" s="501"/>
      <c r="BP192" s="500"/>
      <c r="BQ192" s="502"/>
      <c r="BR192" s="502"/>
      <c r="BS192" s="502"/>
      <c r="BT192" s="502"/>
      <c r="BU192" s="498"/>
      <c r="BV192" s="498"/>
      <c r="BW192" s="498"/>
      <c r="BX192" s="498"/>
      <c r="BY192" s="500"/>
      <c r="BZ192" s="500"/>
      <c r="CA192" s="501"/>
      <c r="CB192" s="500"/>
      <c r="CC192" s="501"/>
      <c r="CD192" s="500"/>
      <c r="CE192" s="501"/>
      <c r="CF192" s="500"/>
      <c r="CG192" s="501"/>
      <c r="CH192" s="500"/>
    </row>
    <row r="193" spans="2:86" s="491" customFormat="1">
      <c r="B193" s="555"/>
      <c r="C193" s="556"/>
      <c r="D193" s="556" t="s">
        <v>654</v>
      </c>
      <c r="E193" s="645"/>
      <c r="F193" s="557"/>
      <c r="G193" s="557"/>
      <c r="H193" s="557"/>
      <c r="I193" s="558">
        <f t="shared" ref="I193:J193" si="61">I189</f>
        <v>0</v>
      </c>
      <c r="J193" s="559">
        <f t="shared" si="61"/>
        <v>101773722.30000001</v>
      </c>
      <c r="K193" s="558">
        <f>K189</f>
        <v>0</v>
      </c>
      <c r="L193" s="558">
        <f t="shared" ref="L193:BZ193" si="62">L189</f>
        <v>55782706</v>
      </c>
      <c r="M193" s="558">
        <f t="shared" si="62"/>
        <v>124783245</v>
      </c>
      <c r="N193" s="558">
        <f t="shared" si="62"/>
        <v>132634747</v>
      </c>
      <c r="O193" s="559">
        <f t="shared" si="62"/>
        <v>13619088.83811166</v>
      </c>
      <c r="P193" s="559">
        <f t="shared" si="62"/>
        <v>7107211.6999391029</v>
      </c>
      <c r="Q193" s="559">
        <f t="shared" si="62"/>
        <v>58664347.273819633</v>
      </c>
      <c r="R193" s="559">
        <f t="shared" si="62"/>
        <v>66229390.075366206</v>
      </c>
      <c r="S193" s="559">
        <f t="shared" si="62"/>
        <v>151687539.46587145</v>
      </c>
      <c r="T193" s="558">
        <f t="shared" si="62"/>
        <v>0.14364857548129115</v>
      </c>
      <c r="U193" s="558">
        <f t="shared" si="62"/>
        <v>0</v>
      </c>
      <c r="V193" s="559">
        <f t="shared" si="62"/>
        <v>151687539.46587145</v>
      </c>
      <c r="W193" s="543">
        <f t="shared" si="62"/>
        <v>13136113.579999998</v>
      </c>
      <c r="X193" s="543">
        <f t="shared" si="62"/>
        <v>2925.2999999999993</v>
      </c>
      <c r="Y193" s="543">
        <f t="shared" si="62"/>
        <v>51758457.830899999</v>
      </c>
      <c r="Z193" s="543">
        <f t="shared" si="62"/>
        <v>3862.6999999999994</v>
      </c>
      <c r="AA193" s="543">
        <f t="shared" si="62"/>
        <v>304454.74000000011</v>
      </c>
      <c r="AB193" s="543">
        <f t="shared" si="62"/>
        <v>90506165.63000001</v>
      </c>
      <c r="AC193" s="543">
        <f t="shared" si="62"/>
        <v>518620847.31</v>
      </c>
      <c r="AD193" s="543">
        <f t="shared" si="62"/>
        <v>27152.43</v>
      </c>
      <c r="AE193" s="543">
        <f t="shared" si="62"/>
        <v>3057159.5700000008</v>
      </c>
      <c r="AF193" s="543">
        <f t="shared" si="62"/>
        <v>0</v>
      </c>
      <c r="AG193" s="560">
        <f t="shared" si="62"/>
        <v>13779662.831940398</v>
      </c>
      <c r="AH193" s="560">
        <f t="shared" si="62"/>
        <v>7021536.8261102121</v>
      </c>
      <c r="AI193" s="560">
        <f t="shared" si="62"/>
        <v>59148989.350817703</v>
      </c>
      <c r="AJ193" s="560">
        <f t="shared" si="62"/>
        <v>66255651.661529884</v>
      </c>
      <c r="AK193" s="558">
        <f t="shared" si="62"/>
        <v>152297750.69833151</v>
      </c>
      <c r="AL193" s="558">
        <f t="shared" ref="AL193" si="63">AL189</f>
        <v>4.0228171319065045E-3</v>
      </c>
      <c r="AM193" s="558">
        <f t="shared" si="62"/>
        <v>0</v>
      </c>
      <c r="AN193" s="558">
        <f t="shared" si="62"/>
        <v>152297750.69833151</v>
      </c>
      <c r="AO193" s="543">
        <f t="shared" si="62"/>
        <v>13144723.884089999</v>
      </c>
      <c r="AP193" s="543">
        <f t="shared" si="62"/>
        <v>2927.5203897339998</v>
      </c>
      <c r="AQ193" s="543">
        <f t="shared" si="62"/>
        <v>51250982.956430003</v>
      </c>
      <c r="AR193" s="543">
        <f t="shared" si="62"/>
        <v>3637.3191189519998</v>
      </c>
      <c r="AS193" s="543">
        <f t="shared" si="62"/>
        <v>301490.47364790004</v>
      </c>
      <c r="AT193" s="543">
        <f t="shared" si="62"/>
        <v>90556358.481199995</v>
      </c>
      <c r="AU193" s="543">
        <f t="shared" si="62"/>
        <v>509997403.63720006</v>
      </c>
      <c r="AV193" s="543">
        <f t="shared" si="62"/>
        <v>26497.687458738001</v>
      </c>
      <c r="AW193" s="543">
        <f t="shared" si="62"/>
        <v>3006759.9527310003</v>
      </c>
      <c r="AX193" s="543">
        <f t="shared" si="62"/>
        <v>0</v>
      </c>
      <c r="AY193" s="559">
        <f t="shared" si="62"/>
        <v>13903603.437118672</v>
      </c>
      <c r="AZ193" s="559">
        <f t="shared" si="62"/>
        <v>6936701.4538436113</v>
      </c>
      <c r="BA193" s="559">
        <f t="shared" si="62"/>
        <v>59645352.186256096</v>
      </c>
      <c r="BB193" s="559">
        <f t="shared" si="62"/>
        <v>66481817.996552348</v>
      </c>
      <c r="BC193" s="558">
        <f t="shared" si="62"/>
        <v>153091119.86851117</v>
      </c>
      <c r="BD193" s="558">
        <f t="shared" si="62"/>
        <v>5.2093295307502974E-3</v>
      </c>
      <c r="BE193" s="558">
        <f t="shared" si="62"/>
        <v>0</v>
      </c>
      <c r="BF193" s="558">
        <f t="shared" si="62"/>
        <v>153091119.86851117</v>
      </c>
      <c r="BG193" s="543">
        <f t="shared" si="62"/>
        <v>13144291.759089999</v>
      </c>
      <c r="BH193" s="543">
        <f t="shared" si="62"/>
        <v>2927.3280897340001</v>
      </c>
      <c r="BI193" s="543">
        <f t="shared" si="62"/>
        <v>48015088.696430005</v>
      </c>
      <c r="BJ193" s="543">
        <f t="shared" si="62"/>
        <v>3389.345203499</v>
      </c>
      <c r="BK193" s="543">
        <f t="shared" si="62"/>
        <v>282521.84863990004</v>
      </c>
      <c r="BL193" s="543">
        <f t="shared" si="62"/>
        <v>90544979.151199996</v>
      </c>
      <c r="BM193" s="543">
        <f t="shared" si="62"/>
        <v>471245846.23720002</v>
      </c>
      <c r="BN193" s="543">
        <f t="shared" si="62"/>
        <v>26032.297748295994</v>
      </c>
      <c r="BO193" s="543">
        <f t="shared" si="62"/>
        <v>2779658.5262910002</v>
      </c>
      <c r="BP193" s="543">
        <f t="shared" si="62"/>
        <v>0</v>
      </c>
      <c r="BQ193" s="560">
        <f t="shared" si="62"/>
        <v>14209008.726777466</v>
      </c>
      <c r="BR193" s="560">
        <f t="shared" si="62"/>
        <v>6806879.4512947546</v>
      </c>
      <c r="BS193" s="560">
        <f t="shared" si="62"/>
        <v>60040899.974416792</v>
      </c>
      <c r="BT193" s="560">
        <f t="shared" si="62"/>
        <v>67385700.942655042</v>
      </c>
      <c r="BU193" s="558">
        <f t="shared" si="62"/>
        <v>154627592.80744177</v>
      </c>
      <c r="BV193" s="558">
        <f t="shared" ref="BV193" si="64">BV189</f>
        <v>1.0036329607166413E-2</v>
      </c>
      <c r="BW193" s="558">
        <f t="shared" si="62"/>
        <v>0</v>
      </c>
      <c r="BX193" s="558">
        <f t="shared" si="62"/>
        <v>154627592.80744177</v>
      </c>
      <c r="BY193" s="543">
        <f t="shared" si="62"/>
        <v>13142251.38779</v>
      </c>
      <c r="BZ193" s="543">
        <f t="shared" si="62"/>
        <v>2927.430754342</v>
      </c>
      <c r="CA193" s="543">
        <f t="shared" ref="CA193:CH193" si="65">CA189</f>
        <v>45511605.638330005</v>
      </c>
      <c r="CB193" s="543">
        <f t="shared" si="65"/>
        <v>3240.9884133079995</v>
      </c>
      <c r="CC193" s="543">
        <f t="shared" si="65"/>
        <v>267849.08858490002</v>
      </c>
      <c r="CD193" s="543">
        <f t="shared" si="65"/>
        <v>90493211.657199994</v>
      </c>
      <c r="CE193" s="543">
        <f t="shared" si="65"/>
        <v>441339938.76720005</v>
      </c>
      <c r="CF193" s="543">
        <f t="shared" si="65"/>
        <v>25824.931562304002</v>
      </c>
      <c r="CG193" s="543">
        <f t="shared" si="65"/>
        <v>2604425.9540810003</v>
      </c>
      <c r="CH193" s="543">
        <f t="shared" si="65"/>
        <v>0</v>
      </c>
    </row>
    <row r="194" spans="2:86" s="365" customFormat="1">
      <c r="B194" s="491"/>
      <c r="C194" s="491"/>
      <c r="D194" s="561"/>
      <c r="E194" s="390"/>
      <c r="F194" s="562"/>
      <c r="G194" s="562"/>
      <c r="H194" s="562"/>
      <c r="I194" s="561"/>
      <c r="J194" s="563"/>
      <c r="K194" s="561"/>
      <c r="L194" s="393"/>
      <c r="M194" s="393"/>
      <c r="N194" s="393"/>
      <c r="O194" s="564"/>
      <c r="P194" s="564"/>
      <c r="Q194" s="564"/>
      <c r="R194" s="564"/>
      <c r="S194" s="564"/>
      <c r="T194" s="393"/>
      <c r="U194" s="393"/>
      <c r="V194" s="564"/>
      <c r="W194" s="565"/>
      <c r="X194" s="565"/>
      <c r="Y194" s="566"/>
      <c r="Z194" s="565"/>
      <c r="AA194" s="566"/>
      <c r="AB194" s="565"/>
      <c r="AC194" s="566"/>
      <c r="AD194" s="565"/>
      <c r="AE194" s="566"/>
      <c r="AF194" s="565"/>
      <c r="AG194" s="567"/>
      <c r="AH194" s="567"/>
      <c r="AI194" s="567"/>
      <c r="AJ194" s="567"/>
      <c r="AK194" s="393"/>
      <c r="AL194" s="393"/>
      <c r="AM194" s="393"/>
      <c r="AN194" s="393"/>
      <c r="AO194" s="565"/>
      <c r="AP194" s="565"/>
      <c r="AQ194" s="565"/>
      <c r="AR194" s="565"/>
      <c r="AS194" s="566"/>
      <c r="AT194" s="565"/>
      <c r="AU194" s="566"/>
      <c r="AV194" s="565"/>
      <c r="AW194" s="566"/>
      <c r="AX194" s="565"/>
      <c r="AY194" s="564"/>
      <c r="AZ194" s="564"/>
      <c r="BA194" s="564"/>
      <c r="BB194" s="564"/>
      <c r="BC194" s="393"/>
      <c r="BD194" s="393"/>
      <c r="BE194" s="393"/>
      <c r="BF194" s="393"/>
      <c r="BG194" s="565"/>
      <c r="BH194" s="565"/>
      <c r="BI194" s="566"/>
      <c r="BJ194" s="565"/>
      <c r="BK194" s="566"/>
      <c r="BL194" s="565"/>
      <c r="BM194" s="566"/>
      <c r="BN194" s="565"/>
      <c r="BO194" s="566"/>
      <c r="BP194" s="565"/>
      <c r="BQ194" s="567"/>
      <c r="BR194" s="567"/>
      <c r="BS194" s="567"/>
      <c r="BT194" s="567"/>
      <c r="BU194" s="393"/>
      <c r="BV194" s="393"/>
      <c r="BW194" s="393"/>
      <c r="BX194" s="393"/>
      <c r="BY194" s="565"/>
      <c r="BZ194" s="565"/>
      <c r="CA194" s="566"/>
      <c r="CB194" s="565"/>
      <c r="CC194" s="566"/>
      <c r="CD194" s="565"/>
      <c r="CE194" s="566"/>
      <c r="CF194" s="565"/>
      <c r="CG194" s="566"/>
      <c r="CH194" s="565"/>
    </row>
    <row r="195" spans="2:86">
      <c r="B195" s="568"/>
      <c r="C195" s="569"/>
      <c r="D195" s="570"/>
      <c r="E195" s="646"/>
      <c r="F195" s="571"/>
      <c r="G195" s="572"/>
      <c r="H195" s="572"/>
      <c r="I195" s="570"/>
      <c r="J195" s="573"/>
      <c r="K195" s="570"/>
      <c r="L195" s="574"/>
      <c r="M195" s="574"/>
      <c r="N195" s="574"/>
      <c r="O195" s="575"/>
      <c r="P195" s="575"/>
      <c r="Q195" s="575"/>
      <c r="R195" s="575"/>
      <c r="S195" s="575"/>
      <c r="T195" s="574"/>
      <c r="U195" s="574"/>
      <c r="V195" s="575"/>
      <c r="W195" s="576"/>
      <c r="X195" s="576"/>
      <c r="Y195" s="577"/>
      <c r="Z195" s="576"/>
      <c r="AA195" s="577"/>
      <c r="AB195" s="576"/>
      <c r="AC195" s="577"/>
      <c r="AD195" s="576"/>
      <c r="AE195" s="577"/>
      <c r="AF195" s="576"/>
      <c r="AG195" s="578"/>
      <c r="AH195" s="578"/>
      <c r="AI195" s="578"/>
      <c r="AJ195" s="578"/>
      <c r="AK195" s="574"/>
      <c r="AL195" s="574"/>
      <c r="AM195" s="574"/>
      <c r="AN195" s="574"/>
      <c r="AO195" s="576"/>
      <c r="AP195" s="576"/>
      <c r="AQ195" s="576"/>
      <c r="AR195" s="576"/>
      <c r="AS195" s="577"/>
      <c r="AT195" s="576"/>
      <c r="AU195" s="577"/>
      <c r="AV195" s="576"/>
      <c r="AW195" s="577"/>
      <c r="AX195" s="576"/>
      <c r="AY195" s="575"/>
      <c r="AZ195" s="575"/>
      <c r="BA195" s="575"/>
      <c r="BB195" s="575"/>
      <c r="BC195" s="574"/>
      <c r="BD195" s="574"/>
      <c r="BE195" s="574"/>
      <c r="BF195" s="574"/>
      <c r="BG195" s="576"/>
      <c r="BH195" s="576"/>
      <c r="BI195" s="577"/>
      <c r="BJ195" s="576"/>
      <c r="BK195" s="577"/>
      <c r="BL195" s="576"/>
      <c r="BM195" s="577"/>
      <c r="BN195" s="576"/>
      <c r="BO195" s="577"/>
      <c r="BP195" s="576"/>
      <c r="BQ195" s="578"/>
      <c r="BR195" s="578"/>
      <c r="BS195" s="578"/>
      <c r="BT195" s="578"/>
      <c r="BU195" s="574"/>
      <c r="BV195" s="574"/>
      <c r="BW195" s="574"/>
      <c r="BX195" s="574"/>
      <c r="BY195" s="576"/>
      <c r="BZ195" s="576"/>
      <c r="CA195" s="577"/>
      <c r="CB195" s="576"/>
      <c r="CC195" s="577"/>
      <c r="CD195" s="576"/>
      <c r="CE195" s="577"/>
      <c r="CF195" s="576"/>
      <c r="CG195" s="577"/>
      <c r="CH195" s="576"/>
    </row>
    <row r="196" spans="2:86" s="365" customFormat="1">
      <c r="B196" s="503"/>
      <c r="C196" s="504"/>
      <c r="D196" s="505" t="s">
        <v>655</v>
      </c>
      <c r="E196" s="505"/>
      <c r="F196" s="506"/>
      <c r="G196" s="508"/>
      <c r="H196" s="508"/>
      <c r="I196" s="509"/>
      <c r="J196" s="510"/>
      <c r="K196" s="509"/>
      <c r="L196" s="506"/>
      <c r="M196" s="506"/>
      <c r="N196" s="506"/>
      <c r="O196" s="511"/>
      <c r="P196" s="511"/>
      <c r="Q196" s="511"/>
      <c r="R196" s="511"/>
      <c r="S196" s="511"/>
      <c r="T196" s="506"/>
      <c r="U196" s="506"/>
      <c r="V196" s="511"/>
      <c r="W196" s="512"/>
      <c r="X196" s="512"/>
      <c r="Y196" s="513"/>
      <c r="Z196" s="512"/>
      <c r="AA196" s="513"/>
      <c r="AB196" s="512"/>
      <c r="AC196" s="513"/>
      <c r="AD196" s="512"/>
      <c r="AE196" s="513"/>
      <c r="AF196" s="512"/>
      <c r="AG196" s="514"/>
      <c r="AH196" s="514"/>
      <c r="AI196" s="514"/>
      <c r="AJ196" s="514"/>
      <c r="AK196" s="506"/>
      <c r="AL196" s="506"/>
      <c r="AM196" s="506"/>
      <c r="AN196" s="506"/>
      <c r="AO196" s="512"/>
      <c r="AP196" s="512"/>
      <c r="AQ196" s="512"/>
      <c r="AR196" s="512"/>
      <c r="AS196" s="513"/>
      <c r="AT196" s="512"/>
      <c r="AU196" s="513"/>
      <c r="AV196" s="512"/>
      <c r="AW196" s="513"/>
      <c r="AX196" s="512"/>
      <c r="AY196" s="511"/>
      <c r="AZ196" s="511"/>
      <c r="BA196" s="511"/>
      <c r="BB196" s="511"/>
      <c r="BC196" s="506"/>
      <c r="BD196" s="506"/>
      <c r="BE196" s="506"/>
      <c r="BF196" s="506"/>
      <c r="BG196" s="512"/>
      <c r="BH196" s="512"/>
      <c r="BI196" s="513"/>
      <c r="BJ196" s="512"/>
      <c r="BK196" s="513"/>
      <c r="BL196" s="512"/>
      <c r="BM196" s="513"/>
      <c r="BN196" s="512"/>
      <c r="BO196" s="513"/>
      <c r="BP196" s="512"/>
      <c r="BQ196" s="514"/>
      <c r="BR196" s="514"/>
      <c r="BS196" s="514"/>
      <c r="BT196" s="514"/>
      <c r="BU196" s="506"/>
      <c r="BV196" s="506"/>
      <c r="BW196" s="506"/>
      <c r="BX196" s="506"/>
      <c r="BY196" s="512"/>
      <c r="BZ196" s="512"/>
      <c r="CA196" s="513"/>
      <c r="CB196" s="512"/>
      <c r="CC196" s="513"/>
      <c r="CD196" s="512"/>
      <c r="CE196" s="513"/>
      <c r="CF196" s="512"/>
      <c r="CG196" s="513"/>
      <c r="CH196" s="512"/>
    </row>
    <row r="197" spans="2:86" s="365" customFormat="1">
      <c r="B197" s="579" t="s">
        <v>656</v>
      </c>
      <c r="C197" s="580" t="s">
        <v>657</v>
      </c>
      <c r="D197" s="581" t="s">
        <v>658</v>
      </c>
      <c r="E197" s="647"/>
      <c r="F197" s="411"/>
      <c r="G197" s="411"/>
      <c r="H197" s="411"/>
      <c r="I197" s="439"/>
      <c r="J197" s="473"/>
      <c r="K197" s="439"/>
      <c r="L197" s="442"/>
      <c r="M197" s="442"/>
      <c r="N197" s="442"/>
      <c r="O197" s="414">
        <v>200000</v>
      </c>
      <c r="P197" s="414">
        <v>400000</v>
      </c>
      <c r="Q197" s="414">
        <v>200000</v>
      </c>
      <c r="R197" s="414">
        <v>0</v>
      </c>
      <c r="S197" s="419">
        <f t="shared" ref="S197:S202" si="66">SUM(O197:R197)</f>
        <v>800000</v>
      </c>
      <c r="T197" s="424"/>
      <c r="U197" s="442"/>
      <c r="V197" s="419">
        <f t="shared" ref="V197:V202" si="67">S197</f>
        <v>800000</v>
      </c>
      <c r="W197" s="582"/>
      <c r="X197" s="582"/>
      <c r="Y197" s="425"/>
      <c r="Z197" s="582"/>
      <c r="AA197" s="425"/>
      <c r="AB197" s="582"/>
      <c r="AC197" s="425"/>
      <c r="AD197" s="582"/>
      <c r="AE197" s="425"/>
      <c r="AF197" s="582"/>
      <c r="AG197" s="423">
        <v>200000</v>
      </c>
      <c r="AH197" s="423">
        <v>400000</v>
      </c>
      <c r="AI197" s="423">
        <v>200000</v>
      </c>
      <c r="AJ197" s="423">
        <v>0</v>
      </c>
      <c r="AK197" s="524">
        <f t="shared" ref="AK197:AK202" si="68">SUM(AG197:AJ197)</f>
        <v>800000</v>
      </c>
      <c r="AL197" s="424"/>
      <c r="AM197" s="583"/>
      <c r="AN197" s="424">
        <f t="shared" ref="AN197:AN202" si="69">AK197</f>
        <v>800000</v>
      </c>
      <c r="AO197" s="582"/>
      <c r="AP197" s="582"/>
      <c r="AQ197" s="582"/>
      <c r="AR197" s="582"/>
      <c r="AS197" s="425"/>
      <c r="AT197" s="582"/>
      <c r="AU197" s="425"/>
      <c r="AV197" s="582"/>
      <c r="AW197" s="425"/>
      <c r="AX197" s="582"/>
      <c r="AY197" s="414">
        <v>200000</v>
      </c>
      <c r="AZ197" s="414">
        <v>400000</v>
      </c>
      <c r="BA197" s="414">
        <v>200000</v>
      </c>
      <c r="BB197" s="414">
        <v>0</v>
      </c>
      <c r="BC197" s="524">
        <f t="shared" ref="BC197:BC202" si="70">SUM(AY197:BB197)</f>
        <v>800000</v>
      </c>
      <c r="BD197" s="424"/>
      <c r="BE197" s="583"/>
      <c r="BF197" s="424">
        <f t="shared" ref="BF197:BF202" si="71">BC197</f>
        <v>800000</v>
      </c>
      <c r="BG197" s="582"/>
      <c r="BH197" s="582"/>
      <c r="BI197" s="425"/>
      <c r="BJ197" s="582"/>
      <c r="BK197" s="425"/>
      <c r="BL197" s="582"/>
      <c r="BM197" s="425"/>
      <c r="BN197" s="582"/>
      <c r="BO197" s="425"/>
      <c r="BP197" s="582"/>
      <c r="BQ197" s="423">
        <v>200000</v>
      </c>
      <c r="BR197" s="423">
        <v>400000</v>
      </c>
      <c r="BS197" s="423">
        <v>200000</v>
      </c>
      <c r="BT197" s="423">
        <v>0</v>
      </c>
      <c r="BU197" s="524">
        <f t="shared" ref="BU197:BU202" si="72">SUM(BQ197:BT197)</f>
        <v>800000</v>
      </c>
      <c r="BV197" s="424"/>
      <c r="BW197" s="583"/>
      <c r="BX197" s="424">
        <f t="shared" ref="BX197:BX202" si="73">BU197</f>
        <v>800000</v>
      </c>
      <c r="BY197" s="582"/>
      <c r="BZ197" s="582"/>
      <c r="CA197" s="425"/>
      <c r="CB197" s="582"/>
      <c r="CC197" s="425"/>
      <c r="CD197" s="582"/>
      <c r="CE197" s="425"/>
      <c r="CF197" s="582"/>
      <c r="CG197" s="425"/>
      <c r="CH197" s="582"/>
    </row>
    <row r="198" spans="2:86" s="365" customFormat="1">
      <c r="B198" s="437"/>
      <c r="C198" s="472"/>
      <c r="D198" s="439"/>
      <c r="E198" s="647"/>
      <c r="F198" s="411"/>
      <c r="G198" s="411"/>
      <c r="H198" s="411"/>
      <c r="I198" s="439"/>
      <c r="J198" s="473"/>
      <c r="K198" s="439"/>
      <c r="L198" s="442"/>
      <c r="M198" s="442"/>
      <c r="N198" s="442"/>
      <c r="O198" s="414"/>
      <c r="P198" s="414"/>
      <c r="Q198" s="414"/>
      <c r="R198" s="414"/>
      <c r="S198" s="419">
        <f t="shared" si="66"/>
        <v>0</v>
      </c>
      <c r="T198" s="424"/>
      <c r="U198" s="442"/>
      <c r="V198" s="419">
        <f t="shared" si="67"/>
        <v>0</v>
      </c>
      <c r="W198" s="582"/>
      <c r="X198" s="582"/>
      <c r="Y198" s="425"/>
      <c r="Z198" s="582"/>
      <c r="AA198" s="425"/>
      <c r="AB198" s="582"/>
      <c r="AC198" s="425"/>
      <c r="AD198" s="582"/>
      <c r="AE198" s="425"/>
      <c r="AF198" s="582"/>
      <c r="AG198" s="423"/>
      <c r="AH198" s="423"/>
      <c r="AI198" s="423"/>
      <c r="AJ198" s="423"/>
      <c r="AK198" s="524">
        <f t="shared" si="68"/>
        <v>0</v>
      </c>
      <c r="AL198" s="424"/>
      <c r="AM198" s="583"/>
      <c r="AN198" s="424">
        <f t="shared" si="69"/>
        <v>0</v>
      </c>
      <c r="AO198" s="582"/>
      <c r="AP198" s="582"/>
      <c r="AQ198" s="582"/>
      <c r="AR198" s="582"/>
      <c r="AS198" s="425"/>
      <c r="AT198" s="582"/>
      <c r="AU198" s="425"/>
      <c r="AV198" s="582"/>
      <c r="AW198" s="425"/>
      <c r="AX198" s="582"/>
      <c r="AY198" s="414"/>
      <c r="AZ198" s="414"/>
      <c r="BA198" s="414"/>
      <c r="BB198" s="414"/>
      <c r="BC198" s="524">
        <f t="shared" si="70"/>
        <v>0</v>
      </c>
      <c r="BD198" s="424"/>
      <c r="BE198" s="583"/>
      <c r="BF198" s="424">
        <f t="shared" si="71"/>
        <v>0</v>
      </c>
      <c r="BG198" s="582"/>
      <c r="BH198" s="582"/>
      <c r="BI198" s="425"/>
      <c r="BJ198" s="582"/>
      <c r="BK198" s="425"/>
      <c r="BL198" s="582"/>
      <c r="BM198" s="425"/>
      <c r="BN198" s="582"/>
      <c r="BO198" s="425"/>
      <c r="BP198" s="582"/>
      <c r="BQ198" s="423"/>
      <c r="BR198" s="423"/>
      <c r="BS198" s="423"/>
      <c r="BT198" s="423"/>
      <c r="BU198" s="524">
        <f t="shared" si="72"/>
        <v>0</v>
      </c>
      <c r="BV198" s="424"/>
      <c r="BW198" s="583"/>
      <c r="BX198" s="424">
        <f t="shared" si="73"/>
        <v>0</v>
      </c>
      <c r="BY198" s="582"/>
      <c r="BZ198" s="582"/>
      <c r="CA198" s="425"/>
      <c r="CB198" s="582"/>
      <c r="CC198" s="425"/>
      <c r="CD198" s="582"/>
      <c r="CE198" s="425"/>
      <c r="CF198" s="582"/>
      <c r="CG198" s="425"/>
      <c r="CH198" s="582"/>
    </row>
    <row r="199" spans="2:86" s="365" customFormat="1">
      <c r="B199" s="437"/>
      <c r="C199" s="472"/>
      <c r="D199" s="439"/>
      <c r="E199" s="647"/>
      <c r="F199" s="411"/>
      <c r="G199" s="411"/>
      <c r="H199" s="411"/>
      <c r="I199" s="439"/>
      <c r="J199" s="473"/>
      <c r="K199" s="439"/>
      <c r="L199" s="442"/>
      <c r="M199" s="442"/>
      <c r="N199" s="442"/>
      <c r="O199" s="414"/>
      <c r="P199" s="414"/>
      <c r="Q199" s="414"/>
      <c r="R199" s="414"/>
      <c r="S199" s="419">
        <f t="shared" si="66"/>
        <v>0</v>
      </c>
      <c r="T199" s="424"/>
      <c r="U199" s="442"/>
      <c r="V199" s="419">
        <f t="shared" si="67"/>
        <v>0</v>
      </c>
      <c r="W199" s="582"/>
      <c r="X199" s="582"/>
      <c r="Y199" s="425"/>
      <c r="Z199" s="582"/>
      <c r="AA199" s="425"/>
      <c r="AB199" s="582"/>
      <c r="AC199" s="425"/>
      <c r="AD199" s="582"/>
      <c r="AE199" s="425"/>
      <c r="AF199" s="582"/>
      <c r="AG199" s="423"/>
      <c r="AH199" s="423"/>
      <c r="AI199" s="423"/>
      <c r="AJ199" s="423"/>
      <c r="AK199" s="524">
        <f t="shared" si="68"/>
        <v>0</v>
      </c>
      <c r="AL199" s="424"/>
      <c r="AM199" s="583"/>
      <c r="AN199" s="424">
        <f t="shared" si="69"/>
        <v>0</v>
      </c>
      <c r="AO199" s="582"/>
      <c r="AP199" s="582"/>
      <c r="AQ199" s="582"/>
      <c r="AR199" s="582"/>
      <c r="AS199" s="425"/>
      <c r="AT199" s="582"/>
      <c r="AU199" s="425"/>
      <c r="AV199" s="582"/>
      <c r="AW199" s="425"/>
      <c r="AX199" s="582"/>
      <c r="AY199" s="414"/>
      <c r="AZ199" s="414"/>
      <c r="BA199" s="414"/>
      <c r="BB199" s="414"/>
      <c r="BC199" s="524">
        <f t="shared" si="70"/>
        <v>0</v>
      </c>
      <c r="BD199" s="424"/>
      <c r="BE199" s="583"/>
      <c r="BF199" s="424">
        <f t="shared" si="71"/>
        <v>0</v>
      </c>
      <c r="BG199" s="582"/>
      <c r="BH199" s="582"/>
      <c r="BI199" s="425"/>
      <c r="BJ199" s="582"/>
      <c r="BK199" s="425"/>
      <c r="BL199" s="582"/>
      <c r="BM199" s="425"/>
      <c r="BN199" s="582"/>
      <c r="BO199" s="425"/>
      <c r="BP199" s="582"/>
      <c r="BQ199" s="423"/>
      <c r="BR199" s="423"/>
      <c r="BS199" s="423"/>
      <c r="BT199" s="423"/>
      <c r="BU199" s="524">
        <f t="shared" si="72"/>
        <v>0</v>
      </c>
      <c r="BV199" s="424"/>
      <c r="BW199" s="583"/>
      <c r="BX199" s="424">
        <f t="shared" si="73"/>
        <v>0</v>
      </c>
      <c r="BY199" s="582"/>
      <c r="BZ199" s="582"/>
      <c r="CA199" s="425"/>
      <c r="CB199" s="582"/>
      <c r="CC199" s="425"/>
      <c r="CD199" s="582"/>
      <c r="CE199" s="425"/>
      <c r="CF199" s="582"/>
      <c r="CG199" s="425"/>
      <c r="CH199" s="582"/>
    </row>
    <row r="200" spans="2:86" s="365" customFormat="1">
      <c r="B200" s="437"/>
      <c r="C200" s="472"/>
      <c r="D200" s="439"/>
      <c r="E200" s="647"/>
      <c r="F200" s="411"/>
      <c r="G200" s="411"/>
      <c r="H200" s="411"/>
      <c r="I200" s="439"/>
      <c r="J200" s="473"/>
      <c r="K200" s="439"/>
      <c r="L200" s="442"/>
      <c r="M200" s="442"/>
      <c r="N200" s="442"/>
      <c r="O200" s="414"/>
      <c r="P200" s="414"/>
      <c r="Q200" s="414"/>
      <c r="R200" s="414"/>
      <c r="S200" s="419">
        <f t="shared" si="66"/>
        <v>0</v>
      </c>
      <c r="T200" s="424"/>
      <c r="U200" s="442"/>
      <c r="V200" s="419">
        <f t="shared" si="67"/>
        <v>0</v>
      </c>
      <c r="W200" s="582"/>
      <c r="X200" s="582"/>
      <c r="Y200" s="425"/>
      <c r="Z200" s="582"/>
      <c r="AA200" s="425"/>
      <c r="AB200" s="582"/>
      <c r="AC200" s="425"/>
      <c r="AD200" s="582"/>
      <c r="AE200" s="425"/>
      <c r="AF200" s="582"/>
      <c r="AG200" s="423"/>
      <c r="AH200" s="423"/>
      <c r="AI200" s="423"/>
      <c r="AJ200" s="423"/>
      <c r="AK200" s="524">
        <f t="shared" si="68"/>
        <v>0</v>
      </c>
      <c r="AL200" s="424"/>
      <c r="AM200" s="583"/>
      <c r="AN200" s="424">
        <f t="shared" si="69"/>
        <v>0</v>
      </c>
      <c r="AO200" s="582"/>
      <c r="AP200" s="582"/>
      <c r="AQ200" s="582"/>
      <c r="AR200" s="582"/>
      <c r="AS200" s="425"/>
      <c r="AT200" s="582"/>
      <c r="AU200" s="425"/>
      <c r="AV200" s="582"/>
      <c r="AW200" s="425"/>
      <c r="AX200" s="582"/>
      <c r="AY200" s="414"/>
      <c r="AZ200" s="414"/>
      <c r="BA200" s="414"/>
      <c r="BB200" s="414"/>
      <c r="BC200" s="524">
        <f t="shared" si="70"/>
        <v>0</v>
      </c>
      <c r="BD200" s="424"/>
      <c r="BE200" s="583"/>
      <c r="BF200" s="424">
        <f t="shared" si="71"/>
        <v>0</v>
      </c>
      <c r="BG200" s="582"/>
      <c r="BH200" s="582"/>
      <c r="BI200" s="425"/>
      <c r="BJ200" s="582"/>
      <c r="BK200" s="425"/>
      <c r="BL200" s="582"/>
      <c r="BM200" s="425"/>
      <c r="BN200" s="582"/>
      <c r="BO200" s="425"/>
      <c r="BP200" s="582"/>
      <c r="BQ200" s="423"/>
      <c r="BR200" s="423"/>
      <c r="BS200" s="423"/>
      <c r="BT200" s="423"/>
      <c r="BU200" s="524">
        <f t="shared" si="72"/>
        <v>0</v>
      </c>
      <c r="BV200" s="424"/>
      <c r="BW200" s="583"/>
      <c r="BX200" s="424">
        <f t="shared" si="73"/>
        <v>0</v>
      </c>
      <c r="BY200" s="582"/>
      <c r="BZ200" s="582"/>
      <c r="CA200" s="425"/>
      <c r="CB200" s="582"/>
      <c r="CC200" s="425"/>
      <c r="CD200" s="582"/>
      <c r="CE200" s="425"/>
      <c r="CF200" s="582"/>
      <c r="CG200" s="425"/>
      <c r="CH200" s="582"/>
    </row>
    <row r="201" spans="2:86" s="365" customFormat="1">
      <c r="B201" s="437"/>
      <c r="C201" s="472"/>
      <c r="D201" s="439"/>
      <c r="E201" s="647"/>
      <c r="F201" s="411"/>
      <c r="G201" s="411"/>
      <c r="H201" s="411"/>
      <c r="I201" s="439"/>
      <c r="J201" s="473"/>
      <c r="K201" s="439"/>
      <c r="L201" s="442"/>
      <c r="M201" s="442"/>
      <c r="N201" s="442"/>
      <c r="O201" s="414"/>
      <c r="P201" s="414"/>
      <c r="Q201" s="414"/>
      <c r="R201" s="414"/>
      <c r="S201" s="419">
        <f t="shared" si="66"/>
        <v>0</v>
      </c>
      <c r="T201" s="424"/>
      <c r="U201" s="442"/>
      <c r="V201" s="419">
        <f t="shared" si="67"/>
        <v>0</v>
      </c>
      <c r="W201" s="582"/>
      <c r="X201" s="582"/>
      <c r="Y201" s="425"/>
      <c r="Z201" s="582"/>
      <c r="AA201" s="425"/>
      <c r="AB201" s="582"/>
      <c r="AC201" s="425"/>
      <c r="AD201" s="582"/>
      <c r="AE201" s="425"/>
      <c r="AF201" s="582"/>
      <c r="AG201" s="423"/>
      <c r="AH201" s="423"/>
      <c r="AI201" s="423"/>
      <c r="AJ201" s="423"/>
      <c r="AK201" s="524">
        <f t="shared" si="68"/>
        <v>0</v>
      </c>
      <c r="AL201" s="424"/>
      <c r="AM201" s="583"/>
      <c r="AN201" s="424">
        <f t="shared" si="69"/>
        <v>0</v>
      </c>
      <c r="AO201" s="582"/>
      <c r="AP201" s="582"/>
      <c r="AQ201" s="582"/>
      <c r="AR201" s="582"/>
      <c r="AS201" s="425"/>
      <c r="AT201" s="582"/>
      <c r="AU201" s="425"/>
      <c r="AV201" s="582"/>
      <c r="AW201" s="425"/>
      <c r="AX201" s="582"/>
      <c r="AY201" s="414"/>
      <c r="AZ201" s="414"/>
      <c r="BA201" s="414"/>
      <c r="BB201" s="414"/>
      <c r="BC201" s="524">
        <f t="shared" si="70"/>
        <v>0</v>
      </c>
      <c r="BD201" s="424"/>
      <c r="BE201" s="583"/>
      <c r="BF201" s="424">
        <f t="shared" si="71"/>
        <v>0</v>
      </c>
      <c r="BG201" s="582"/>
      <c r="BH201" s="582"/>
      <c r="BI201" s="425"/>
      <c r="BJ201" s="582"/>
      <c r="BK201" s="425"/>
      <c r="BL201" s="582"/>
      <c r="BM201" s="425"/>
      <c r="BN201" s="582"/>
      <c r="BO201" s="425"/>
      <c r="BP201" s="582"/>
      <c r="BQ201" s="423"/>
      <c r="BR201" s="423"/>
      <c r="BS201" s="423"/>
      <c r="BT201" s="423"/>
      <c r="BU201" s="524">
        <f t="shared" si="72"/>
        <v>0</v>
      </c>
      <c r="BV201" s="424"/>
      <c r="BW201" s="583"/>
      <c r="BX201" s="424">
        <f t="shared" si="73"/>
        <v>0</v>
      </c>
      <c r="BY201" s="582"/>
      <c r="BZ201" s="582"/>
      <c r="CA201" s="425"/>
      <c r="CB201" s="582"/>
      <c r="CC201" s="425"/>
      <c r="CD201" s="582"/>
      <c r="CE201" s="425"/>
      <c r="CF201" s="582"/>
      <c r="CG201" s="425"/>
      <c r="CH201" s="582"/>
    </row>
    <row r="202" spans="2:86" s="365" customFormat="1">
      <c r="B202" s="437"/>
      <c r="C202" s="472"/>
      <c r="D202" s="439"/>
      <c r="E202" s="647"/>
      <c r="F202" s="411"/>
      <c r="G202" s="411"/>
      <c r="H202" s="411"/>
      <c r="I202" s="439"/>
      <c r="J202" s="473"/>
      <c r="K202" s="439"/>
      <c r="L202" s="442"/>
      <c r="M202" s="442"/>
      <c r="N202" s="442"/>
      <c r="O202" s="414"/>
      <c r="P202" s="414"/>
      <c r="Q202" s="414"/>
      <c r="R202" s="414"/>
      <c r="S202" s="419">
        <f t="shared" si="66"/>
        <v>0</v>
      </c>
      <c r="T202" s="424"/>
      <c r="U202" s="442"/>
      <c r="V202" s="419">
        <f t="shared" si="67"/>
        <v>0</v>
      </c>
      <c r="W202" s="582"/>
      <c r="X202" s="582"/>
      <c r="Y202" s="425"/>
      <c r="Z202" s="582"/>
      <c r="AA202" s="425"/>
      <c r="AB202" s="582"/>
      <c r="AC202" s="425"/>
      <c r="AD202" s="582"/>
      <c r="AE202" s="425"/>
      <c r="AF202" s="582"/>
      <c r="AG202" s="423"/>
      <c r="AH202" s="423"/>
      <c r="AI202" s="423"/>
      <c r="AJ202" s="423"/>
      <c r="AK202" s="524">
        <f t="shared" si="68"/>
        <v>0</v>
      </c>
      <c r="AL202" s="424"/>
      <c r="AM202" s="583"/>
      <c r="AN202" s="424">
        <f t="shared" si="69"/>
        <v>0</v>
      </c>
      <c r="AO202" s="582"/>
      <c r="AP202" s="582"/>
      <c r="AQ202" s="582"/>
      <c r="AR202" s="582"/>
      <c r="AS202" s="425"/>
      <c r="AT202" s="582"/>
      <c r="AU202" s="425"/>
      <c r="AV202" s="582"/>
      <c r="AW202" s="425"/>
      <c r="AX202" s="582"/>
      <c r="AY202" s="414"/>
      <c r="AZ202" s="414"/>
      <c r="BA202" s="414"/>
      <c r="BB202" s="414"/>
      <c r="BC202" s="524">
        <f t="shared" si="70"/>
        <v>0</v>
      </c>
      <c r="BD202" s="424"/>
      <c r="BE202" s="583"/>
      <c r="BF202" s="424">
        <f t="shared" si="71"/>
        <v>0</v>
      </c>
      <c r="BG202" s="582"/>
      <c r="BH202" s="582"/>
      <c r="BI202" s="425"/>
      <c r="BJ202" s="582"/>
      <c r="BK202" s="425"/>
      <c r="BL202" s="582"/>
      <c r="BM202" s="425"/>
      <c r="BN202" s="582"/>
      <c r="BO202" s="425"/>
      <c r="BP202" s="582"/>
      <c r="BQ202" s="423"/>
      <c r="BR202" s="423"/>
      <c r="BS202" s="423"/>
      <c r="BT202" s="423"/>
      <c r="BU202" s="524">
        <f t="shared" si="72"/>
        <v>0</v>
      </c>
      <c r="BV202" s="424"/>
      <c r="BW202" s="583"/>
      <c r="BX202" s="424">
        <f t="shared" si="73"/>
        <v>0</v>
      </c>
      <c r="BY202" s="582"/>
      <c r="BZ202" s="582"/>
      <c r="CA202" s="425"/>
      <c r="CB202" s="582"/>
      <c r="CC202" s="425"/>
      <c r="CD202" s="582"/>
      <c r="CE202" s="425"/>
      <c r="CF202" s="582"/>
      <c r="CG202" s="425"/>
      <c r="CH202" s="582"/>
    </row>
    <row r="203" spans="2:86" s="365" customFormat="1">
      <c r="B203" s="584"/>
      <c r="C203" s="585"/>
      <c r="D203" s="586" t="s">
        <v>659</v>
      </c>
      <c r="E203" s="586"/>
      <c r="F203" s="587"/>
      <c r="G203" s="587"/>
      <c r="H203" s="587"/>
      <c r="I203" s="485">
        <f t="shared" ref="I203:AU203" si="74">SUM(I197:I202)</f>
        <v>0</v>
      </c>
      <c r="J203" s="484">
        <f t="shared" si="74"/>
        <v>0</v>
      </c>
      <c r="K203" s="485">
        <f t="shared" si="74"/>
        <v>0</v>
      </c>
      <c r="L203" s="485">
        <f t="shared" si="74"/>
        <v>0</v>
      </c>
      <c r="M203" s="485">
        <f t="shared" si="74"/>
        <v>0</v>
      </c>
      <c r="N203" s="485">
        <f t="shared" si="74"/>
        <v>0</v>
      </c>
      <c r="O203" s="484">
        <f t="shared" si="74"/>
        <v>200000</v>
      </c>
      <c r="P203" s="484">
        <f t="shared" si="74"/>
        <v>400000</v>
      </c>
      <c r="Q203" s="484">
        <f t="shared" si="74"/>
        <v>200000</v>
      </c>
      <c r="R203" s="484">
        <f t="shared" si="74"/>
        <v>0</v>
      </c>
      <c r="S203" s="484">
        <f t="shared" si="74"/>
        <v>800000</v>
      </c>
      <c r="T203" s="485"/>
      <c r="U203" s="485">
        <f t="shared" si="74"/>
        <v>0</v>
      </c>
      <c r="V203" s="484">
        <f t="shared" si="74"/>
        <v>800000</v>
      </c>
      <c r="W203" s="588">
        <f t="shared" si="74"/>
        <v>0</v>
      </c>
      <c r="X203" s="588">
        <f t="shared" si="74"/>
        <v>0</v>
      </c>
      <c r="Y203" s="486">
        <f t="shared" si="74"/>
        <v>0</v>
      </c>
      <c r="Z203" s="588">
        <f t="shared" si="74"/>
        <v>0</v>
      </c>
      <c r="AA203" s="486">
        <f t="shared" si="74"/>
        <v>0</v>
      </c>
      <c r="AB203" s="588">
        <f t="shared" si="74"/>
        <v>0</v>
      </c>
      <c r="AC203" s="486">
        <f t="shared" si="74"/>
        <v>0</v>
      </c>
      <c r="AD203" s="588">
        <f t="shared" si="74"/>
        <v>0</v>
      </c>
      <c r="AE203" s="486">
        <f t="shared" si="74"/>
        <v>0</v>
      </c>
      <c r="AF203" s="588">
        <f t="shared" ref="AF203" si="75">SUM(AF197:AF202)</f>
        <v>0</v>
      </c>
      <c r="AG203" s="489">
        <f t="shared" si="74"/>
        <v>200000</v>
      </c>
      <c r="AH203" s="489">
        <f t="shared" si="74"/>
        <v>400000</v>
      </c>
      <c r="AI203" s="489">
        <f t="shared" si="74"/>
        <v>200000</v>
      </c>
      <c r="AJ203" s="489">
        <f t="shared" si="74"/>
        <v>0</v>
      </c>
      <c r="AK203" s="485">
        <f t="shared" si="74"/>
        <v>800000</v>
      </c>
      <c r="AL203" s="485"/>
      <c r="AM203" s="485">
        <f t="shared" si="74"/>
        <v>0</v>
      </c>
      <c r="AN203" s="485">
        <f t="shared" si="74"/>
        <v>800000</v>
      </c>
      <c r="AO203" s="588">
        <f t="shared" si="74"/>
        <v>0</v>
      </c>
      <c r="AP203" s="588">
        <f t="shared" si="74"/>
        <v>0</v>
      </c>
      <c r="AQ203" s="588">
        <f t="shared" si="74"/>
        <v>0</v>
      </c>
      <c r="AR203" s="588">
        <f t="shared" ref="AR203:AS203" si="76">SUM(AR197:AR202)</f>
        <v>0</v>
      </c>
      <c r="AS203" s="486">
        <f t="shared" si="76"/>
        <v>0</v>
      </c>
      <c r="AT203" s="588">
        <f t="shared" si="74"/>
        <v>0</v>
      </c>
      <c r="AU203" s="486">
        <f t="shared" si="74"/>
        <v>0</v>
      </c>
      <c r="AV203" s="588">
        <f t="shared" ref="AV203:AX203" si="77">SUM(AV197:AV202)</f>
        <v>0</v>
      </c>
      <c r="AW203" s="486">
        <f t="shared" si="77"/>
        <v>0</v>
      </c>
      <c r="AX203" s="588">
        <f t="shared" si="77"/>
        <v>0</v>
      </c>
      <c r="AY203" s="484">
        <f t="shared" ref="AY203:BP203" si="78">SUM(AY197:AY202)</f>
        <v>200000</v>
      </c>
      <c r="AZ203" s="484">
        <f t="shared" si="78"/>
        <v>400000</v>
      </c>
      <c r="BA203" s="484">
        <f t="shared" si="78"/>
        <v>200000</v>
      </c>
      <c r="BB203" s="484">
        <f t="shared" si="78"/>
        <v>0</v>
      </c>
      <c r="BC203" s="485">
        <f t="shared" si="78"/>
        <v>800000</v>
      </c>
      <c r="BD203" s="485"/>
      <c r="BE203" s="485">
        <f t="shared" si="78"/>
        <v>0</v>
      </c>
      <c r="BF203" s="485">
        <f t="shared" si="78"/>
        <v>800000</v>
      </c>
      <c r="BG203" s="588">
        <f t="shared" si="78"/>
        <v>0</v>
      </c>
      <c r="BH203" s="588">
        <f t="shared" si="78"/>
        <v>0</v>
      </c>
      <c r="BI203" s="486">
        <f t="shared" si="78"/>
        <v>0</v>
      </c>
      <c r="BJ203" s="588">
        <f t="shared" si="78"/>
        <v>0</v>
      </c>
      <c r="BK203" s="486">
        <f t="shared" si="78"/>
        <v>0</v>
      </c>
      <c r="BL203" s="588">
        <f t="shared" si="78"/>
        <v>0</v>
      </c>
      <c r="BM203" s="486">
        <f t="shared" si="78"/>
        <v>0</v>
      </c>
      <c r="BN203" s="588">
        <f t="shared" si="78"/>
        <v>0</v>
      </c>
      <c r="BO203" s="486">
        <f t="shared" si="78"/>
        <v>0</v>
      </c>
      <c r="BP203" s="588">
        <f t="shared" si="78"/>
        <v>0</v>
      </c>
      <c r="BQ203" s="489">
        <f t="shared" ref="BQ203:CH203" si="79">SUM(BQ197:BQ202)</f>
        <v>200000</v>
      </c>
      <c r="BR203" s="489">
        <f t="shared" si="79"/>
        <v>400000</v>
      </c>
      <c r="BS203" s="489">
        <f t="shared" si="79"/>
        <v>200000</v>
      </c>
      <c r="BT203" s="489">
        <f t="shared" si="79"/>
        <v>0</v>
      </c>
      <c r="BU203" s="485">
        <f t="shared" si="79"/>
        <v>800000</v>
      </c>
      <c r="BV203" s="485"/>
      <c r="BW203" s="485">
        <f t="shared" si="79"/>
        <v>0</v>
      </c>
      <c r="BX203" s="485">
        <f t="shared" si="79"/>
        <v>800000</v>
      </c>
      <c r="BY203" s="588">
        <f t="shared" si="79"/>
        <v>0</v>
      </c>
      <c r="BZ203" s="588">
        <f t="shared" si="79"/>
        <v>0</v>
      </c>
      <c r="CA203" s="486">
        <f t="shared" si="79"/>
        <v>0</v>
      </c>
      <c r="CB203" s="588">
        <f t="shared" si="79"/>
        <v>0</v>
      </c>
      <c r="CC203" s="486">
        <f t="shared" si="79"/>
        <v>0</v>
      </c>
      <c r="CD203" s="588">
        <f t="shared" si="79"/>
        <v>0</v>
      </c>
      <c r="CE203" s="486">
        <f t="shared" si="79"/>
        <v>0</v>
      </c>
      <c r="CF203" s="588">
        <f t="shared" si="79"/>
        <v>0</v>
      </c>
      <c r="CG203" s="486">
        <f t="shared" si="79"/>
        <v>0</v>
      </c>
      <c r="CH203" s="588">
        <f t="shared" si="79"/>
        <v>0</v>
      </c>
    </row>
    <row r="204" spans="2:86" s="365" customFormat="1">
      <c r="B204" s="491"/>
      <c r="C204" s="491"/>
      <c r="D204" s="390"/>
      <c r="E204" s="390"/>
      <c r="F204" s="562"/>
      <c r="G204" s="562"/>
      <c r="H204" s="562"/>
      <c r="I204" s="561"/>
      <c r="J204" s="563"/>
      <c r="K204" s="561"/>
      <c r="L204" s="393"/>
      <c r="M204" s="393"/>
      <c r="N204" s="393"/>
      <c r="O204" s="564"/>
      <c r="P204" s="564"/>
      <c r="Q204" s="564"/>
      <c r="R204" s="564"/>
      <c r="S204" s="564"/>
      <c r="T204" s="393"/>
      <c r="U204" s="393"/>
      <c r="V204" s="564"/>
      <c r="W204" s="565"/>
      <c r="X204" s="565"/>
      <c r="Y204" s="566"/>
      <c r="Z204" s="565"/>
      <c r="AA204" s="566"/>
      <c r="AB204" s="565"/>
      <c r="AC204" s="566"/>
      <c r="AD204" s="565"/>
      <c r="AE204" s="566"/>
      <c r="AF204" s="565"/>
      <c r="AG204" s="567"/>
      <c r="AH204" s="567"/>
      <c r="AI204" s="567"/>
      <c r="AJ204" s="567"/>
      <c r="AK204" s="393"/>
      <c r="AL204" s="393"/>
      <c r="AM204" s="393"/>
      <c r="AN204" s="393"/>
      <c r="AO204" s="565"/>
      <c r="AP204" s="565"/>
      <c r="AQ204" s="565"/>
      <c r="AR204" s="565"/>
      <c r="AS204" s="566"/>
      <c r="AT204" s="565"/>
      <c r="AU204" s="566"/>
      <c r="AV204" s="565"/>
      <c r="AW204" s="566"/>
      <c r="AX204" s="565"/>
      <c r="AY204" s="564"/>
      <c r="AZ204" s="564"/>
      <c r="BA204" s="564"/>
      <c r="BB204" s="564"/>
      <c r="BC204" s="393"/>
      <c r="BD204" s="393"/>
      <c r="BE204" s="393"/>
      <c r="BF204" s="393"/>
      <c r="BG204" s="565"/>
      <c r="BH204" s="565"/>
      <c r="BI204" s="566"/>
      <c r="BJ204" s="565"/>
      <c r="BK204" s="566"/>
      <c r="BL204" s="565"/>
      <c r="BM204" s="566"/>
      <c r="BN204" s="565"/>
      <c r="BO204" s="566"/>
      <c r="BP204" s="565"/>
      <c r="BQ204" s="567"/>
      <c r="BR204" s="567"/>
      <c r="BS204" s="567"/>
      <c r="BT204" s="567"/>
      <c r="BU204" s="393"/>
      <c r="BV204" s="393"/>
      <c r="BW204" s="393"/>
      <c r="BX204" s="393"/>
      <c r="BY204" s="565"/>
      <c r="BZ204" s="565"/>
      <c r="CA204" s="566"/>
      <c r="CB204" s="565"/>
      <c r="CC204" s="566"/>
      <c r="CD204" s="565"/>
      <c r="CE204" s="566"/>
      <c r="CF204" s="565"/>
      <c r="CG204" s="566"/>
      <c r="CH204" s="565"/>
    </row>
    <row r="205" spans="2:86" s="365" customFormat="1">
      <c r="B205" s="589"/>
      <c r="C205" s="590"/>
      <c r="D205" s="591" t="s">
        <v>660</v>
      </c>
      <c r="E205" s="591"/>
      <c r="F205" s="592"/>
      <c r="G205" s="593"/>
      <c r="H205" s="593"/>
      <c r="I205" s="594"/>
      <c r="J205" s="595"/>
      <c r="K205" s="594"/>
      <c r="L205" s="592"/>
      <c r="M205" s="592"/>
      <c r="N205" s="592"/>
      <c r="O205" s="596"/>
      <c r="P205" s="596"/>
      <c r="Q205" s="596"/>
      <c r="R205" s="596"/>
      <c r="S205" s="596"/>
      <c r="T205" s="592"/>
      <c r="U205" s="592"/>
      <c r="V205" s="596"/>
      <c r="W205" s="597"/>
      <c r="X205" s="597"/>
      <c r="Y205" s="598"/>
      <c r="Z205" s="597"/>
      <c r="AA205" s="598"/>
      <c r="AB205" s="597"/>
      <c r="AC205" s="598"/>
      <c r="AD205" s="597"/>
      <c r="AE205" s="598"/>
      <c r="AF205" s="597"/>
      <c r="AG205" s="599"/>
      <c r="AH205" s="599"/>
      <c r="AI205" s="599"/>
      <c r="AJ205" s="599"/>
      <c r="AK205" s="592"/>
      <c r="AL205" s="592"/>
      <c r="AM205" s="592"/>
      <c r="AN205" s="592"/>
      <c r="AO205" s="597"/>
      <c r="AP205" s="597"/>
      <c r="AQ205" s="597"/>
      <c r="AR205" s="597"/>
      <c r="AS205" s="598"/>
      <c r="AT205" s="597"/>
      <c r="AU205" s="598"/>
      <c r="AV205" s="597"/>
      <c r="AW205" s="598"/>
      <c r="AX205" s="597"/>
      <c r="AY205" s="596"/>
      <c r="AZ205" s="596"/>
      <c r="BA205" s="596"/>
      <c r="BB205" s="596"/>
      <c r="BC205" s="592"/>
      <c r="BD205" s="592"/>
      <c r="BE205" s="592"/>
      <c r="BF205" s="592"/>
      <c r="BG205" s="597"/>
      <c r="BH205" s="597"/>
      <c r="BI205" s="598"/>
      <c r="BJ205" s="597"/>
      <c r="BK205" s="598"/>
      <c r="BL205" s="597"/>
      <c r="BM205" s="598"/>
      <c r="BN205" s="597"/>
      <c r="BO205" s="598"/>
      <c r="BP205" s="597"/>
      <c r="BQ205" s="599"/>
      <c r="BR205" s="599"/>
      <c r="BS205" s="599"/>
      <c r="BT205" s="599"/>
      <c r="BU205" s="592"/>
      <c r="BV205" s="592"/>
      <c r="BW205" s="592"/>
      <c r="BX205" s="592"/>
      <c r="BY205" s="597"/>
      <c r="BZ205" s="597"/>
      <c r="CA205" s="598"/>
      <c r="CB205" s="597"/>
      <c r="CC205" s="598"/>
      <c r="CD205" s="597"/>
      <c r="CE205" s="598"/>
      <c r="CF205" s="597"/>
      <c r="CG205" s="598"/>
      <c r="CH205" s="597"/>
    </row>
    <row r="206" spans="2:86" s="365" customFormat="1" ht="15.75">
      <c r="B206" s="600"/>
      <c r="C206" s="601"/>
      <c r="D206" s="602" t="s">
        <v>661</v>
      </c>
      <c r="E206" s="647"/>
      <c r="F206" s="411"/>
      <c r="G206" s="411"/>
      <c r="H206" s="411"/>
      <c r="I206" s="439"/>
      <c r="J206" s="473"/>
      <c r="K206" s="439"/>
      <c r="L206" s="442"/>
      <c r="M206" s="442"/>
      <c r="N206" s="442"/>
      <c r="O206" s="414"/>
      <c r="P206" s="414"/>
      <c r="Q206" s="414"/>
      <c r="R206" s="414"/>
      <c r="S206" s="419">
        <f>SUM(O206:R206)</f>
        <v>0</v>
      </c>
      <c r="T206" s="424"/>
      <c r="U206" s="442"/>
      <c r="V206" s="419">
        <f>S206</f>
        <v>0</v>
      </c>
      <c r="W206" s="582"/>
      <c r="X206" s="582"/>
      <c r="Y206" s="425"/>
      <c r="Z206" s="582"/>
      <c r="AA206" s="425"/>
      <c r="AB206" s="582"/>
      <c r="AC206" s="425"/>
      <c r="AD206" s="582"/>
      <c r="AE206" s="425"/>
      <c r="AF206" s="582"/>
      <c r="AG206" s="423"/>
      <c r="AH206" s="423"/>
      <c r="AI206" s="423"/>
      <c r="AJ206" s="423"/>
      <c r="AK206" s="524">
        <f>SUM(AG206:AJ206)</f>
        <v>0</v>
      </c>
      <c r="AL206" s="424"/>
      <c r="AM206" s="583"/>
      <c r="AN206" s="424">
        <f>AK206</f>
        <v>0</v>
      </c>
      <c r="AO206" s="582"/>
      <c r="AP206" s="582"/>
      <c r="AQ206" s="582"/>
      <c r="AR206" s="582"/>
      <c r="AS206" s="425"/>
      <c r="AT206" s="582"/>
      <c r="AU206" s="425"/>
      <c r="AV206" s="582"/>
      <c r="AW206" s="425"/>
      <c r="AX206" s="582"/>
      <c r="AY206" s="414"/>
      <c r="AZ206" s="414"/>
      <c r="BA206" s="414"/>
      <c r="BB206" s="414"/>
      <c r="BC206" s="524">
        <f>SUM(AY206:BB206)</f>
        <v>0</v>
      </c>
      <c r="BD206" s="424"/>
      <c r="BE206" s="583"/>
      <c r="BF206" s="424">
        <f>BC206</f>
        <v>0</v>
      </c>
      <c r="BG206" s="582"/>
      <c r="BH206" s="582"/>
      <c r="BI206" s="425"/>
      <c r="BJ206" s="582"/>
      <c r="BK206" s="425"/>
      <c r="BL206" s="582"/>
      <c r="BM206" s="425"/>
      <c r="BN206" s="582"/>
      <c r="BO206" s="425"/>
      <c r="BP206" s="582"/>
      <c r="BQ206" s="423"/>
      <c r="BR206" s="423"/>
      <c r="BS206" s="423"/>
      <c r="BT206" s="423"/>
      <c r="BU206" s="524">
        <f>SUM(BQ206:BT206)</f>
        <v>0</v>
      </c>
      <c r="BV206" s="424"/>
      <c r="BW206" s="583"/>
      <c r="BX206" s="424">
        <f>BU206</f>
        <v>0</v>
      </c>
      <c r="BY206" s="582"/>
      <c r="BZ206" s="582"/>
      <c r="CA206" s="425"/>
      <c r="CB206" s="582"/>
      <c r="CC206" s="425"/>
      <c r="CD206" s="582"/>
      <c r="CE206" s="425"/>
      <c r="CF206" s="582"/>
      <c r="CG206" s="425"/>
      <c r="CH206" s="582"/>
    </row>
    <row r="207" spans="2:86" s="365" customFormat="1">
      <c r="B207" s="600"/>
      <c r="C207" s="601"/>
      <c r="D207" s="602" t="s">
        <v>662</v>
      </c>
      <c r="E207" s="647"/>
      <c r="F207" s="411"/>
      <c r="G207" s="411"/>
      <c r="H207" s="411"/>
      <c r="I207" s="439"/>
      <c r="J207" s="473"/>
      <c r="K207" s="439"/>
      <c r="L207" s="442"/>
      <c r="M207" s="442">
        <v>116291772</v>
      </c>
      <c r="N207" s="442">
        <v>116314159</v>
      </c>
      <c r="O207" s="414">
        <v>9249972</v>
      </c>
      <c r="P207" s="414">
        <v>1536622</v>
      </c>
      <c r="Q207" s="414">
        <v>105517703</v>
      </c>
      <c r="R207" s="414"/>
      <c r="S207" s="419">
        <f>SUM(O207:R207)</f>
        <v>116304297</v>
      </c>
      <c r="T207" s="424"/>
      <c r="U207" s="442"/>
      <c r="V207" s="419">
        <f>S207</f>
        <v>116304297</v>
      </c>
      <c r="W207" s="582">
        <v>0</v>
      </c>
      <c r="X207" s="582">
        <v>0</v>
      </c>
      <c r="Y207" s="425">
        <v>1255592</v>
      </c>
      <c r="Z207" s="582">
        <v>0</v>
      </c>
      <c r="AA207" s="425">
        <v>7345.2132000000001</v>
      </c>
      <c r="AB207" s="582">
        <v>0</v>
      </c>
      <c r="AC207" s="425">
        <v>16075344.380000001</v>
      </c>
      <c r="AD207" s="582">
        <v>0</v>
      </c>
      <c r="AE207" s="425">
        <v>94040.764599999995</v>
      </c>
      <c r="AF207" s="582">
        <v>0</v>
      </c>
      <c r="AG207" s="423">
        <v>9538223</v>
      </c>
      <c r="AH207" s="423">
        <v>1561997</v>
      </c>
      <c r="AI207" s="423">
        <v>105239119</v>
      </c>
      <c r="AJ207" s="423"/>
      <c r="AK207" s="524">
        <f>SUM(AG207:AJ207)</f>
        <v>116339339</v>
      </c>
      <c r="AL207" s="424"/>
      <c r="AM207" s="583"/>
      <c r="AN207" s="424">
        <f>AK207</f>
        <v>116339339</v>
      </c>
      <c r="AO207" s="582">
        <v>0</v>
      </c>
      <c r="AP207" s="582">
        <v>0</v>
      </c>
      <c r="AQ207" s="425">
        <v>1255592</v>
      </c>
      <c r="AR207" s="582">
        <v>0</v>
      </c>
      <c r="AS207" s="425">
        <v>7345.2132000000001</v>
      </c>
      <c r="AT207" s="582">
        <v>0</v>
      </c>
      <c r="AU207" s="425">
        <v>16075344.380000001</v>
      </c>
      <c r="AV207" s="582">
        <v>0</v>
      </c>
      <c r="AW207" s="425">
        <v>94040.764599999995</v>
      </c>
      <c r="AX207" s="582">
        <v>0</v>
      </c>
      <c r="AY207" s="414">
        <v>9573175</v>
      </c>
      <c r="AZ207" s="414">
        <v>1586833</v>
      </c>
      <c r="BA207" s="414">
        <v>104870516</v>
      </c>
      <c r="BB207" s="414"/>
      <c r="BC207" s="524">
        <f>SUM(AY207:BB207)</f>
        <v>116030524</v>
      </c>
      <c r="BD207" s="424"/>
      <c r="BE207" s="583"/>
      <c r="BF207" s="424">
        <f>BC207</f>
        <v>116030524</v>
      </c>
      <c r="BG207" s="582">
        <v>0</v>
      </c>
      <c r="BH207" s="582">
        <v>0</v>
      </c>
      <c r="BI207" s="425">
        <v>1255592</v>
      </c>
      <c r="BJ207" s="582">
        <v>0</v>
      </c>
      <c r="BK207" s="425">
        <v>7345.2132000000001</v>
      </c>
      <c r="BL207" s="582">
        <v>0</v>
      </c>
      <c r="BM207" s="425">
        <v>16075344.380000001</v>
      </c>
      <c r="BN207" s="582">
        <v>0</v>
      </c>
      <c r="BO207" s="425">
        <v>94040.764599999995</v>
      </c>
      <c r="BP207" s="582">
        <v>0</v>
      </c>
      <c r="BQ207" s="423"/>
      <c r="BR207" s="423"/>
      <c r="BS207" s="423"/>
      <c r="BT207" s="423"/>
      <c r="BU207" s="524">
        <f>SUM(BQ207:BT207)</f>
        <v>0</v>
      </c>
      <c r="BV207" s="424"/>
      <c r="BW207" s="583"/>
      <c r="BX207" s="424">
        <f>BU207</f>
        <v>0</v>
      </c>
      <c r="BY207" s="582">
        <v>0</v>
      </c>
      <c r="BZ207" s="582">
        <v>0</v>
      </c>
      <c r="CA207" s="425">
        <v>1255592</v>
      </c>
      <c r="CB207" s="582">
        <v>0</v>
      </c>
      <c r="CC207" s="425">
        <v>7345.2132000000001</v>
      </c>
      <c r="CD207" s="582">
        <v>0</v>
      </c>
      <c r="CE207" s="425">
        <v>16075344.380000001</v>
      </c>
      <c r="CF207" s="582">
        <v>0</v>
      </c>
      <c r="CG207" s="425">
        <v>94040.764599999995</v>
      </c>
      <c r="CH207" s="582">
        <v>0</v>
      </c>
    </row>
    <row r="208" spans="2:86" s="365" customFormat="1">
      <c r="B208" s="603"/>
      <c r="C208" s="604"/>
      <c r="D208" s="605"/>
      <c r="E208" s="648"/>
      <c r="F208" s="606"/>
      <c r="G208" s="606"/>
      <c r="H208" s="606"/>
      <c r="I208" s="605"/>
      <c r="J208" s="607"/>
      <c r="K208" s="605"/>
      <c r="L208" s="608"/>
      <c r="M208" s="608"/>
      <c r="N208" s="608"/>
      <c r="O208" s="609"/>
      <c r="P208" s="609"/>
      <c r="Q208" s="609"/>
      <c r="R208" s="609"/>
      <c r="S208" s="610">
        <f>SUM(O208:R208)</f>
        <v>0</v>
      </c>
      <c r="T208" s="611"/>
      <c r="U208" s="608"/>
      <c r="V208" s="419">
        <f>S208</f>
        <v>0</v>
      </c>
      <c r="W208" s="612"/>
      <c r="X208" s="612"/>
      <c r="Y208" s="613"/>
      <c r="Z208" s="612"/>
      <c r="AA208" s="613"/>
      <c r="AB208" s="612"/>
      <c r="AC208" s="613"/>
      <c r="AD208" s="612"/>
      <c r="AE208" s="613"/>
      <c r="AF208" s="612"/>
      <c r="AG208" s="614"/>
      <c r="AH208" s="614"/>
      <c r="AI208" s="614"/>
      <c r="AJ208" s="614"/>
      <c r="AK208" s="524">
        <f>SUM(AG208:AJ208)</f>
        <v>0</v>
      </c>
      <c r="AL208" s="611"/>
      <c r="AM208" s="583"/>
      <c r="AN208" s="424">
        <f>AK208</f>
        <v>0</v>
      </c>
      <c r="AO208" s="612"/>
      <c r="AP208" s="612"/>
      <c r="AQ208" s="612"/>
      <c r="AR208" s="612"/>
      <c r="AS208" s="613"/>
      <c r="AT208" s="612"/>
      <c r="AU208" s="613"/>
      <c r="AV208" s="612"/>
      <c r="AW208" s="613"/>
      <c r="AX208" s="612"/>
      <c r="AY208" s="609"/>
      <c r="AZ208" s="609"/>
      <c r="BA208" s="609"/>
      <c r="BB208" s="609"/>
      <c r="BC208" s="524">
        <f>SUM(AY208:BB208)</f>
        <v>0</v>
      </c>
      <c r="BD208" s="611"/>
      <c r="BE208" s="583"/>
      <c r="BF208" s="424">
        <f>BC208</f>
        <v>0</v>
      </c>
      <c r="BG208" s="612"/>
      <c r="BH208" s="612"/>
      <c r="BI208" s="613"/>
      <c r="BJ208" s="612"/>
      <c r="BK208" s="613"/>
      <c r="BL208" s="612"/>
      <c r="BM208" s="613"/>
      <c r="BN208" s="612"/>
      <c r="BO208" s="613"/>
      <c r="BP208" s="612"/>
      <c r="BQ208" s="614"/>
      <c r="BR208" s="614"/>
      <c r="BS208" s="614"/>
      <c r="BT208" s="614"/>
      <c r="BU208" s="524">
        <f>SUM(BQ208:BT208)</f>
        <v>0</v>
      </c>
      <c r="BV208" s="611"/>
      <c r="BW208" s="583"/>
      <c r="BX208" s="424">
        <f>BU208</f>
        <v>0</v>
      </c>
      <c r="BY208" s="612"/>
      <c r="BZ208" s="612"/>
      <c r="CA208" s="613"/>
      <c r="CB208" s="612"/>
      <c r="CC208" s="613"/>
      <c r="CD208" s="612"/>
      <c r="CE208" s="613"/>
      <c r="CF208" s="612"/>
      <c r="CG208" s="613"/>
      <c r="CH208" s="612"/>
    </row>
    <row r="209" spans="2:86" s="365" customFormat="1">
      <c r="B209" s="615"/>
      <c r="C209" s="615"/>
      <c r="D209" s="616"/>
      <c r="E209" s="649"/>
      <c r="F209" s="376"/>
      <c r="G209" s="376"/>
      <c r="H209" s="376"/>
      <c r="I209" s="616"/>
      <c r="J209" s="617"/>
      <c r="K209" s="616"/>
      <c r="L209" s="362"/>
      <c r="M209" s="362"/>
      <c r="N209" s="362"/>
      <c r="O209" s="361"/>
      <c r="P209" s="361"/>
      <c r="Q209" s="361"/>
      <c r="R209" s="361"/>
      <c r="S209" s="361"/>
      <c r="T209" s="362"/>
      <c r="U209" s="362"/>
      <c r="V209" s="361"/>
      <c r="W209" s="618"/>
      <c r="X209" s="618"/>
      <c r="Y209" s="619"/>
      <c r="Z209" s="618"/>
      <c r="AA209" s="619"/>
      <c r="AB209" s="618"/>
      <c r="AC209" s="619"/>
      <c r="AD209" s="618"/>
      <c r="AE209" s="619"/>
      <c r="AF209" s="618"/>
      <c r="AG209" s="620"/>
      <c r="AH209" s="620"/>
      <c r="AI209" s="620"/>
      <c r="AJ209" s="620"/>
      <c r="AK209" s="362"/>
      <c r="AL209" s="362"/>
      <c r="AM209" s="362"/>
      <c r="AN209" s="362"/>
      <c r="AO209" s="618"/>
      <c r="AP209" s="618"/>
      <c r="AQ209" s="618"/>
      <c r="AR209" s="618"/>
      <c r="AS209" s="619"/>
      <c r="AT209" s="618"/>
      <c r="AU209" s="619"/>
      <c r="AV209" s="618"/>
      <c r="AW209" s="619"/>
      <c r="AX209" s="618"/>
      <c r="AY209" s="361"/>
      <c r="AZ209" s="361"/>
      <c r="BA209" s="361"/>
      <c r="BB209" s="361"/>
      <c r="BC209" s="362"/>
      <c r="BD209" s="362"/>
      <c r="BE209" s="362"/>
      <c r="BF209" s="362"/>
      <c r="BG209" s="618"/>
      <c r="BH209" s="618"/>
      <c r="BI209" s="619"/>
      <c r="BJ209" s="618"/>
      <c r="BK209" s="619"/>
      <c r="BL209" s="618"/>
      <c r="BM209" s="619"/>
      <c r="BN209" s="618"/>
      <c r="BO209" s="619"/>
      <c r="BP209" s="618"/>
      <c r="BQ209" s="620"/>
      <c r="BR209" s="620"/>
      <c r="BS209" s="620"/>
      <c r="BT209" s="620"/>
      <c r="BU209" s="362"/>
      <c r="BV209" s="362"/>
      <c r="BW209" s="362"/>
      <c r="BX209" s="362"/>
      <c r="BY209" s="618"/>
      <c r="BZ209" s="618"/>
      <c r="CA209" s="619"/>
      <c r="CB209" s="618"/>
      <c r="CC209" s="619"/>
      <c r="CD209" s="618"/>
      <c r="CE209" s="619"/>
      <c r="CF209" s="618"/>
      <c r="CG209" s="619"/>
      <c r="CH209" s="618"/>
    </row>
    <row r="210" spans="2:86">
      <c r="V210" s="626"/>
      <c r="AN210" s="365"/>
      <c r="BF210" s="365"/>
      <c r="BX210" s="365"/>
    </row>
    <row r="211" spans="2:86">
      <c r="B211" s="357" t="s">
        <v>663</v>
      </c>
    </row>
    <row r="212" spans="2:86">
      <c r="B212" s="630" t="s">
        <v>664</v>
      </c>
      <c r="G212" s="650"/>
    </row>
    <row r="213" spans="2:86">
      <c r="B213" s="630" t="s">
        <v>665</v>
      </c>
      <c r="G213" s="650"/>
    </row>
    <row r="214" spans="2:86" s="365" customFormat="1">
      <c r="B214" s="630" t="s">
        <v>666</v>
      </c>
      <c r="E214" s="376"/>
      <c r="F214" s="376"/>
      <c r="G214" s="650"/>
      <c r="H214" s="376"/>
      <c r="J214" s="626"/>
      <c r="L214" s="625"/>
      <c r="M214" s="625"/>
      <c r="N214" s="625"/>
      <c r="O214" s="624"/>
      <c r="P214" s="624"/>
      <c r="Q214" s="624"/>
      <c r="R214" s="624"/>
      <c r="S214" s="624"/>
      <c r="T214" s="625"/>
      <c r="U214" s="625"/>
      <c r="V214" s="624"/>
      <c r="W214" s="631"/>
      <c r="X214" s="631"/>
      <c r="Y214" s="632"/>
      <c r="Z214" s="631"/>
      <c r="AA214" s="632"/>
      <c r="AB214" s="631"/>
      <c r="AC214" s="632"/>
      <c r="AD214" s="631"/>
      <c r="AE214" s="632"/>
      <c r="AF214" s="631"/>
      <c r="AG214" s="633"/>
      <c r="AH214" s="633"/>
      <c r="AI214" s="633"/>
      <c r="AJ214" s="633"/>
      <c r="AK214" s="625"/>
      <c r="AL214" s="625"/>
      <c r="AM214" s="625"/>
      <c r="AN214" s="625"/>
      <c r="AO214" s="631"/>
      <c r="AP214" s="631"/>
      <c r="AQ214" s="631"/>
      <c r="AR214" s="631"/>
      <c r="AS214" s="632"/>
      <c r="AT214" s="631"/>
      <c r="AU214" s="632"/>
      <c r="AV214" s="631"/>
      <c r="AW214" s="632"/>
      <c r="AX214" s="631"/>
      <c r="AY214" s="624"/>
      <c r="AZ214" s="624"/>
      <c r="BA214" s="624"/>
      <c r="BB214" s="624"/>
      <c r="BC214" s="625"/>
      <c r="BD214" s="625"/>
      <c r="BE214" s="625"/>
      <c r="BF214" s="625"/>
      <c r="BG214" s="631"/>
      <c r="BH214" s="631"/>
      <c r="BI214" s="632"/>
      <c r="BJ214" s="631"/>
      <c r="BK214" s="632"/>
      <c r="BL214" s="631"/>
      <c r="BM214" s="632"/>
      <c r="BN214" s="631"/>
      <c r="BO214" s="632"/>
      <c r="BP214" s="631"/>
      <c r="BQ214" s="633"/>
      <c r="BR214" s="633"/>
      <c r="BS214" s="633"/>
      <c r="BT214" s="633"/>
      <c r="BU214" s="625"/>
      <c r="BV214" s="625"/>
      <c r="BW214" s="625"/>
      <c r="BX214" s="625"/>
      <c r="BY214" s="631"/>
      <c r="BZ214" s="631"/>
      <c r="CA214" s="632"/>
      <c r="CB214" s="631"/>
      <c r="CC214" s="632"/>
      <c r="CD214" s="631"/>
      <c r="CE214" s="632"/>
      <c r="CF214" s="631"/>
      <c r="CG214" s="632"/>
      <c r="CH214" s="631"/>
    </row>
    <row r="215" spans="2:86" s="365" customFormat="1">
      <c r="B215" s="630" t="s">
        <v>667</v>
      </c>
      <c r="E215" s="376"/>
      <c r="F215" s="376"/>
      <c r="G215" s="651"/>
      <c r="H215" s="376"/>
      <c r="J215" s="626"/>
      <c r="L215" s="625"/>
      <c r="M215" s="625"/>
      <c r="N215" s="625"/>
      <c r="O215" s="624"/>
      <c r="P215" s="624"/>
      <c r="Q215" s="624"/>
      <c r="R215" s="624"/>
      <c r="S215" s="624"/>
      <c r="T215" s="625"/>
      <c r="U215" s="625"/>
      <c r="V215" s="624"/>
      <c r="W215" s="631"/>
      <c r="X215" s="631"/>
      <c r="Y215" s="632"/>
      <c r="Z215" s="631"/>
      <c r="AA215" s="632"/>
      <c r="AB215" s="631"/>
      <c r="AC215" s="632"/>
      <c r="AD215" s="631"/>
      <c r="AE215" s="632"/>
      <c r="AF215" s="631"/>
      <c r="AG215" s="633"/>
      <c r="AH215" s="633"/>
      <c r="AI215" s="633"/>
      <c r="AJ215" s="633"/>
      <c r="AK215" s="625"/>
      <c r="AL215" s="625"/>
      <c r="AM215" s="625"/>
      <c r="AN215" s="625"/>
      <c r="AO215" s="631"/>
      <c r="AP215" s="631"/>
      <c r="AQ215" s="631"/>
      <c r="AR215" s="631"/>
      <c r="AS215" s="632"/>
      <c r="AT215" s="631"/>
      <c r="AU215" s="632"/>
      <c r="AV215" s="631"/>
      <c r="AW215" s="632"/>
      <c r="AX215" s="631"/>
      <c r="AY215" s="624"/>
      <c r="AZ215" s="624"/>
      <c r="BA215" s="624"/>
      <c r="BB215" s="624"/>
      <c r="BC215" s="625"/>
      <c r="BD215" s="625"/>
      <c r="BE215" s="625"/>
      <c r="BF215" s="625"/>
      <c r="BG215" s="631"/>
      <c r="BH215" s="631"/>
      <c r="BI215" s="632"/>
      <c r="BJ215" s="631"/>
      <c r="BK215" s="632"/>
      <c r="BL215" s="631"/>
      <c r="BM215" s="632"/>
      <c r="BN215" s="631"/>
      <c r="BO215" s="632"/>
      <c r="BP215" s="631"/>
      <c r="BQ215" s="633"/>
      <c r="BR215" s="633"/>
      <c r="BS215" s="633"/>
      <c r="BT215" s="633"/>
      <c r="BU215" s="625"/>
      <c r="BV215" s="625"/>
      <c r="BW215" s="625"/>
      <c r="BX215" s="625"/>
      <c r="BY215" s="631"/>
      <c r="BZ215" s="631"/>
      <c r="CA215" s="632"/>
      <c r="CB215" s="631"/>
      <c r="CC215" s="632"/>
      <c r="CD215" s="631"/>
      <c r="CE215" s="632"/>
      <c r="CF215" s="631"/>
      <c r="CG215" s="632"/>
      <c r="CH215" s="631"/>
    </row>
    <row r="216" spans="2:86">
      <c r="B216" s="630" t="s">
        <v>668</v>
      </c>
      <c r="C216" s="365"/>
      <c r="D216" s="365"/>
    </row>
    <row r="217" spans="2:86">
      <c r="B217" s="630" t="s">
        <v>669</v>
      </c>
      <c r="C217" s="365"/>
      <c r="D217" s="365"/>
      <c r="G217" s="652"/>
    </row>
    <row r="218" spans="2:86">
      <c r="B218" s="630" t="s">
        <v>670</v>
      </c>
      <c r="C218" s="365"/>
      <c r="D218" s="365"/>
    </row>
    <row r="219" spans="2:86">
      <c r="C219" s="365"/>
      <c r="D219" s="365"/>
    </row>
    <row r="220" spans="2:86">
      <c r="B220" s="329"/>
    </row>
  </sheetData>
  <mergeCells count="5">
    <mergeCell ref="E5:H5"/>
    <mergeCell ref="O5:AF5"/>
    <mergeCell ref="AG5:AX5"/>
    <mergeCell ref="AY5:BP5"/>
    <mergeCell ref="BQ5:CH5"/>
  </mergeCells>
  <phoneticPr fontId="176" type="noConversion"/>
  <dataValidations count="1">
    <dataValidation type="list" allowBlank="1" showInputMessage="1" showErrorMessage="1" sqref="F190 F182:F188 F193 F196 F203:F205 F208:F209" xr:uid="{3CE9EA39-A1E0-49DB-964A-36AE111955E6}">
      <formula1>Program_Type</formula1>
    </dataValidation>
  </dataValidations>
  <pageMargins left="0.7" right="0.7" top="0.75" bottom="0.75" header="0.3" footer="0.3"/>
  <pageSetup paperSize="3" scale="34" fitToWidth="5" fitToHeight="2" pageOrder="overThenDown" orientation="landscape" r:id="rId1"/>
  <rowBreaks count="1" manualBreakCount="1">
    <brk id="108" max="85" man="1"/>
  </rowBreaks>
  <colBreaks count="4" manualBreakCount="4">
    <brk id="14" max="217" man="1"/>
    <brk id="32" max="217" man="1"/>
    <brk id="50" max="217" man="1"/>
    <brk id="68" max="217" man="1"/>
  </colBreaks>
  <extLst>
    <ext xmlns:x14="http://schemas.microsoft.com/office/spreadsheetml/2009/9/main" uri="{CCE6A557-97BC-4b89-ADB6-D9C93CAAB3DF}">
      <x14:dataValidations xmlns:xm="http://schemas.microsoft.com/office/excel/2006/main" count="4">
        <x14:dataValidation type="list" allowBlank="1" showInputMessage="1" showErrorMessage="1" xr:uid="{1324C20B-C08C-4836-BEA5-B30022DE4D4E}">
          <x14:formula1>
            <xm:f>README!$K$8:$K$10</xm:f>
          </x14:formula1>
          <xm:sqref>F7:F181</xm:sqref>
        </x14:dataValidation>
        <x14:dataValidation type="list" allowBlank="1" showInputMessage="1" showErrorMessage="1" xr:uid="{104C0120-B8F4-4BCA-B4BA-6D48554AC962}">
          <x14:formula1>
            <xm:f>README!$J$8:$J$9</xm:f>
          </x14:formula1>
          <xm:sqref>E7:E181</xm:sqref>
        </x14:dataValidation>
        <x14:dataValidation type="list" allowBlank="1" showInputMessage="1" showErrorMessage="1" xr:uid="{553EAB0C-4DFA-411B-8C47-DF98150E9D20}">
          <x14:formula1>
            <xm:f>README!$L$8:$L$17</xm:f>
          </x14:formula1>
          <xm:sqref>G7:G181</xm:sqref>
        </x14:dataValidation>
        <x14:dataValidation type="list" allowBlank="1" showInputMessage="1" showErrorMessage="1" xr:uid="{3C9ED69C-6A71-4B4E-BBC9-A0659BFD5DFB}">
          <x14:formula1>
            <xm:f>README!$M$8:$M$11</xm:f>
          </x14:formula1>
          <xm:sqref>H7:H181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67BE7-38DA-411C-8CFE-3FC7E8863DDC}">
  <sheetPr codeName="Sheet8"/>
  <dimension ref="A1:AZ78"/>
  <sheetViews>
    <sheetView showGridLines="0" view="pageBreakPreview" zoomScaleNormal="80" zoomScaleSheetLayoutView="100" workbookViewId="0">
      <pane xSplit="4" ySplit="6" topLeftCell="E7" activePane="bottomRight" state="frozen"/>
      <selection activeCell="A26" sqref="A26"/>
      <selection pane="topRight" activeCell="A26" sqref="A26"/>
      <selection pane="bottomLeft" activeCell="A26" sqref="A26"/>
      <selection pane="bottomRight"/>
    </sheetView>
  </sheetViews>
  <sheetFormatPr defaultColWidth="8" defaultRowHeight="14.25"/>
  <cols>
    <col min="1" max="1" width="11.375" style="357" customWidth="1"/>
    <col min="2" max="2" width="13.125" style="357" customWidth="1"/>
    <col min="3" max="3" width="12.25" style="357" customWidth="1"/>
    <col min="4" max="4" width="57" style="357" customWidth="1"/>
    <col min="5" max="5" width="17.125" style="367" customWidth="1"/>
    <col min="6" max="7" width="30.625" style="367" customWidth="1"/>
    <col min="8" max="8" width="12.5" style="357" customWidth="1"/>
    <col min="9" max="9" width="14.625" style="622" customWidth="1"/>
    <col min="10" max="19" width="14.625" style="628" customWidth="1"/>
    <col min="20" max="20" width="14.625" style="622" customWidth="1"/>
    <col min="21" max="30" width="14.625" style="628" customWidth="1"/>
    <col min="31" max="31" width="14.625" style="622" customWidth="1"/>
    <col min="32" max="41" width="14.625" style="628" customWidth="1"/>
    <col min="42" max="42" width="14.625" style="622" customWidth="1"/>
    <col min="43" max="52" width="14.625" style="628" customWidth="1"/>
    <col min="53" max="16384" width="8" style="357"/>
  </cols>
  <sheetData>
    <row r="1" spans="1:52">
      <c r="A1" s="175" t="s">
        <v>98</v>
      </c>
      <c r="B1" s="176" t="str">
        <f>PA_NAME</f>
        <v>SoCalGas</v>
      </c>
      <c r="D1" s="358"/>
      <c r="H1" s="365"/>
      <c r="I1" s="653"/>
      <c r="J1" s="372"/>
      <c r="K1" s="372"/>
      <c r="L1" s="372"/>
      <c r="M1" s="372"/>
      <c r="N1" s="372"/>
      <c r="O1" s="372"/>
      <c r="P1" s="372"/>
      <c r="Q1" s="372"/>
      <c r="R1" s="372"/>
      <c r="S1" s="372"/>
      <c r="T1" s="653"/>
      <c r="U1" s="372"/>
      <c r="V1" s="372"/>
      <c r="W1" s="372"/>
      <c r="X1" s="372"/>
      <c r="Y1" s="372"/>
      <c r="Z1" s="372"/>
      <c r="AA1" s="372"/>
      <c r="AB1" s="372"/>
      <c r="AC1" s="372"/>
      <c r="AD1" s="372"/>
      <c r="AE1" s="653"/>
      <c r="AF1" s="372"/>
      <c r="AG1" s="372"/>
      <c r="AH1" s="372"/>
      <c r="AI1" s="372"/>
      <c r="AJ1" s="372"/>
      <c r="AK1" s="372"/>
      <c r="AL1" s="372"/>
      <c r="AM1" s="372"/>
      <c r="AN1" s="372"/>
      <c r="AO1" s="372"/>
      <c r="AP1" s="653"/>
      <c r="AQ1" s="372"/>
      <c r="AR1" s="372"/>
      <c r="AS1" s="372"/>
      <c r="AT1" s="372"/>
      <c r="AU1" s="372"/>
      <c r="AV1" s="372"/>
      <c r="AW1" s="372"/>
      <c r="AX1" s="372"/>
      <c r="AY1" s="372"/>
      <c r="AZ1" s="372"/>
    </row>
    <row r="2" spans="1:52">
      <c r="A2" s="175" t="s">
        <v>99</v>
      </c>
      <c r="B2" s="176" t="s">
        <v>671</v>
      </c>
      <c r="D2" s="365"/>
      <c r="H2" s="365"/>
      <c r="I2" s="653"/>
      <c r="J2" s="372"/>
      <c r="K2" s="372"/>
      <c r="L2" s="372"/>
      <c r="M2" s="372"/>
      <c r="N2" s="372"/>
      <c r="O2" s="372"/>
      <c r="P2" s="372"/>
      <c r="Q2" s="372"/>
      <c r="R2" s="372"/>
      <c r="S2" s="372"/>
      <c r="T2" s="653"/>
      <c r="U2" s="372"/>
      <c r="V2" s="372"/>
      <c r="W2" s="372"/>
      <c r="X2" s="372"/>
      <c r="Y2" s="372"/>
      <c r="Z2" s="372"/>
      <c r="AA2" s="372"/>
      <c r="AB2" s="372"/>
      <c r="AC2" s="372"/>
      <c r="AD2" s="372"/>
      <c r="AE2" s="653"/>
      <c r="AF2" s="372"/>
      <c r="AG2" s="372"/>
      <c r="AH2" s="372"/>
      <c r="AI2" s="372"/>
      <c r="AJ2" s="372"/>
      <c r="AK2" s="372"/>
      <c r="AL2" s="372"/>
      <c r="AM2" s="372"/>
      <c r="AN2" s="372"/>
      <c r="AO2" s="372"/>
      <c r="AP2" s="653"/>
      <c r="AQ2" s="372"/>
      <c r="AR2" s="372"/>
      <c r="AS2" s="372"/>
      <c r="AT2" s="372"/>
      <c r="AU2" s="372"/>
      <c r="AV2" s="372"/>
      <c r="AW2" s="372"/>
      <c r="AX2" s="372"/>
      <c r="AY2" s="372"/>
      <c r="AZ2" s="372"/>
    </row>
    <row r="3" spans="1:52">
      <c r="A3" s="374"/>
      <c r="B3" s="375"/>
      <c r="C3" s="375"/>
      <c r="D3" s="365"/>
      <c r="H3" s="365"/>
      <c r="I3" s="369"/>
      <c r="J3" s="380"/>
      <c r="K3" s="380"/>
      <c r="L3" s="380"/>
      <c r="M3" s="380"/>
      <c r="N3" s="380"/>
      <c r="O3" s="380"/>
      <c r="P3" s="380"/>
      <c r="Q3" s="380"/>
      <c r="R3" s="380"/>
      <c r="S3" s="380"/>
      <c r="T3" s="369"/>
      <c r="U3" s="380"/>
      <c r="V3" s="380"/>
      <c r="W3" s="380"/>
      <c r="X3" s="380"/>
      <c r="Y3" s="380"/>
      <c r="Z3" s="380"/>
      <c r="AA3" s="380"/>
      <c r="AB3" s="380"/>
      <c r="AC3" s="380"/>
      <c r="AD3" s="380"/>
      <c r="AE3" s="369"/>
      <c r="AF3" s="380"/>
      <c r="AG3" s="380"/>
      <c r="AH3" s="380"/>
      <c r="AI3" s="380"/>
      <c r="AJ3" s="380"/>
      <c r="AK3" s="380"/>
      <c r="AL3" s="380"/>
      <c r="AM3" s="380"/>
      <c r="AN3" s="380"/>
      <c r="AO3" s="380"/>
      <c r="AP3" s="369"/>
      <c r="AQ3" s="380"/>
      <c r="AR3" s="380"/>
      <c r="AS3" s="380"/>
      <c r="AT3" s="380"/>
      <c r="AU3" s="380"/>
      <c r="AV3" s="380"/>
      <c r="AW3" s="380"/>
      <c r="AX3" s="380"/>
      <c r="AY3" s="380"/>
      <c r="AZ3" s="380"/>
    </row>
    <row r="4" spans="1:52">
      <c r="A4" s="382" t="s">
        <v>304</v>
      </c>
      <c r="C4" s="382"/>
      <c r="I4" s="383"/>
      <c r="J4" s="388"/>
      <c r="K4" s="388"/>
      <c r="L4" s="388"/>
      <c r="M4" s="388"/>
      <c r="N4" s="388"/>
      <c r="O4" s="388"/>
      <c r="P4" s="388"/>
      <c r="Q4" s="388"/>
      <c r="R4" s="388"/>
      <c r="S4" s="388"/>
      <c r="T4" s="383"/>
      <c r="U4" s="388"/>
      <c r="V4" s="388"/>
      <c r="W4" s="388"/>
      <c r="X4" s="388"/>
      <c r="Y4" s="388"/>
      <c r="Z4" s="388"/>
      <c r="AA4" s="388"/>
      <c r="AB4" s="388"/>
      <c r="AC4" s="388"/>
      <c r="AD4" s="388"/>
      <c r="AE4" s="383"/>
      <c r="AF4" s="388"/>
      <c r="AG4" s="388"/>
      <c r="AH4" s="388"/>
      <c r="AI4" s="388"/>
      <c r="AJ4" s="388"/>
      <c r="AK4" s="388"/>
      <c r="AL4" s="388"/>
      <c r="AM4" s="388"/>
      <c r="AN4" s="388"/>
      <c r="AO4" s="388"/>
      <c r="AP4" s="383"/>
      <c r="AQ4" s="388"/>
      <c r="AR4" s="388"/>
      <c r="AS4" s="388"/>
      <c r="AT4" s="388"/>
      <c r="AU4" s="388"/>
      <c r="AV4" s="388"/>
      <c r="AW4" s="388"/>
      <c r="AX4" s="388"/>
      <c r="AY4" s="388"/>
      <c r="AZ4" s="388"/>
    </row>
    <row r="5" spans="1:52" s="365" customFormat="1" ht="16.350000000000001" customHeight="1" thickBot="1">
      <c r="B5" s="391"/>
      <c r="C5" s="391"/>
      <c r="D5" s="392"/>
      <c r="E5" s="1377"/>
      <c r="F5" s="1377"/>
      <c r="G5" s="654"/>
      <c r="H5" s="392"/>
      <c r="I5" s="1373">
        <v>2028</v>
      </c>
      <c r="J5" s="1374"/>
      <c r="K5" s="1374"/>
      <c r="L5" s="1374"/>
      <c r="M5" s="1374"/>
      <c r="N5" s="1374"/>
      <c r="O5" s="1374"/>
      <c r="P5" s="1374"/>
      <c r="Q5" s="1374"/>
      <c r="R5" s="1374"/>
      <c r="S5" s="1375"/>
      <c r="T5" s="1373">
        <v>2029</v>
      </c>
      <c r="U5" s="1374"/>
      <c r="V5" s="1374"/>
      <c r="W5" s="1374"/>
      <c r="X5" s="1374"/>
      <c r="Y5" s="1374"/>
      <c r="Z5" s="1374"/>
      <c r="AA5" s="1374"/>
      <c r="AB5" s="1374"/>
      <c r="AC5" s="1374"/>
      <c r="AD5" s="1375"/>
      <c r="AE5" s="1373">
        <v>2030</v>
      </c>
      <c r="AF5" s="1374"/>
      <c r="AG5" s="1374"/>
      <c r="AH5" s="1374"/>
      <c r="AI5" s="1374"/>
      <c r="AJ5" s="1374"/>
      <c r="AK5" s="1374"/>
      <c r="AL5" s="1374"/>
      <c r="AM5" s="1374"/>
      <c r="AN5" s="1374"/>
      <c r="AO5" s="1375"/>
      <c r="AP5" s="1373">
        <v>2031</v>
      </c>
      <c r="AQ5" s="1374"/>
      <c r="AR5" s="1374"/>
      <c r="AS5" s="1374"/>
      <c r="AT5" s="1374"/>
      <c r="AU5" s="1374"/>
      <c r="AV5" s="1374"/>
      <c r="AW5" s="1374"/>
      <c r="AX5" s="1374"/>
      <c r="AY5" s="1374"/>
      <c r="AZ5" s="1375"/>
    </row>
    <row r="6" spans="1:52" s="406" customFormat="1" ht="93.6" customHeight="1">
      <c r="A6" s="394"/>
      <c r="B6" s="395" t="s">
        <v>305</v>
      </c>
      <c r="C6" s="396" t="s">
        <v>306</v>
      </c>
      <c r="D6" s="397" t="s">
        <v>672</v>
      </c>
      <c r="E6" s="396" t="s">
        <v>308</v>
      </c>
      <c r="F6" s="396" t="s">
        <v>13</v>
      </c>
      <c r="G6" s="396" t="s">
        <v>338</v>
      </c>
      <c r="H6" s="396" t="s">
        <v>673</v>
      </c>
      <c r="I6" s="655" t="s">
        <v>674</v>
      </c>
      <c r="J6" s="402" t="s">
        <v>323</v>
      </c>
      <c r="K6" s="402" t="s">
        <v>324</v>
      </c>
      <c r="L6" s="402" t="s">
        <v>325</v>
      </c>
      <c r="M6" s="402" t="s">
        <v>326</v>
      </c>
      <c r="N6" s="402" t="s">
        <v>327</v>
      </c>
      <c r="O6" s="402" t="s">
        <v>328</v>
      </c>
      <c r="P6" s="402" t="s">
        <v>329</v>
      </c>
      <c r="Q6" s="402" t="s">
        <v>330</v>
      </c>
      <c r="R6" s="402" t="s">
        <v>331</v>
      </c>
      <c r="S6" s="402" t="s">
        <v>332</v>
      </c>
      <c r="T6" s="655" t="s">
        <v>675</v>
      </c>
      <c r="U6" s="402" t="s">
        <v>323</v>
      </c>
      <c r="V6" s="402" t="s">
        <v>324</v>
      </c>
      <c r="W6" s="402" t="s">
        <v>325</v>
      </c>
      <c r="X6" s="402" t="s">
        <v>326</v>
      </c>
      <c r="Y6" s="402" t="s">
        <v>327</v>
      </c>
      <c r="Z6" s="402" t="s">
        <v>328</v>
      </c>
      <c r="AA6" s="402" t="s">
        <v>329</v>
      </c>
      <c r="AB6" s="402" t="s">
        <v>330</v>
      </c>
      <c r="AC6" s="402" t="s">
        <v>331</v>
      </c>
      <c r="AD6" s="402" t="s">
        <v>332</v>
      </c>
      <c r="AE6" s="655" t="s">
        <v>676</v>
      </c>
      <c r="AF6" s="402" t="s">
        <v>323</v>
      </c>
      <c r="AG6" s="402" t="s">
        <v>324</v>
      </c>
      <c r="AH6" s="402" t="s">
        <v>325</v>
      </c>
      <c r="AI6" s="402" t="s">
        <v>326</v>
      </c>
      <c r="AJ6" s="402" t="s">
        <v>327</v>
      </c>
      <c r="AK6" s="402" t="s">
        <v>328</v>
      </c>
      <c r="AL6" s="402" t="s">
        <v>329</v>
      </c>
      <c r="AM6" s="402" t="s">
        <v>330</v>
      </c>
      <c r="AN6" s="402" t="s">
        <v>331</v>
      </c>
      <c r="AO6" s="402" t="s">
        <v>332</v>
      </c>
      <c r="AP6" s="655" t="s">
        <v>677</v>
      </c>
      <c r="AQ6" s="402" t="s">
        <v>323</v>
      </c>
      <c r="AR6" s="402" t="s">
        <v>324</v>
      </c>
      <c r="AS6" s="402" t="s">
        <v>325</v>
      </c>
      <c r="AT6" s="402" t="s">
        <v>326</v>
      </c>
      <c r="AU6" s="402" t="s">
        <v>327</v>
      </c>
      <c r="AV6" s="402" t="s">
        <v>328</v>
      </c>
      <c r="AW6" s="402" t="s">
        <v>329</v>
      </c>
      <c r="AX6" s="402" t="s">
        <v>330</v>
      </c>
      <c r="AY6" s="402" t="s">
        <v>331</v>
      </c>
      <c r="AZ6" s="656" t="s">
        <v>332</v>
      </c>
    </row>
    <row r="7" spans="1:52" s="365" customFormat="1">
      <c r="A7" s="657" t="str">
        <f>CONCATENATE(D7,F7)</f>
        <v>ResidentialResource Acquisition</v>
      </c>
      <c r="B7" s="408"/>
      <c r="C7" s="470"/>
      <c r="D7" s="658" t="s">
        <v>17</v>
      </c>
      <c r="E7" s="659" t="s">
        <v>17</v>
      </c>
      <c r="F7" s="660" t="s">
        <v>18</v>
      </c>
      <c r="G7" s="661">
        <f>SUMIF('4.1 Program Budget - 2024-2027'!$A$7:$A$181,'4.2 Program Budget 2028-2031'!A7,'4.1 Program Budget - 2024-2027'!$BX$7:$BX$181)</f>
        <v>35563345.895340092</v>
      </c>
      <c r="H7" s="662">
        <v>3.2000000000000001E-2</v>
      </c>
      <c r="I7" s="663">
        <f>G7*(1+H7)</f>
        <v>36701372.963990979</v>
      </c>
      <c r="J7" s="425">
        <v>3174423</v>
      </c>
      <c r="K7" s="425">
        <v>843</v>
      </c>
      <c r="L7" s="425">
        <v>15378810</v>
      </c>
      <c r="M7" s="425">
        <v>814</v>
      </c>
      <c r="N7" s="425">
        <v>89966</v>
      </c>
      <c r="O7" s="425">
        <v>33055876</v>
      </c>
      <c r="P7" s="425">
        <v>45636860</v>
      </c>
      <c r="Q7" s="425">
        <v>11678</v>
      </c>
      <c r="R7" s="425">
        <v>266976</v>
      </c>
      <c r="S7" s="421" t="s">
        <v>343</v>
      </c>
      <c r="T7" s="663">
        <f>I7*(1+$H7)</f>
        <v>37875816.898838691</v>
      </c>
      <c r="U7" s="425">
        <v>3185486</v>
      </c>
      <c r="V7" s="425">
        <v>860</v>
      </c>
      <c r="W7" s="425">
        <v>15870143</v>
      </c>
      <c r="X7" s="425">
        <v>740</v>
      </c>
      <c r="Y7" s="425">
        <v>92840</v>
      </c>
      <c r="Z7" s="425">
        <v>33207505</v>
      </c>
      <c r="AA7" s="425">
        <v>47084702</v>
      </c>
      <c r="AB7" s="425">
        <v>12030</v>
      </c>
      <c r="AC7" s="425">
        <v>275446</v>
      </c>
      <c r="AD7" s="421" t="s">
        <v>511</v>
      </c>
      <c r="AE7" s="663">
        <f>T7*(1+$H7)</f>
        <v>39087843.039601527</v>
      </c>
      <c r="AF7" s="425">
        <v>3196902</v>
      </c>
      <c r="AG7" s="425">
        <v>877</v>
      </c>
      <c r="AH7" s="425">
        <v>16377199</v>
      </c>
      <c r="AI7" s="425">
        <v>782</v>
      </c>
      <c r="AJ7" s="425">
        <v>95807</v>
      </c>
      <c r="AK7" s="425">
        <v>33363986</v>
      </c>
      <c r="AL7" s="425">
        <v>48578875</v>
      </c>
      <c r="AM7" s="425">
        <v>12516</v>
      </c>
      <c r="AN7" s="425">
        <v>284186</v>
      </c>
      <c r="AO7" s="421" t="s">
        <v>511</v>
      </c>
      <c r="AP7" s="663">
        <f>AE7*(1+$H7)</f>
        <v>40338654.016868778</v>
      </c>
      <c r="AQ7" s="425">
        <v>3208684</v>
      </c>
      <c r="AR7" s="425">
        <v>894</v>
      </c>
      <c r="AS7" s="425">
        <v>16900480</v>
      </c>
      <c r="AT7" s="425">
        <v>828</v>
      </c>
      <c r="AU7" s="425">
        <v>98868</v>
      </c>
      <c r="AV7" s="425">
        <v>33525474</v>
      </c>
      <c r="AW7" s="425">
        <v>50120861</v>
      </c>
      <c r="AX7" s="425">
        <v>13012</v>
      </c>
      <c r="AY7" s="425">
        <v>293207</v>
      </c>
      <c r="AZ7" s="421" t="s">
        <v>511</v>
      </c>
    </row>
    <row r="8" spans="1:52" s="365" customFormat="1">
      <c r="A8" s="657" t="str">
        <f t="shared" ref="A8:A37" si="0">CONCATENATE(D8,F8)</f>
        <v>CommercialResource Acquisition</v>
      </c>
      <c r="B8" s="408"/>
      <c r="C8" s="470"/>
      <c r="D8" s="658" t="s">
        <v>22</v>
      </c>
      <c r="E8" s="659" t="s">
        <v>22</v>
      </c>
      <c r="F8" s="660" t="s">
        <v>18</v>
      </c>
      <c r="G8" s="661">
        <f>SUMIF('4.1 Program Budget - 2024-2027'!$A$7:$A$181,'4.2 Program Budget 2028-2031'!A8,'4.1 Program Budget - 2024-2027'!$BX$7:$BX$181)</f>
        <v>34332748.673512265</v>
      </c>
      <c r="H8" s="662">
        <v>3.2000000000000001E-2</v>
      </c>
      <c r="I8" s="663">
        <f t="shared" ref="I8:I15" si="1">G8*(1+H8)</f>
        <v>35431396.631064661</v>
      </c>
      <c r="J8" s="425">
        <v>15176732</v>
      </c>
      <c r="K8" s="425">
        <v>3469</v>
      </c>
      <c r="L8" s="425">
        <v>6513954</v>
      </c>
      <c r="M8" s="425">
        <v>3172</v>
      </c>
      <c r="N8" s="425">
        <v>38107</v>
      </c>
      <c r="O8" s="425">
        <v>124346703</v>
      </c>
      <c r="P8" s="425">
        <v>52032806</v>
      </c>
      <c r="Q8" s="425">
        <v>24671</v>
      </c>
      <c r="R8" s="425">
        <v>304392</v>
      </c>
      <c r="S8" s="421" t="s">
        <v>343</v>
      </c>
      <c r="T8" s="663">
        <f t="shared" ref="T8:T15" si="2">I8*(1+$H8)</f>
        <v>36565201.323258728</v>
      </c>
      <c r="U8" s="425">
        <v>15546988</v>
      </c>
      <c r="V8" s="425">
        <v>3546</v>
      </c>
      <c r="W8" s="425">
        <v>6693228</v>
      </c>
      <c r="X8" s="425">
        <v>2976</v>
      </c>
      <c r="Y8" s="425">
        <v>39155</v>
      </c>
      <c r="Z8" s="425">
        <v>126624017</v>
      </c>
      <c r="AA8" s="425">
        <v>53269622</v>
      </c>
      <c r="AB8" s="425">
        <v>25279</v>
      </c>
      <c r="AC8" s="425">
        <v>311627</v>
      </c>
      <c r="AD8" s="421" t="s">
        <v>511</v>
      </c>
      <c r="AE8" s="664">
        <f t="shared" ref="AE8:AE15" si="3">T8*(1+$H8)</f>
        <v>37735287.765603006</v>
      </c>
      <c r="AF8" s="425">
        <v>15929091</v>
      </c>
      <c r="AG8" s="425">
        <v>3625</v>
      </c>
      <c r="AH8" s="425">
        <v>6878239</v>
      </c>
      <c r="AI8" s="425">
        <v>3019</v>
      </c>
      <c r="AJ8" s="425">
        <v>40238</v>
      </c>
      <c r="AK8" s="425">
        <v>128974208</v>
      </c>
      <c r="AL8" s="425">
        <v>54546017</v>
      </c>
      <c r="AM8" s="425">
        <v>26206</v>
      </c>
      <c r="AN8" s="425">
        <v>319094</v>
      </c>
      <c r="AO8" s="421" t="s">
        <v>511</v>
      </c>
      <c r="AP8" s="663">
        <f t="shared" ref="AP8:AP15" si="4">AE8*(1+$H8)</f>
        <v>38942816.974102303</v>
      </c>
      <c r="AQ8" s="434">
        <v>16323423</v>
      </c>
      <c r="AR8" s="434">
        <v>3706</v>
      </c>
      <c r="AS8" s="434">
        <v>7069169</v>
      </c>
      <c r="AT8" s="434">
        <v>3226</v>
      </c>
      <c r="AU8" s="434">
        <v>41355</v>
      </c>
      <c r="AV8" s="434">
        <v>131399604</v>
      </c>
      <c r="AW8" s="434">
        <v>55863256</v>
      </c>
      <c r="AX8" s="434">
        <v>26981</v>
      </c>
      <c r="AY8" s="434">
        <v>326800</v>
      </c>
      <c r="AZ8" s="421" t="s">
        <v>511</v>
      </c>
    </row>
    <row r="9" spans="1:52" s="365" customFormat="1">
      <c r="A9" s="657" t="str">
        <f t="shared" si="0"/>
        <v>IndustrialResource Acquisition</v>
      </c>
      <c r="B9" s="437"/>
      <c r="C9" s="472"/>
      <c r="D9" s="665" t="s">
        <v>25</v>
      </c>
      <c r="E9" s="659" t="s">
        <v>25</v>
      </c>
      <c r="F9" s="660" t="s">
        <v>18</v>
      </c>
      <c r="G9" s="661">
        <f>SUMIF('4.1 Program Budget - 2024-2027'!$A$7:$A$181,'4.2 Program Budget 2028-2031'!A9,'4.1 Program Budget - 2024-2027'!$BX$7:$BX$181)</f>
        <v>17617550.573491782</v>
      </c>
      <c r="H9" s="662">
        <v>3.2000000000000001E-2</v>
      </c>
      <c r="I9" s="663">
        <f t="shared" si="1"/>
        <v>18181312.191843521</v>
      </c>
      <c r="J9" s="425">
        <v>2071</v>
      </c>
      <c r="K9" s="425">
        <v>0</v>
      </c>
      <c r="L9" s="425">
        <v>4832679</v>
      </c>
      <c r="M9" s="425">
        <v>0</v>
      </c>
      <c r="N9" s="425">
        <v>28271</v>
      </c>
      <c r="O9" s="425">
        <v>26764</v>
      </c>
      <c r="P9" s="425">
        <v>46079710</v>
      </c>
      <c r="Q9" s="425">
        <v>14</v>
      </c>
      <c r="R9" s="425">
        <v>269566</v>
      </c>
      <c r="S9" s="421" t="s">
        <v>343</v>
      </c>
      <c r="T9" s="663">
        <f t="shared" si="2"/>
        <v>18763114.181982514</v>
      </c>
      <c r="U9" s="425">
        <v>2138</v>
      </c>
      <c r="V9" s="425">
        <v>0</v>
      </c>
      <c r="W9" s="425">
        <v>4987325</v>
      </c>
      <c r="X9" s="425">
        <v>0</v>
      </c>
      <c r="Y9" s="425">
        <v>29176</v>
      </c>
      <c r="Z9" s="425">
        <v>27620</v>
      </c>
      <c r="AA9" s="425">
        <v>47554261</v>
      </c>
      <c r="AB9" s="425">
        <v>15</v>
      </c>
      <c r="AC9" s="425">
        <v>278192</v>
      </c>
      <c r="AD9" s="421" t="s">
        <v>511</v>
      </c>
      <c r="AE9" s="664">
        <f t="shared" si="3"/>
        <v>19363533.835805956</v>
      </c>
      <c r="AF9" s="425">
        <v>2206</v>
      </c>
      <c r="AG9" s="425">
        <v>0</v>
      </c>
      <c r="AH9" s="425">
        <v>5146919</v>
      </c>
      <c r="AI9" s="425">
        <v>0</v>
      </c>
      <c r="AJ9" s="425">
        <v>30109</v>
      </c>
      <c r="AK9" s="425">
        <v>28504</v>
      </c>
      <c r="AL9" s="425">
        <v>49075998</v>
      </c>
      <c r="AM9" s="425">
        <v>16</v>
      </c>
      <c r="AN9" s="425">
        <v>287095</v>
      </c>
      <c r="AO9" s="421" t="s">
        <v>511</v>
      </c>
      <c r="AP9" s="663">
        <f t="shared" si="4"/>
        <v>19983166.918551747</v>
      </c>
      <c r="AQ9" s="425">
        <v>2277</v>
      </c>
      <c r="AR9" s="425">
        <v>0</v>
      </c>
      <c r="AS9" s="425">
        <v>5311621</v>
      </c>
      <c r="AT9" s="425">
        <v>0</v>
      </c>
      <c r="AU9" s="425">
        <v>31073</v>
      </c>
      <c r="AV9" s="425">
        <v>29417</v>
      </c>
      <c r="AW9" s="425">
        <v>50646429</v>
      </c>
      <c r="AX9" s="425">
        <v>17</v>
      </c>
      <c r="AY9" s="425">
        <v>296282</v>
      </c>
      <c r="AZ9" s="421" t="s">
        <v>511</v>
      </c>
    </row>
    <row r="10" spans="1:52" s="365" customFormat="1">
      <c r="A10" s="657" t="str">
        <f t="shared" si="0"/>
        <v>AgriculturalResource Acquisition</v>
      </c>
      <c r="B10" s="437"/>
      <c r="C10" s="472"/>
      <c r="D10" s="666" t="s">
        <v>27</v>
      </c>
      <c r="E10" s="659" t="s">
        <v>27</v>
      </c>
      <c r="F10" s="660" t="s">
        <v>18</v>
      </c>
      <c r="G10" s="661">
        <f>SUMIF('4.1 Program Budget - 2024-2027'!$A$7:$A$181,'4.2 Program Budget 2028-2031'!A10,'4.1 Program Budget - 2024-2027'!$BX$7:$BX$181)</f>
        <v>4653062.0773608228</v>
      </c>
      <c r="H10" s="662">
        <v>3.2000000000000001E-2</v>
      </c>
      <c r="I10" s="663">
        <f t="shared" si="1"/>
        <v>4801960.0638363697</v>
      </c>
      <c r="J10" s="425">
        <v>36756</v>
      </c>
      <c r="K10" s="425">
        <v>0</v>
      </c>
      <c r="L10" s="425">
        <v>608065</v>
      </c>
      <c r="M10" s="425">
        <v>5</v>
      </c>
      <c r="N10" s="425">
        <v>3557</v>
      </c>
      <c r="O10" s="425">
        <v>442346</v>
      </c>
      <c r="P10" s="425">
        <v>6867603</v>
      </c>
      <c r="Q10" s="425">
        <v>60</v>
      </c>
      <c r="R10" s="425">
        <v>40175</v>
      </c>
      <c r="S10" s="421" t="s">
        <v>343</v>
      </c>
      <c r="T10" s="663">
        <f t="shared" si="2"/>
        <v>4955622.7858791333</v>
      </c>
      <c r="U10" s="425">
        <v>37932</v>
      </c>
      <c r="V10" s="425">
        <v>0</v>
      </c>
      <c r="W10" s="425">
        <v>627524</v>
      </c>
      <c r="X10" s="425">
        <v>4</v>
      </c>
      <c r="Y10" s="425">
        <v>3671</v>
      </c>
      <c r="Z10" s="425">
        <v>456501</v>
      </c>
      <c r="AA10" s="425">
        <v>7087367</v>
      </c>
      <c r="AB10" s="425">
        <v>62</v>
      </c>
      <c r="AC10" s="425">
        <v>41461</v>
      </c>
      <c r="AD10" s="421" t="s">
        <v>511</v>
      </c>
      <c r="AE10" s="664">
        <f t="shared" si="3"/>
        <v>5114202.7150272653</v>
      </c>
      <c r="AF10" s="425">
        <v>39146</v>
      </c>
      <c r="AG10" s="425">
        <v>0</v>
      </c>
      <c r="AH10" s="425">
        <v>647604</v>
      </c>
      <c r="AI10" s="425">
        <v>4</v>
      </c>
      <c r="AJ10" s="425">
        <v>3788</v>
      </c>
      <c r="AK10" s="425">
        <v>471109</v>
      </c>
      <c r="AL10" s="425">
        <v>7314163</v>
      </c>
      <c r="AM10" s="425">
        <v>66</v>
      </c>
      <c r="AN10" s="425">
        <v>42788</v>
      </c>
      <c r="AO10" s="421" t="s">
        <v>511</v>
      </c>
      <c r="AP10" s="663">
        <f t="shared" si="4"/>
        <v>5277857.2019081376</v>
      </c>
      <c r="AQ10" s="425">
        <v>40399</v>
      </c>
      <c r="AR10" s="425">
        <v>0</v>
      </c>
      <c r="AS10" s="425">
        <v>668328</v>
      </c>
      <c r="AT10" s="425">
        <v>4</v>
      </c>
      <c r="AU10" s="425">
        <v>3910</v>
      </c>
      <c r="AV10" s="425">
        <v>486185</v>
      </c>
      <c r="AW10" s="425">
        <v>7548216</v>
      </c>
      <c r="AX10" s="425">
        <v>72</v>
      </c>
      <c r="AY10" s="425">
        <v>44157</v>
      </c>
      <c r="AZ10" s="421" t="s">
        <v>511</v>
      </c>
    </row>
    <row r="11" spans="1:52" s="365" customFormat="1">
      <c r="A11" s="657" t="str">
        <f t="shared" si="0"/>
        <v>Emerging TechResource Acquisition</v>
      </c>
      <c r="B11" s="437"/>
      <c r="C11" s="472"/>
      <c r="D11" s="666" t="s">
        <v>29</v>
      </c>
      <c r="E11" s="659" t="s">
        <v>29</v>
      </c>
      <c r="F11" s="660" t="s">
        <v>18</v>
      </c>
      <c r="G11" s="661">
        <f>SUMIF('4.1 Program Budget - 2024-2027'!$A$7:$A$181,'4.2 Program Budget 2028-2031'!A11,'4.1 Program Budget - 2024-2027'!$BX$7:$BX$181)</f>
        <v>0</v>
      </c>
      <c r="H11" s="662">
        <v>3.2000000000000001E-2</v>
      </c>
      <c r="I11" s="663">
        <f t="shared" si="1"/>
        <v>0</v>
      </c>
      <c r="J11" s="425" t="s">
        <v>343</v>
      </c>
      <c r="K11" s="425" t="s">
        <v>343</v>
      </c>
      <c r="L11" s="425" t="s">
        <v>343</v>
      </c>
      <c r="M11" s="425" t="s">
        <v>343</v>
      </c>
      <c r="N11" s="425" t="s">
        <v>343</v>
      </c>
      <c r="O11" s="425" t="s">
        <v>343</v>
      </c>
      <c r="P11" s="425" t="s">
        <v>343</v>
      </c>
      <c r="Q11" s="425" t="s">
        <v>343</v>
      </c>
      <c r="R11" s="425" t="s">
        <v>343</v>
      </c>
      <c r="S11" s="421" t="s">
        <v>343</v>
      </c>
      <c r="T11" s="663">
        <f t="shared" si="2"/>
        <v>0</v>
      </c>
      <c r="U11" s="425" t="s">
        <v>511</v>
      </c>
      <c r="V11" s="425" t="s">
        <v>511</v>
      </c>
      <c r="W11" s="425" t="s">
        <v>511</v>
      </c>
      <c r="X11" s="425" t="s">
        <v>511</v>
      </c>
      <c r="Y11" s="425" t="s">
        <v>511</v>
      </c>
      <c r="Z11" s="425" t="s">
        <v>511</v>
      </c>
      <c r="AA11" s="425" t="s">
        <v>511</v>
      </c>
      <c r="AB11" s="425" t="s">
        <v>511</v>
      </c>
      <c r="AC11" s="425" t="s">
        <v>511</v>
      </c>
      <c r="AD11" s="421" t="s">
        <v>511</v>
      </c>
      <c r="AE11" s="664">
        <f t="shared" si="3"/>
        <v>0</v>
      </c>
      <c r="AF11" s="425" t="s">
        <v>511</v>
      </c>
      <c r="AG11" s="425" t="s">
        <v>511</v>
      </c>
      <c r="AH11" s="425" t="s">
        <v>511</v>
      </c>
      <c r="AI11" s="425" t="s">
        <v>511</v>
      </c>
      <c r="AJ11" s="425" t="s">
        <v>511</v>
      </c>
      <c r="AK11" s="425" t="s">
        <v>511</v>
      </c>
      <c r="AL11" s="425" t="s">
        <v>511</v>
      </c>
      <c r="AM11" s="425" t="s">
        <v>511</v>
      </c>
      <c r="AN11" s="425" t="s">
        <v>511</v>
      </c>
      <c r="AO11" s="421" t="s">
        <v>511</v>
      </c>
      <c r="AP11" s="663">
        <f t="shared" si="4"/>
        <v>0</v>
      </c>
      <c r="AQ11" s="425" t="s">
        <v>511</v>
      </c>
      <c r="AR11" s="425" t="s">
        <v>511</v>
      </c>
      <c r="AS11" s="425" t="s">
        <v>511</v>
      </c>
      <c r="AT11" s="425" t="s">
        <v>511</v>
      </c>
      <c r="AU11" s="425" t="s">
        <v>511</v>
      </c>
      <c r="AV11" s="425" t="s">
        <v>511</v>
      </c>
      <c r="AW11" s="425" t="s">
        <v>511</v>
      </c>
      <c r="AX11" s="425" t="s">
        <v>511</v>
      </c>
      <c r="AY11" s="425" t="s">
        <v>511</v>
      </c>
      <c r="AZ11" s="421" t="s">
        <v>511</v>
      </c>
    </row>
    <row r="12" spans="1:52" s="365" customFormat="1">
      <c r="A12" s="657" t="str">
        <f t="shared" si="0"/>
        <v>PublicResource Acquisition</v>
      </c>
      <c r="B12" s="437"/>
      <c r="C12" s="472"/>
      <c r="D12" s="666" t="s">
        <v>30</v>
      </c>
      <c r="E12" s="659" t="s">
        <v>30</v>
      </c>
      <c r="F12" s="660" t="s">
        <v>18</v>
      </c>
      <c r="G12" s="661">
        <f>SUMIF('4.1 Program Budget - 2024-2027'!$A$7:$A$181,'4.2 Program Budget 2028-2031'!A12,'4.1 Program Budget - 2024-2027'!$BX$7:$BX$181)</f>
        <v>8704710.2636885531</v>
      </c>
      <c r="H12" s="662">
        <v>3.2000000000000001E-2</v>
      </c>
      <c r="I12" s="663">
        <f t="shared" si="1"/>
        <v>8983260.9921265878</v>
      </c>
      <c r="J12" s="425">
        <v>1968216</v>
      </c>
      <c r="K12" s="425">
        <v>656</v>
      </c>
      <c r="L12" s="425">
        <v>2264757</v>
      </c>
      <c r="M12" s="425">
        <v>352</v>
      </c>
      <c r="N12" s="425">
        <v>13249</v>
      </c>
      <c r="O12" s="425">
        <v>20453292</v>
      </c>
      <c r="P12" s="425">
        <v>17129773</v>
      </c>
      <c r="Q12" s="425">
        <v>3894</v>
      </c>
      <c r="R12" s="425">
        <v>100209</v>
      </c>
      <c r="S12" s="421" t="s">
        <v>343</v>
      </c>
      <c r="T12" s="663">
        <f t="shared" si="2"/>
        <v>9270725.3438746389</v>
      </c>
      <c r="U12" s="425">
        <v>1968492</v>
      </c>
      <c r="V12" s="425">
        <v>656</v>
      </c>
      <c r="W12" s="425">
        <v>2335595</v>
      </c>
      <c r="X12" s="425">
        <v>323</v>
      </c>
      <c r="Y12" s="425">
        <v>13663</v>
      </c>
      <c r="Z12" s="425">
        <v>20455464</v>
      </c>
      <c r="AA12" s="425">
        <v>17657207</v>
      </c>
      <c r="AB12" s="425">
        <v>3949</v>
      </c>
      <c r="AC12" s="425">
        <v>103295</v>
      </c>
      <c r="AD12" s="421" t="s">
        <v>511</v>
      </c>
      <c r="AE12" s="664">
        <f t="shared" si="3"/>
        <v>9567388.5548786279</v>
      </c>
      <c r="AF12" s="425">
        <v>1968776</v>
      </c>
      <c r="AG12" s="425">
        <v>656</v>
      </c>
      <c r="AH12" s="425">
        <v>2408699</v>
      </c>
      <c r="AI12" s="425">
        <v>305</v>
      </c>
      <c r="AJ12" s="425">
        <v>14091</v>
      </c>
      <c r="AK12" s="425">
        <v>20457706</v>
      </c>
      <c r="AL12" s="425">
        <v>18201519</v>
      </c>
      <c r="AM12" s="425">
        <v>4042</v>
      </c>
      <c r="AN12" s="425">
        <v>106479</v>
      </c>
      <c r="AO12" s="421" t="s">
        <v>511</v>
      </c>
      <c r="AP12" s="663">
        <f t="shared" si="4"/>
        <v>9873544.9886347447</v>
      </c>
      <c r="AQ12" s="425">
        <v>1969070</v>
      </c>
      <c r="AR12" s="425">
        <v>656</v>
      </c>
      <c r="AS12" s="425">
        <v>2484143</v>
      </c>
      <c r="AT12" s="425">
        <v>326</v>
      </c>
      <c r="AU12" s="425">
        <v>14532</v>
      </c>
      <c r="AV12" s="425">
        <v>20460020</v>
      </c>
      <c r="AW12" s="425">
        <v>18763249</v>
      </c>
      <c r="AX12" s="425">
        <v>4154</v>
      </c>
      <c r="AY12" s="425">
        <v>109765</v>
      </c>
      <c r="AZ12" s="421" t="s">
        <v>511</v>
      </c>
    </row>
    <row r="13" spans="1:52" s="365" customFormat="1">
      <c r="A13" s="657" t="str">
        <f t="shared" si="0"/>
        <v>WE&amp;TResource Acquisition</v>
      </c>
      <c r="B13" s="437"/>
      <c r="C13" s="472"/>
      <c r="D13" s="666" t="s">
        <v>32</v>
      </c>
      <c r="E13" s="659" t="s">
        <v>32</v>
      </c>
      <c r="F13" s="660" t="s">
        <v>18</v>
      </c>
      <c r="G13" s="661">
        <f>SUMIF('4.1 Program Budget - 2024-2027'!$A$7:$A$181,'4.2 Program Budget 2028-2031'!A13,'4.1 Program Budget - 2024-2027'!$BX$7:$BX$181)</f>
        <v>1784550.4681386605</v>
      </c>
      <c r="H13" s="662">
        <v>3.2000000000000001E-2</v>
      </c>
      <c r="I13" s="663">
        <f t="shared" si="1"/>
        <v>1841656.0831190976</v>
      </c>
      <c r="J13" s="425" t="s">
        <v>343</v>
      </c>
      <c r="K13" s="425" t="s">
        <v>343</v>
      </c>
      <c r="L13" s="425" t="s">
        <v>343</v>
      </c>
      <c r="M13" s="425" t="s">
        <v>343</v>
      </c>
      <c r="N13" s="425" t="s">
        <v>343</v>
      </c>
      <c r="O13" s="425" t="s">
        <v>343</v>
      </c>
      <c r="P13" s="425" t="s">
        <v>343</v>
      </c>
      <c r="Q13" s="425" t="s">
        <v>343</v>
      </c>
      <c r="R13" s="425" t="s">
        <v>343</v>
      </c>
      <c r="S13" s="421" t="s">
        <v>343</v>
      </c>
      <c r="T13" s="663">
        <f t="shared" si="2"/>
        <v>1900589.0777789089</v>
      </c>
      <c r="U13" s="425" t="s">
        <v>511</v>
      </c>
      <c r="V13" s="425" t="s">
        <v>511</v>
      </c>
      <c r="W13" s="425" t="s">
        <v>511</v>
      </c>
      <c r="X13" s="425" t="s">
        <v>511</v>
      </c>
      <c r="Y13" s="425" t="s">
        <v>511</v>
      </c>
      <c r="Z13" s="425" t="s">
        <v>511</v>
      </c>
      <c r="AA13" s="425" t="s">
        <v>511</v>
      </c>
      <c r="AB13" s="425" t="s">
        <v>511</v>
      </c>
      <c r="AC13" s="425" t="s">
        <v>511</v>
      </c>
      <c r="AD13" s="421" t="s">
        <v>511</v>
      </c>
      <c r="AE13" s="664">
        <f t="shared" si="3"/>
        <v>1961407.928267834</v>
      </c>
      <c r="AF13" s="425" t="s">
        <v>511</v>
      </c>
      <c r="AG13" s="425" t="s">
        <v>511</v>
      </c>
      <c r="AH13" s="425" t="s">
        <v>511</v>
      </c>
      <c r="AI13" s="425" t="s">
        <v>511</v>
      </c>
      <c r="AJ13" s="425" t="s">
        <v>511</v>
      </c>
      <c r="AK13" s="425" t="s">
        <v>511</v>
      </c>
      <c r="AL13" s="425" t="s">
        <v>511</v>
      </c>
      <c r="AM13" s="425" t="s">
        <v>511</v>
      </c>
      <c r="AN13" s="425" t="s">
        <v>511</v>
      </c>
      <c r="AO13" s="421" t="s">
        <v>511</v>
      </c>
      <c r="AP13" s="663">
        <f t="shared" si="4"/>
        <v>2024172.9819724048</v>
      </c>
      <c r="AQ13" s="425" t="s">
        <v>511</v>
      </c>
      <c r="AR13" s="425" t="s">
        <v>511</v>
      </c>
      <c r="AS13" s="425" t="s">
        <v>511</v>
      </c>
      <c r="AT13" s="425" t="s">
        <v>511</v>
      </c>
      <c r="AU13" s="425" t="s">
        <v>511</v>
      </c>
      <c r="AV13" s="425" t="s">
        <v>511</v>
      </c>
      <c r="AW13" s="425" t="s">
        <v>511</v>
      </c>
      <c r="AX13" s="425" t="s">
        <v>511</v>
      </c>
      <c r="AY13" s="425" t="s">
        <v>511</v>
      </c>
      <c r="AZ13" s="421" t="s">
        <v>511</v>
      </c>
    </row>
    <row r="14" spans="1:52" s="365" customFormat="1">
      <c r="A14" s="657" t="str">
        <f t="shared" si="0"/>
        <v>FinanceResource Acquisition</v>
      </c>
      <c r="B14" s="437"/>
      <c r="C14" s="472"/>
      <c r="D14" s="666" t="s">
        <v>34</v>
      </c>
      <c r="E14" s="659" t="s">
        <v>34</v>
      </c>
      <c r="F14" s="660" t="s">
        <v>18</v>
      </c>
      <c r="G14" s="661">
        <f>SUMIF('4.1 Program Budget - 2024-2027'!$A$7:$A$181,'4.2 Program Budget 2028-2031'!A14,'4.1 Program Budget - 2024-2027'!$BX$7:$BX$181)</f>
        <v>0</v>
      </c>
      <c r="H14" s="662">
        <v>3.2000000000000001E-2</v>
      </c>
      <c r="I14" s="663">
        <f t="shared" si="1"/>
        <v>0</v>
      </c>
      <c r="J14" s="425" t="s">
        <v>343</v>
      </c>
      <c r="K14" s="425" t="s">
        <v>343</v>
      </c>
      <c r="L14" s="425" t="s">
        <v>343</v>
      </c>
      <c r="M14" s="425" t="s">
        <v>343</v>
      </c>
      <c r="N14" s="425" t="s">
        <v>343</v>
      </c>
      <c r="O14" s="425" t="s">
        <v>343</v>
      </c>
      <c r="P14" s="425" t="s">
        <v>343</v>
      </c>
      <c r="Q14" s="425" t="s">
        <v>343</v>
      </c>
      <c r="R14" s="425" t="s">
        <v>343</v>
      </c>
      <c r="S14" s="421" t="s">
        <v>343</v>
      </c>
      <c r="T14" s="663">
        <f t="shared" si="2"/>
        <v>0</v>
      </c>
      <c r="U14" s="425" t="s">
        <v>511</v>
      </c>
      <c r="V14" s="425" t="s">
        <v>511</v>
      </c>
      <c r="W14" s="425" t="s">
        <v>511</v>
      </c>
      <c r="X14" s="425" t="s">
        <v>511</v>
      </c>
      <c r="Y14" s="425" t="s">
        <v>511</v>
      </c>
      <c r="Z14" s="425" t="s">
        <v>511</v>
      </c>
      <c r="AA14" s="425" t="s">
        <v>511</v>
      </c>
      <c r="AB14" s="425" t="s">
        <v>511</v>
      </c>
      <c r="AC14" s="425" t="s">
        <v>511</v>
      </c>
      <c r="AD14" s="421" t="s">
        <v>511</v>
      </c>
      <c r="AE14" s="664">
        <f t="shared" si="3"/>
        <v>0</v>
      </c>
      <c r="AF14" s="425" t="s">
        <v>511</v>
      </c>
      <c r="AG14" s="425" t="s">
        <v>511</v>
      </c>
      <c r="AH14" s="425" t="s">
        <v>511</v>
      </c>
      <c r="AI14" s="425" t="s">
        <v>511</v>
      </c>
      <c r="AJ14" s="425" t="s">
        <v>511</v>
      </c>
      <c r="AK14" s="425" t="s">
        <v>511</v>
      </c>
      <c r="AL14" s="425" t="s">
        <v>511</v>
      </c>
      <c r="AM14" s="425" t="s">
        <v>511</v>
      </c>
      <c r="AN14" s="425" t="s">
        <v>511</v>
      </c>
      <c r="AO14" s="421" t="s">
        <v>511</v>
      </c>
      <c r="AP14" s="663">
        <f t="shared" si="4"/>
        <v>0</v>
      </c>
      <c r="AQ14" s="425" t="s">
        <v>511</v>
      </c>
      <c r="AR14" s="425" t="s">
        <v>511</v>
      </c>
      <c r="AS14" s="425" t="s">
        <v>511</v>
      </c>
      <c r="AT14" s="425" t="s">
        <v>511</v>
      </c>
      <c r="AU14" s="425" t="s">
        <v>511</v>
      </c>
      <c r="AV14" s="425" t="s">
        <v>511</v>
      </c>
      <c r="AW14" s="425" t="s">
        <v>511</v>
      </c>
      <c r="AX14" s="425" t="s">
        <v>511</v>
      </c>
      <c r="AY14" s="425" t="s">
        <v>511</v>
      </c>
      <c r="AZ14" s="421" t="s">
        <v>511</v>
      </c>
    </row>
    <row r="15" spans="1:52" s="365" customFormat="1">
      <c r="A15" s="657" t="str">
        <f t="shared" si="0"/>
        <v>OBF Loan PoolResource Acquisition</v>
      </c>
      <c r="B15" s="437"/>
      <c r="C15" s="472"/>
      <c r="D15" s="666" t="s">
        <v>36</v>
      </c>
      <c r="E15" s="659" t="s">
        <v>36</v>
      </c>
      <c r="F15" s="660" t="s">
        <v>18</v>
      </c>
      <c r="G15" s="661">
        <f>SUMIF('4.1 Program Budget - 2024-2027'!$A$7:$A$181,'4.2 Program Budget 2028-2031'!A15,'4.1 Program Budget - 2024-2027'!$BX$7:$BX$181)</f>
        <v>0</v>
      </c>
      <c r="H15" s="662">
        <v>3.2000000000000001E-2</v>
      </c>
      <c r="I15" s="663">
        <f t="shared" si="1"/>
        <v>0</v>
      </c>
      <c r="J15" s="425" t="s">
        <v>343</v>
      </c>
      <c r="K15" s="425" t="s">
        <v>343</v>
      </c>
      <c r="L15" s="425" t="s">
        <v>343</v>
      </c>
      <c r="M15" s="425" t="s">
        <v>343</v>
      </c>
      <c r="N15" s="425" t="s">
        <v>343</v>
      </c>
      <c r="O15" s="425" t="s">
        <v>343</v>
      </c>
      <c r="P15" s="425" t="s">
        <v>343</v>
      </c>
      <c r="Q15" s="425" t="s">
        <v>343</v>
      </c>
      <c r="R15" s="425" t="s">
        <v>343</v>
      </c>
      <c r="S15" s="421" t="s">
        <v>343</v>
      </c>
      <c r="T15" s="663">
        <f t="shared" si="2"/>
        <v>0</v>
      </c>
      <c r="U15" s="425" t="s">
        <v>511</v>
      </c>
      <c r="V15" s="425" t="s">
        <v>511</v>
      </c>
      <c r="W15" s="425" t="s">
        <v>511</v>
      </c>
      <c r="X15" s="425" t="s">
        <v>511</v>
      </c>
      <c r="Y15" s="425" t="s">
        <v>511</v>
      </c>
      <c r="Z15" s="425" t="s">
        <v>511</v>
      </c>
      <c r="AA15" s="425" t="s">
        <v>511</v>
      </c>
      <c r="AB15" s="425" t="s">
        <v>511</v>
      </c>
      <c r="AC15" s="425" t="s">
        <v>511</v>
      </c>
      <c r="AD15" s="421" t="s">
        <v>511</v>
      </c>
      <c r="AE15" s="664">
        <f t="shared" si="3"/>
        <v>0</v>
      </c>
      <c r="AF15" s="425" t="s">
        <v>511</v>
      </c>
      <c r="AG15" s="425" t="s">
        <v>511</v>
      </c>
      <c r="AH15" s="425" t="s">
        <v>511</v>
      </c>
      <c r="AI15" s="425" t="s">
        <v>511</v>
      </c>
      <c r="AJ15" s="425" t="s">
        <v>511</v>
      </c>
      <c r="AK15" s="425" t="s">
        <v>511</v>
      </c>
      <c r="AL15" s="425" t="s">
        <v>511</v>
      </c>
      <c r="AM15" s="425" t="s">
        <v>511</v>
      </c>
      <c r="AN15" s="425" t="s">
        <v>511</v>
      </c>
      <c r="AO15" s="421" t="s">
        <v>511</v>
      </c>
      <c r="AP15" s="663">
        <f t="shared" si="4"/>
        <v>0</v>
      </c>
      <c r="AQ15" s="425" t="s">
        <v>511</v>
      </c>
      <c r="AR15" s="425" t="s">
        <v>511</v>
      </c>
      <c r="AS15" s="425" t="s">
        <v>511</v>
      </c>
      <c r="AT15" s="425" t="s">
        <v>511</v>
      </c>
      <c r="AU15" s="425" t="s">
        <v>511</v>
      </c>
      <c r="AV15" s="425" t="s">
        <v>511</v>
      </c>
      <c r="AW15" s="425" t="s">
        <v>511</v>
      </c>
      <c r="AX15" s="425" t="s">
        <v>511</v>
      </c>
      <c r="AY15" s="425" t="s">
        <v>511</v>
      </c>
      <c r="AZ15" s="421" t="s">
        <v>511</v>
      </c>
    </row>
    <row r="16" spans="1:52" s="365" customFormat="1">
      <c r="A16" s="657" t="str">
        <f t="shared" si="0"/>
        <v/>
      </c>
      <c r="B16" s="437"/>
      <c r="C16" s="472"/>
      <c r="D16" s="667"/>
      <c r="E16" s="668"/>
      <c r="F16" s="669"/>
      <c r="G16" s="670"/>
      <c r="H16" s="671"/>
      <c r="I16" s="672"/>
      <c r="J16" s="522"/>
      <c r="K16" s="522"/>
      <c r="L16" s="522"/>
      <c r="M16" s="522"/>
      <c r="N16" s="522"/>
      <c r="O16" s="522"/>
      <c r="P16" s="522"/>
      <c r="Q16" s="522"/>
      <c r="R16" s="522"/>
      <c r="S16" s="673"/>
      <c r="T16" s="672"/>
      <c r="U16" s="522"/>
      <c r="V16" s="522"/>
      <c r="W16" s="522"/>
      <c r="X16" s="522"/>
      <c r="Y16" s="522"/>
      <c r="Z16" s="522"/>
      <c r="AA16" s="522"/>
      <c r="AB16" s="522"/>
      <c r="AC16" s="522"/>
      <c r="AD16" s="673"/>
      <c r="AE16" s="674"/>
      <c r="AF16" s="522"/>
      <c r="AG16" s="522"/>
      <c r="AH16" s="522"/>
      <c r="AI16" s="522"/>
      <c r="AJ16" s="522"/>
      <c r="AK16" s="522"/>
      <c r="AL16" s="522"/>
      <c r="AM16" s="522"/>
      <c r="AN16" s="522"/>
      <c r="AO16" s="673"/>
      <c r="AP16" s="672"/>
      <c r="AQ16" s="522"/>
      <c r="AR16" s="522"/>
      <c r="AS16" s="522"/>
      <c r="AT16" s="522"/>
      <c r="AU16" s="522"/>
      <c r="AV16" s="522"/>
      <c r="AW16" s="522"/>
      <c r="AX16" s="522"/>
      <c r="AY16" s="522"/>
      <c r="AZ16" s="673"/>
    </row>
    <row r="17" spans="1:52" s="365" customFormat="1">
      <c r="A17" s="657" t="str">
        <f t="shared" si="0"/>
        <v>ResidentialMarket Support</v>
      </c>
      <c r="B17" s="437"/>
      <c r="C17" s="472"/>
      <c r="D17" s="666" t="s">
        <v>17</v>
      </c>
      <c r="E17" s="659" t="s">
        <v>17</v>
      </c>
      <c r="F17" s="660" t="s">
        <v>23</v>
      </c>
      <c r="G17" s="661">
        <f>SUMIF('4.1 Program Budget - 2024-2027'!$A$7:$A$181,'4.2 Program Budget 2028-2031'!A17,'4.1 Program Budget - 2024-2027'!$BX$7:$BX$181)</f>
        <v>6503214.0200900808</v>
      </c>
      <c r="H17" s="662">
        <v>3.2000000000000001E-2</v>
      </c>
      <c r="I17" s="663">
        <f t="shared" ref="I17:I25" si="5">G17*(1+H17)</f>
        <v>6711316.8687329637</v>
      </c>
      <c r="J17" s="425">
        <v>1921006.44</v>
      </c>
      <c r="K17" s="425">
        <v>326.37</v>
      </c>
      <c r="L17" s="425">
        <v>116251.64</v>
      </c>
      <c r="M17" s="425">
        <v>430.21</v>
      </c>
      <c r="N17" s="425">
        <v>680.07</v>
      </c>
      <c r="O17" s="425">
        <v>23970370.100000001</v>
      </c>
      <c r="P17" s="425">
        <v>1609760.52</v>
      </c>
      <c r="Q17" s="425">
        <v>5554.6</v>
      </c>
      <c r="R17" s="425">
        <v>9417.1</v>
      </c>
      <c r="S17" s="421" t="s">
        <v>343</v>
      </c>
      <c r="T17" s="663">
        <f t="shared" ref="T17:T25" si="6">I17*(1+$H17)</f>
        <v>6926079.0085324189</v>
      </c>
      <c r="U17" s="425">
        <v>1947490</v>
      </c>
      <c r="V17" s="425">
        <v>327</v>
      </c>
      <c r="W17" s="425">
        <v>118958</v>
      </c>
      <c r="X17" s="425">
        <v>396</v>
      </c>
      <c r="Y17" s="425">
        <v>696</v>
      </c>
      <c r="Z17" s="425">
        <v>24212588</v>
      </c>
      <c r="AA17" s="425">
        <v>1646074</v>
      </c>
      <c r="AB17" s="425">
        <v>5707</v>
      </c>
      <c r="AC17" s="425">
        <v>9630</v>
      </c>
      <c r="AD17" s="421" t="s">
        <v>511</v>
      </c>
      <c r="AE17" s="664">
        <f t="shared" ref="AE17:AE25" si="7">T17*(1+$H17)</f>
        <v>7147713.5368054565</v>
      </c>
      <c r="AF17" s="425">
        <v>1974820</v>
      </c>
      <c r="AG17" s="425">
        <v>327</v>
      </c>
      <c r="AH17" s="425">
        <v>121752</v>
      </c>
      <c r="AI17" s="425">
        <v>410</v>
      </c>
      <c r="AJ17" s="425">
        <v>712</v>
      </c>
      <c r="AK17" s="425">
        <v>24462557</v>
      </c>
      <c r="AL17" s="425">
        <v>1683549</v>
      </c>
      <c r="AM17" s="425">
        <v>5915</v>
      </c>
      <c r="AN17" s="425">
        <v>9849</v>
      </c>
      <c r="AO17" s="421" t="s">
        <v>511</v>
      </c>
      <c r="AP17" s="663">
        <f t="shared" ref="AP17:AP25" si="8">AE17*(1+$H17)</f>
        <v>7376440.3699832316</v>
      </c>
      <c r="AQ17" s="425">
        <v>2003026</v>
      </c>
      <c r="AR17" s="425">
        <v>327</v>
      </c>
      <c r="AS17" s="425">
        <v>124635</v>
      </c>
      <c r="AT17" s="425">
        <v>439</v>
      </c>
      <c r="AU17" s="425">
        <v>729</v>
      </c>
      <c r="AV17" s="425">
        <v>24720524</v>
      </c>
      <c r="AW17" s="425">
        <v>1722223</v>
      </c>
      <c r="AX17" s="425">
        <v>6125</v>
      </c>
      <c r="AY17" s="425">
        <v>10075</v>
      </c>
      <c r="AZ17" s="421" t="s">
        <v>511</v>
      </c>
    </row>
    <row r="18" spans="1:52" s="365" customFormat="1">
      <c r="A18" s="657" t="str">
        <f t="shared" si="0"/>
        <v>CommercialMarket Support</v>
      </c>
      <c r="B18" s="437"/>
      <c r="C18" s="472"/>
      <c r="D18" s="666" t="s">
        <v>22</v>
      </c>
      <c r="E18" s="659" t="s">
        <v>22</v>
      </c>
      <c r="F18" s="660" t="s">
        <v>23</v>
      </c>
      <c r="G18" s="661">
        <f>SUMIF('4.1 Program Budget - 2024-2027'!$A$7:$A$181,'4.2 Program Budget 2028-2031'!A18,'4.1 Program Budget - 2024-2027'!$BX$7:$BX$181)</f>
        <v>2075000.3367747786</v>
      </c>
      <c r="H18" s="662">
        <v>3.2000000000000001E-2</v>
      </c>
      <c r="I18" s="663">
        <f t="shared" si="5"/>
        <v>2141400.3475515717</v>
      </c>
      <c r="J18" s="425">
        <v>143228</v>
      </c>
      <c r="K18" s="425">
        <v>59</v>
      </c>
      <c r="L18" s="425">
        <v>8471</v>
      </c>
      <c r="M18" s="425">
        <v>24</v>
      </c>
      <c r="N18" s="425">
        <v>50</v>
      </c>
      <c r="O18" s="425">
        <v>2093782</v>
      </c>
      <c r="P18" s="425">
        <v>104206</v>
      </c>
      <c r="Q18" s="425">
        <v>371</v>
      </c>
      <c r="R18" s="425">
        <v>610</v>
      </c>
      <c r="S18" s="421" t="s">
        <v>343</v>
      </c>
      <c r="T18" s="663">
        <f t="shared" si="6"/>
        <v>2209925.1586732222</v>
      </c>
      <c r="U18" s="425">
        <v>143228</v>
      </c>
      <c r="V18" s="425">
        <v>59</v>
      </c>
      <c r="W18" s="425">
        <v>8471</v>
      </c>
      <c r="X18" s="425">
        <v>20</v>
      </c>
      <c r="Y18" s="425">
        <v>50</v>
      </c>
      <c r="Z18" s="425">
        <v>2093782</v>
      </c>
      <c r="AA18" s="425">
        <v>104206</v>
      </c>
      <c r="AB18" s="425">
        <v>378</v>
      </c>
      <c r="AC18" s="425">
        <v>610</v>
      </c>
      <c r="AD18" s="421" t="s">
        <v>511</v>
      </c>
      <c r="AE18" s="664">
        <f t="shared" si="7"/>
        <v>2280642.7637507655</v>
      </c>
      <c r="AF18" s="425">
        <v>143228</v>
      </c>
      <c r="AG18" s="425">
        <v>59</v>
      </c>
      <c r="AH18" s="425">
        <v>8471</v>
      </c>
      <c r="AI18" s="425">
        <v>20</v>
      </c>
      <c r="AJ18" s="425">
        <v>50</v>
      </c>
      <c r="AK18" s="425">
        <v>2093782</v>
      </c>
      <c r="AL18" s="425">
        <v>104206</v>
      </c>
      <c r="AM18" s="425">
        <v>390</v>
      </c>
      <c r="AN18" s="425">
        <v>610</v>
      </c>
      <c r="AO18" s="421" t="s">
        <v>511</v>
      </c>
      <c r="AP18" s="663">
        <f t="shared" si="8"/>
        <v>2353623.3321907902</v>
      </c>
      <c r="AQ18" s="425">
        <v>143228</v>
      </c>
      <c r="AR18" s="425">
        <v>59</v>
      </c>
      <c r="AS18" s="425">
        <v>8471</v>
      </c>
      <c r="AT18" s="425">
        <v>22</v>
      </c>
      <c r="AU18" s="425">
        <v>50</v>
      </c>
      <c r="AV18" s="425">
        <v>2093782</v>
      </c>
      <c r="AW18" s="425">
        <v>104206</v>
      </c>
      <c r="AX18" s="425">
        <v>401</v>
      </c>
      <c r="AY18" s="425">
        <v>610</v>
      </c>
      <c r="AZ18" s="421" t="s">
        <v>511</v>
      </c>
    </row>
    <row r="19" spans="1:52" s="365" customFormat="1">
      <c r="A19" s="657" t="str">
        <f t="shared" si="0"/>
        <v>IndustrialMarket Support</v>
      </c>
      <c r="B19" s="437"/>
      <c r="C19" s="472"/>
      <c r="D19" s="665" t="s">
        <v>25</v>
      </c>
      <c r="E19" s="659" t="s">
        <v>25</v>
      </c>
      <c r="F19" s="660" t="s">
        <v>23</v>
      </c>
      <c r="G19" s="661">
        <f>SUMIF('4.1 Program Budget - 2024-2027'!$A$7:$A$181,'4.2 Program Budget 2028-2031'!A19,'4.1 Program Budget - 2024-2027'!$BX$7:$BX$181)</f>
        <v>1336839.0761188427</v>
      </c>
      <c r="H19" s="662">
        <v>3.2000000000000001E-2</v>
      </c>
      <c r="I19" s="663">
        <f t="shared" si="5"/>
        <v>1379617.9265546456</v>
      </c>
      <c r="J19" s="425">
        <v>631836</v>
      </c>
      <c r="K19" s="425">
        <v>98</v>
      </c>
      <c r="L19" s="425">
        <v>44638</v>
      </c>
      <c r="M19" s="425">
        <v>106</v>
      </c>
      <c r="N19" s="425">
        <v>261</v>
      </c>
      <c r="O19" s="425">
        <v>9477543</v>
      </c>
      <c r="P19" s="425">
        <v>669576</v>
      </c>
      <c r="Q19" s="425">
        <v>1608</v>
      </c>
      <c r="R19" s="425">
        <v>3917</v>
      </c>
      <c r="S19" s="421" t="s">
        <v>343</v>
      </c>
      <c r="T19" s="663">
        <f t="shared" si="6"/>
        <v>1423765.7002043943</v>
      </c>
      <c r="U19" s="425">
        <v>631836</v>
      </c>
      <c r="V19" s="425">
        <v>98</v>
      </c>
      <c r="W19" s="425">
        <v>44638</v>
      </c>
      <c r="X19" s="425">
        <v>85</v>
      </c>
      <c r="Y19" s="425">
        <v>261</v>
      </c>
      <c r="Z19" s="425">
        <v>9477543</v>
      </c>
      <c r="AA19" s="425">
        <v>669576</v>
      </c>
      <c r="AB19" s="425">
        <v>1636</v>
      </c>
      <c r="AC19" s="425">
        <v>3917</v>
      </c>
      <c r="AD19" s="421" t="s">
        <v>511</v>
      </c>
      <c r="AE19" s="664">
        <f t="shared" si="7"/>
        <v>1469326.2026109349</v>
      </c>
      <c r="AF19" s="425">
        <v>631836</v>
      </c>
      <c r="AG19" s="425">
        <v>98</v>
      </c>
      <c r="AH19" s="425">
        <v>44638</v>
      </c>
      <c r="AI19" s="425">
        <v>84</v>
      </c>
      <c r="AJ19" s="425">
        <v>261</v>
      </c>
      <c r="AK19" s="425">
        <v>9477543</v>
      </c>
      <c r="AL19" s="425">
        <v>669576</v>
      </c>
      <c r="AM19" s="425">
        <v>1688</v>
      </c>
      <c r="AN19" s="425">
        <v>3917</v>
      </c>
      <c r="AO19" s="421" t="s">
        <v>511</v>
      </c>
      <c r="AP19" s="663">
        <f t="shared" si="8"/>
        <v>1516344.6410944848</v>
      </c>
      <c r="AQ19" s="425">
        <v>631836</v>
      </c>
      <c r="AR19" s="425">
        <v>98</v>
      </c>
      <c r="AS19" s="425">
        <v>44638</v>
      </c>
      <c r="AT19" s="425">
        <v>91</v>
      </c>
      <c r="AU19" s="425">
        <v>261</v>
      </c>
      <c r="AV19" s="425">
        <v>9477543</v>
      </c>
      <c r="AW19" s="425">
        <v>669576</v>
      </c>
      <c r="AX19" s="425">
        <v>1741</v>
      </c>
      <c r="AY19" s="425">
        <v>3917</v>
      </c>
      <c r="AZ19" s="421" t="s">
        <v>511</v>
      </c>
    </row>
    <row r="20" spans="1:52" s="365" customFormat="1">
      <c r="A20" s="657" t="str">
        <f t="shared" si="0"/>
        <v>AgriculturalMarket Support</v>
      </c>
      <c r="B20" s="437"/>
      <c r="C20" s="470"/>
      <c r="D20" s="658" t="s">
        <v>27</v>
      </c>
      <c r="E20" s="659" t="s">
        <v>27</v>
      </c>
      <c r="F20" s="660" t="s">
        <v>23</v>
      </c>
      <c r="G20" s="661">
        <f>SUMIF('4.1 Program Budget - 2024-2027'!$A$7:$A$181,'4.2 Program Budget 2028-2031'!A20,'4.1 Program Budget - 2024-2027'!$BX$7:$BX$181)</f>
        <v>966067.66059948714</v>
      </c>
      <c r="H20" s="662">
        <v>3.2000000000000001E-2</v>
      </c>
      <c r="I20" s="663">
        <f t="shared" si="5"/>
        <v>996981.82573867077</v>
      </c>
      <c r="J20" s="425">
        <v>112685</v>
      </c>
      <c r="K20" s="425">
        <v>36</v>
      </c>
      <c r="L20" s="425">
        <v>864</v>
      </c>
      <c r="M20" s="425">
        <v>19</v>
      </c>
      <c r="N20" s="425">
        <v>5</v>
      </c>
      <c r="O20" s="425">
        <v>1690278</v>
      </c>
      <c r="P20" s="425">
        <v>12963</v>
      </c>
      <c r="Q20" s="425">
        <v>287</v>
      </c>
      <c r="R20" s="425">
        <v>76</v>
      </c>
      <c r="S20" s="421" t="s">
        <v>343</v>
      </c>
      <c r="T20" s="663">
        <f t="shared" si="6"/>
        <v>1028885.2441623083</v>
      </c>
      <c r="U20" s="425">
        <v>112685</v>
      </c>
      <c r="V20" s="425">
        <v>36</v>
      </c>
      <c r="W20" s="425">
        <v>864</v>
      </c>
      <c r="X20" s="425">
        <v>15</v>
      </c>
      <c r="Y20" s="425">
        <v>5</v>
      </c>
      <c r="Z20" s="425">
        <v>1690278</v>
      </c>
      <c r="AA20" s="425">
        <v>12963</v>
      </c>
      <c r="AB20" s="425">
        <v>292</v>
      </c>
      <c r="AC20" s="425">
        <v>76</v>
      </c>
      <c r="AD20" s="421" t="s">
        <v>511</v>
      </c>
      <c r="AE20" s="664">
        <f t="shared" si="7"/>
        <v>1061809.5719755022</v>
      </c>
      <c r="AF20" s="425">
        <v>112685</v>
      </c>
      <c r="AG20" s="425">
        <v>36</v>
      </c>
      <c r="AH20" s="425">
        <v>864</v>
      </c>
      <c r="AI20" s="425">
        <v>15</v>
      </c>
      <c r="AJ20" s="425">
        <v>5</v>
      </c>
      <c r="AK20" s="425">
        <v>1690278</v>
      </c>
      <c r="AL20" s="425">
        <v>12963</v>
      </c>
      <c r="AM20" s="425">
        <v>301</v>
      </c>
      <c r="AN20" s="425">
        <v>76</v>
      </c>
      <c r="AO20" s="421" t="s">
        <v>511</v>
      </c>
      <c r="AP20" s="663">
        <f t="shared" si="8"/>
        <v>1095787.4782787182</v>
      </c>
      <c r="AQ20" s="434">
        <v>112685</v>
      </c>
      <c r="AR20" s="434">
        <v>36</v>
      </c>
      <c r="AS20" s="434">
        <v>864</v>
      </c>
      <c r="AT20" s="434">
        <v>16</v>
      </c>
      <c r="AU20" s="434">
        <v>5</v>
      </c>
      <c r="AV20" s="434">
        <v>1690278</v>
      </c>
      <c r="AW20" s="434">
        <v>12963</v>
      </c>
      <c r="AX20" s="434">
        <v>311</v>
      </c>
      <c r="AY20" s="434">
        <v>76</v>
      </c>
      <c r="AZ20" s="421" t="s">
        <v>511</v>
      </c>
    </row>
    <row r="21" spans="1:52" s="365" customFormat="1">
      <c r="A21" s="657" t="str">
        <f t="shared" si="0"/>
        <v>Emerging TechMarket Support</v>
      </c>
      <c r="B21" s="408"/>
      <c r="C21" s="470"/>
      <c r="D21" s="658" t="s">
        <v>29</v>
      </c>
      <c r="E21" s="659" t="s">
        <v>29</v>
      </c>
      <c r="F21" s="660" t="s">
        <v>23</v>
      </c>
      <c r="G21" s="661">
        <f>SUMIF('4.1 Program Budget - 2024-2027'!$A$7:$A$181,'4.2 Program Budget 2028-2031'!A21,'4.1 Program Budget - 2024-2027'!$BX$7:$BX$181)</f>
        <v>1671307.6332180835</v>
      </c>
      <c r="H21" s="662">
        <v>3.2000000000000001E-2</v>
      </c>
      <c r="I21" s="663">
        <f t="shared" si="5"/>
        <v>1724789.4774810623</v>
      </c>
      <c r="J21" s="425" t="s">
        <v>342</v>
      </c>
      <c r="K21" s="425" t="s">
        <v>342</v>
      </c>
      <c r="L21" s="425" t="s">
        <v>342</v>
      </c>
      <c r="M21" s="425" t="s">
        <v>342</v>
      </c>
      <c r="N21" s="425" t="s">
        <v>342</v>
      </c>
      <c r="O21" s="425" t="s">
        <v>342</v>
      </c>
      <c r="P21" s="425" t="s">
        <v>342</v>
      </c>
      <c r="Q21" s="425" t="s">
        <v>342</v>
      </c>
      <c r="R21" s="425" t="s">
        <v>342</v>
      </c>
      <c r="S21" s="421" t="s">
        <v>343</v>
      </c>
      <c r="T21" s="663">
        <f t="shared" si="6"/>
        <v>1779982.7407604563</v>
      </c>
      <c r="U21" s="425" t="s">
        <v>342</v>
      </c>
      <c r="V21" s="425" t="s">
        <v>342</v>
      </c>
      <c r="W21" s="425" t="s">
        <v>342</v>
      </c>
      <c r="X21" s="425" t="s">
        <v>342</v>
      </c>
      <c r="Y21" s="425" t="s">
        <v>342</v>
      </c>
      <c r="Z21" s="425" t="s">
        <v>342</v>
      </c>
      <c r="AA21" s="425" t="s">
        <v>342</v>
      </c>
      <c r="AB21" s="425" t="s">
        <v>342</v>
      </c>
      <c r="AC21" s="425" t="s">
        <v>342</v>
      </c>
      <c r="AD21" s="421" t="s">
        <v>511</v>
      </c>
      <c r="AE21" s="664">
        <f t="shared" si="7"/>
        <v>1836942.188464791</v>
      </c>
      <c r="AF21" s="425" t="s">
        <v>342</v>
      </c>
      <c r="AG21" s="425" t="s">
        <v>342</v>
      </c>
      <c r="AH21" s="425" t="s">
        <v>342</v>
      </c>
      <c r="AI21" s="425" t="s">
        <v>342</v>
      </c>
      <c r="AJ21" s="425" t="s">
        <v>342</v>
      </c>
      <c r="AK21" s="425" t="s">
        <v>342</v>
      </c>
      <c r="AL21" s="425" t="s">
        <v>342</v>
      </c>
      <c r="AM21" s="425" t="s">
        <v>342</v>
      </c>
      <c r="AN21" s="425" t="s">
        <v>342</v>
      </c>
      <c r="AO21" s="421" t="s">
        <v>511</v>
      </c>
      <c r="AP21" s="663">
        <f t="shared" si="8"/>
        <v>1895724.3384956643</v>
      </c>
      <c r="AQ21" s="434" t="s">
        <v>342</v>
      </c>
      <c r="AR21" s="434" t="s">
        <v>342</v>
      </c>
      <c r="AS21" s="434" t="s">
        <v>342</v>
      </c>
      <c r="AT21" s="434" t="s">
        <v>342</v>
      </c>
      <c r="AU21" s="434" t="s">
        <v>342</v>
      </c>
      <c r="AV21" s="434" t="s">
        <v>342</v>
      </c>
      <c r="AW21" s="434" t="s">
        <v>342</v>
      </c>
      <c r="AX21" s="434" t="s">
        <v>342</v>
      </c>
      <c r="AY21" s="434" t="s">
        <v>342</v>
      </c>
      <c r="AZ21" s="421" t="s">
        <v>511</v>
      </c>
    </row>
    <row r="22" spans="1:52" s="365" customFormat="1">
      <c r="A22" s="657" t="str">
        <f t="shared" si="0"/>
        <v>PublicMarket Support</v>
      </c>
      <c r="B22" s="437"/>
      <c r="C22" s="472"/>
      <c r="D22" s="665" t="s">
        <v>30</v>
      </c>
      <c r="E22" s="659" t="s">
        <v>30</v>
      </c>
      <c r="F22" s="660" t="s">
        <v>23</v>
      </c>
      <c r="G22" s="661">
        <f>SUMIF('4.1 Program Budget - 2024-2027'!$A$7:$A$181,'4.2 Program Budget 2028-2031'!A22,'4.1 Program Budget - 2024-2027'!$BX$7:$BX$181)</f>
        <v>3954555.4324012413</v>
      </c>
      <c r="H22" s="662">
        <v>3.2000000000000001E-2</v>
      </c>
      <c r="I22" s="663">
        <f t="shared" si="5"/>
        <v>4081101.2062380812</v>
      </c>
      <c r="J22" s="425">
        <v>168676</v>
      </c>
      <c r="K22" s="425">
        <v>87</v>
      </c>
      <c r="L22" s="425">
        <v>3270</v>
      </c>
      <c r="M22" s="425">
        <v>28</v>
      </c>
      <c r="N22" s="425">
        <v>19</v>
      </c>
      <c r="O22" s="425">
        <v>2530141</v>
      </c>
      <c r="P22" s="425">
        <v>49043</v>
      </c>
      <c r="Q22" s="425">
        <v>429</v>
      </c>
      <c r="R22" s="425">
        <v>287</v>
      </c>
      <c r="S22" s="421" t="s">
        <v>343</v>
      </c>
      <c r="T22" s="663">
        <f t="shared" si="6"/>
        <v>4211696.4448376996</v>
      </c>
      <c r="U22" s="425">
        <v>168676</v>
      </c>
      <c r="V22" s="425">
        <v>87</v>
      </c>
      <c r="W22" s="425">
        <v>3270</v>
      </c>
      <c r="X22" s="425">
        <v>23</v>
      </c>
      <c r="Y22" s="425">
        <v>19</v>
      </c>
      <c r="Z22" s="425">
        <v>2530141</v>
      </c>
      <c r="AA22" s="425">
        <v>49043</v>
      </c>
      <c r="AB22" s="425">
        <v>437</v>
      </c>
      <c r="AC22" s="425">
        <v>287</v>
      </c>
      <c r="AD22" s="421" t="s">
        <v>511</v>
      </c>
      <c r="AE22" s="664">
        <f t="shared" si="7"/>
        <v>4346470.7310725059</v>
      </c>
      <c r="AF22" s="425">
        <v>168676</v>
      </c>
      <c r="AG22" s="425">
        <v>87</v>
      </c>
      <c r="AH22" s="425">
        <v>3270</v>
      </c>
      <c r="AI22" s="425">
        <v>22</v>
      </c>
      <c r="AJ22" s="425">
        <v>19</v>
      </c>
      <c r="AK22" s="425">
        <v>2530141</v>
      </c>
      <c r="AL22" s="425">
        <v>49043</v>
      </c>
      <c r="AM22" s="425">
        <v>451</v>
      </c>
      <c r="AN22" s="425">
        <v>287</v>
      </c>
      <c r="AO22" s="421" t="s">
        <v>511</v>
      </c>
      <c r="AP22" s="663">
        <f t="shared" si="8"/>
        <v>4485557.7944668261</v>
      </c>
      <c r="AQ22" s="425">
        <v>168676</v>
      </c>
      <c r="AR22" s="425">
        <v>87</v>
      </c>
      <c r="AS22" s="425">
        <v>3270</v>
      </c>
      <c r="AT22" s="425">
        <v>24</v>
      </c>
      <c r="AU22" s="425">
        <v>19</v>
      </c>
      <c r="AV22" s="425">
        <v>2530141</v>
      </c>
      <c r="AW22" s="425">
        <v>49043</v>
      </c>
      <c r="AX22" s="425">
        <v>465</v>
      </c>
      <c r="AY22" s="425">
        <v>287</v>
      </c>
      <c r="AZ22" s="421" t="s">
        <v>511</v>
      </c>
    </row>
    <row r="23" spans="1:52" s="365" customFormat="1">
      <c r="A23" s="657" t="str">
        <f t="shared" si="0"/>
        <v>WE&amp;TMarket Support</v>
      </c>
      <c r="B23" s="437"/>
      <c r="C23" s="472"/>
      <c r="D23" s="665" t="s">
        <v>32</v>
      </c>
      <c r="E23" s="659" t="s">
        <v>32</v>
      </c>
      <c r="F23" s="660" t="s">
        <v>23</v>
      </c>
      <c r="G23" s="661">
        <f>SUMIF('4.1 Program Budget - 2024-2027'!$A$7:$A$181,'4.2 Program Budget 2028-2031'!A23,'4.1 Program Budget - 2024-2027'!$BX$7:$BX$181)</f>
        <v>5730682.1623149877</v>
      </c>
      <c r="H23" s="662">
        <v>3.2000000000000001E-2</v>
      </c>
      <c r="I23" s="663">
        <f t="shared" si="5"/>
        <v>5914063.9915090678</v>
      </c>
      <c r="J23" s="425" t="s">
        <v>342</v>
      </c>
      <c r="K23" s="425" t="s">
        <v>342</v>
      </c>
      <c r="L23" s="425" t="s">
        <v>342</v>
      </c>
      <c r="M23" s="425" t="s">
        <v>342</v>
      </c>
      <c r="N23" s="425" t="s">
        <v>342</v>
      </c>
      <c r="O23" s="425" t="s">
        <v>342</v>
      </c>
      <c r="P23" s="425" t="s">
        <v>342</v>
      </c>
      <c r="Q23" s="425" t="s">
        <v>342</v>
      </c>
      <c r="R23" s="425" t="s">
        <v>342</v>
      </c>
      <c r="S23" s="421" t="s">
        <v>343</v>
      </c>
      <c r="T23" s="663">
        <f t="shared" si="6"/>
        <v>6103314.0392373586</v>
      </c>
      <c r="U23" s="425" t="s">
        <v>342</v>
      </c>
      <c r="V23" s="425" t="s">
        <v>342</v>
      </c>
      <c r="W23" s="425" t="s">
        <v>342</v>
      </c>
      <c r="X23" s="425" t="s">
        <v>342</v>
      </c>
      <c r="Y23" s="425" t="s">
        <v>342</v>
      </c>
      <c r="Z23" s="425" t="s">
        <v>342</v>
      </c>
      <c r="AA23" s="425" t="s">
        <v>342</v>
      </c>
      <c r="AB23" s="425" t="s">
        <v>342</v>
      </c>
      <c r="AC23" s="425" t="s">
        <v>342</v>
      </c>
      <c r="AD23" s="421" t="s">
        <v>511</v>
      </c>
      <c r="AE23" s="664">
        <f t="shared" si="7"/>
        <v>6298620.0884929541</v>
      </c>
      <c r="AF23" s="425" t="s">
        <v>511</v>
      </c>
      <c r="AG23" s="425" t="s">
        <v>511</v>
      </c>
      <c r="AH23" s="425" t="s">
        <v>511</v>
      </c>
      <c r="AI23" s="425" t="s">
        <v>511</v>
      </c>
      <c r="AJ23" s="425" t="s">
        <v>511</v>
      </c>
      <c r="AK23" s="425" t="s">
        <v>511</v>
      </c>
      <c r="AL23" s="425" t="s">
        <v>511</v>
      </c>
      <c r="AM23" s="425" t="s">
        <v>511</v>
      </c>
      <c r="AN23" s="425" t="s">
        <v>511</v>
      </c>
      <c r="AO23" s="421" t="s">
        <v>511</v>
      </c>
      <c r="AP23" s="663">
        <f t="shared" si="8"/>
        <v>6500175.9313247288</v>
      </c>
      <c r="AQ23" s="425" t="s">
        <v>511</v>
      </c>
      <c r="AR23" s="425" t="s">
        <v>511</v>
      </c>
      <c r="AS23" s="425" t="s">
        <v>511</v>
      </c>
      <c r="AT23" s="425" t="s">
        <v>511</v>
      </c>
      <c r="AU23" s="425" t="s">
        <v>511</v>
      </c>
      <c r="AV23" s="425" t="s">
        <v>511</v>
      </c>
      <c r="AW23" s="425" t="s">
        <v>511</v>
      </c>
      <c r="AX23" s="425" t="s">
        <v>511</v>
      </c>
      <c r="AY23" s="425" t="s">
        <v>511</v>
      </c>
      <c r="AZ23" s="421" t="s">
        <v>511</v>
      </c>
    </row>
    <row r="24" spans="1:52" s="365" customFormat="1">
      <c r="A24" s="657" t="str">
        <f t="shared" si="0"/>
        <v>FinanceMarket Support</v>
      </c>
      <c r="B24" s="437"/>
      <c r="C24" s="472"/>
      <c r="D24" s="665" t="s">
        <v>34</v>
      </c>
      <c r="E24" s="659" t="s">
        <v>34</v>
      </c>
      <c r="F24" s="660" t="s">
        <v>23</v>
      </c>
      <c r="G24" s="661">
        <f>SUMIF('4.1 Program Budget - 2024-2027'!$A$7:$A$181,'4.2 Program Budget 2028-2031'!A24,'4.1 Program Budget - 2024-2027'!$BX$7:$BX$181)</f>
        <v>551308.91411495325</v>
      </c>
      <c r="H24" s="662">
        <v>3.2000000000000001E-2</v>
      </c>
      <c r="I24" s="663">
        <f t="shared" si="5"/>
        <v>568950.79936663178</v>
      </c>
      <c r="J24" s="425" t="s">
        <v>342</v>
      </c>
      <c r="K24" s="425" t="s">
        <v>342</v>
      </c>
      <c r="L24" s="425" t="s">
        <v>342</v>
      </c>
      <c r="M24" s="425" t="s">
        <v>342</v>
      </c>
      <c r="N24" s="425" t="s">
        <v>342</v>
      </c>
      <c r="O24" s="425" t="s">
        <v>342</v>
      </c>
      <c r="P24" s="425" t="s">
        <v>342</v>
      </c>
      <c r="Q24" s="425" t="s">
        <v>342</v>
      </c>
      <c r="R24" s="425" t="s">
        <v>342</v>
      </c>
      <c r="S24" s="421" t="s">
        <v>343</v>
      </c>
      <c r="T24" s="663">
        <f t="shared" si="6"/>
        <v>587157.22494636406</v>
      </c>
      <c r="U24" s="425" t="s">
        <v>342</v>
      </c>
      <c r="V24" s="425" t="s">
        <v>342</v>
      </c>
      <c r="W24" s="425" t="s">
        <v>342</v>
      </c>
      <c r="X24" s="425" t="s">
        <v>342</v>
      </c>
      <c r="Y24" s="425" t="s">
        <v>342</v>
      </c>
      <c r="Z24" s="425" t="s">
        <v>342</v>
      </c>
      <c r="AA24" s="425" t="s">
        <v>342</v>
      </c>
      <c r="AB24" s="425" t="s">
        <v>342</v>
      </c>
      <c r="AC24" s="425" t="s">
        <v>342</v>
      </c>
      <c r="AD24" s="421" t="s">
        <v>511</v>
      </c>
      <c r="AE24" s="664">
        <f t="shared" si="7"/>
        <v>605946.25614464772</v>
      </c>
      <c r="AF24" s="425" t="s">
        <v>511</v>
      </c>
      <c r="AG24" s="425" t="s">
        <v>511</v>
      </c>
      <c r="AH24" s="425" t="s">
        <v>511</v>
      </c>
      <c r="AI24" s="425" t="s">
        <v>511</v>
      </c>
      <c r="AJ24" s="425" t="s">
        <v>511</v>
      </c>
      <c r="AK24" s="425" t="s">
        <v>511</v>
      </c>
      <c r="AL24" s="425" t="s">
        <v>511</v>
      </c>
      <c r="AM24" s="425" t="s">
        <v>511</v>
      </c>
      <c r="AN24" s="425" t="s">
        <v>511</v>
      </c>
      <c r="AO24" s="421" t="s">
        <v>511</v>
      </c>
      <c r="AP24" s="663">
        <f t="shared" si="8"/>
        <v>625336.53634127649</v>
      </c>
      <c r="AQ24" s="425" t="s">
        <v>511</v>
      </c>
      <c r="AR24" s="425" t="s">
        <v>511</v>
      </c>
      <c r="AS24" s="425" t="s">
        <v>511</v>
      </c>
      <c r="AT24" s="425" t="s">
        <v>511</v>
      </c>
      <c r="AU24" s="425" t="s">
        <v>511</v>
      </c>
      <c r="AV24" s="425" t="s">
        <v>511</v>
      </c>
      <c r="AW24" s="425" t="s">
        <v>511</v>
      </c>
      <c r="AX24" s="425" t="s">
        <v>511</v>
      </c>
      <c r="AY24" s="425" t="s">
        <v>511</v>
      </c>
      <c r="AZ24" s="421" t="s">
        <v>511</v>
      </c>
    </row>
    <row r="25" spans="1:52" s="365" customFormat="1">
      <c r="A25" s="657" t="str">
        <f t="shared" si="0"/>
        <v>OBF Loan PoolMarket Support</v>
      </c>
      <c r="B25" s="437"/>
      <c r="C25" s="472"/>
      <c r="D25" s="665" t="s">
        <v>36</v>
      </c>
      <c r="E25" s="659" t="s">
        <v>36</v>
      </c>
      <c r="F25" s="660" t="s">
        <v>23</v>
      </c>
      <c r="G25" s="661">
        <f>SUMIF('4.1 Program Budget - 2024-2027'!$A$7:$A$181,'4.2 Program Budget 2028-2031'!A25,'4.1 Program Budget - 2024-2027'!$BX$7:$BX$181)</f>
        <v>0</v>
      </c>
      <c r="H25" s="662">
        <v>3.2000000000000001E-2</v>
      </c>
      <c r="I25" s="663">
        <f t="shared" si="5"/>
        <v>0</v>
      </c>
      <c r="J25" s="425" t="s">
        <v>342</v>
      </c>
      <c r="K25" s="425" t="s">
        <v>342</v>
      </c>
      <c r="L25" s="425" t="s">
        <v>342</v>
      </c>
      <c r="M25" s="425" t="s">
        <v>342</v>
      </c>
      <c r="N25" s="425" t="s">
        <v>342</v>
      </c>
      <c r="O25" s="425" t="s">
        <v>342</v>
      </c>
      <c r="P25" s="425" t="s">
        <v>342</v>
      </c>
      <c r="Q25" s="425" t="s">
        <v>342</v>
      </c>
      <c r="R25" s="425" t="s">
        <v>342</v>
      </c>
      <c r="S25" s="421" t="s">
        <v>343</v>
      </c>
      <c r="T25" s="663">
        <f t="shared" si="6"/>
        <v>0</v>
      </c>
      <c r="U25" s="425" t="s">
        <v>342</v>
      </c>
      <c r="V25" s="425" t="s">
        <v>342</v>
      </c>
      <c r="W25" s="425" t="s">
        <v>342</v>
      </c>
      <c r="X25" s="425" t="s">
        <v>342</v>
      </c>
      <c r="Y25" s="425" t="s">
        <v>342</v>
      </c>
      <c r="Z25" s="425" t="s">
        <v>342</v>
      </c>
      <c r="AA25" s="425" t="s">
        <v>342</v>
      </c>
      <c r="AB25" s="425" t="s">
        <v>342</v>
      </c>
      <c r="AC25" s="425" t="s">
        <v>342</v>
      </c>
      <c r="AD25" s="421" t="s">
        <v>511</v>
      </c>
      <c r="AE25" s="664">
        <f t="shared" si="7"/>
        <v>0</v>
      </c>
      <c r="AF25" s="425" t="s">
        <v>511</v>
      </c>
      <c r="AG25" s="425" t="s">
        <v>511</v>
      </c>
      <c r="AH25" s="425" t="s">
        <v>511</v>
      </c>
      <c r="AI25" s="425" t="s">
        <v>511</v>
      </c>
      <c r="AJ25" s="425" t="s">
        <v>511</v>
      </c>
      <c r="AK25" s="425" t="s">
        <v>511</v>
      </c>
      <c r="AL25" s="425" t="s">
        <v>511</v>
      </c>
      <c r="AM25" s="425" t="s">
        <v>511</v>
      </c>
      <c r="AN25" s="425" t="s">
        <v>511</v>
      </c>
      <c r="AO25" s="421" t="s">
        <v>511</v>
      </c>
      <c r="AP25" s="663">
        <f t="shared" si="8"/>
        <v>0</v>
      </c>
      <c r="AQ25" s="425" t="s">
        <v>511</v>
      </c>
      <c r="AR25" s="425" t="s">
        <v>511</v>
      </c>
      <c r="AS25" s="425" t="s">
        <v>511</v>
      </c>
      <c r="AT25" s="425" t="s">
        <v>511</v>
      </c>
      <c r="AU25" s="425" t="s">
        <v>511</v>
      </c>
      <c r="AV25" s="425" t="s">
        <v>511</v>
      </c>
      <c r="AW25" s="425" t="s">
        <v>511</v>
      </c>
      <c r="AX25" s="425" t="s">
        <v>511</v>
      </c>
      <c r="AY25" s="425" t="s">
        <v>511</v>
      </c>
      <c r="AZ25" s="421" t="s">
        <v>511</v>
      </c>
    </row>
    <row r="26" spans="1:52" s="365" customFormat="1">
      <c r="A26" s="657" t="str">
        <f t="shared" si="0"/>
        <v/>
      </c>
      <c r="B26" s="437"/>
      <c r="C26" s="472"/>
      <c r="D26" s="667"/>
      <c r="E26" s="668"/>
      <c r="F26" s="669"/>
      <c r="G26" s="670"/>
      <c r="H26" s="671"/>
      <c r="I26" s="672"/>
      <c r="J26" s="522"/>
      <c r="K26" s="522"/>
      <c r="L26" s="522"/>
      <c r="M26" s="522"/>
      <c r="N26" s="522"/>
      <c r="O26" s="522"/>
      <c r="P26" s="522"/>
      <c r="Q26" s="522"/>
      <c r="R26" s="522"/>
      <c r="S26" s="673"/>
      <c r="T26" s="672"/>
      <c r="U26" s="522"/>
      <c r="V26" s="522"/>
      <c r="W26" s="522"/>
      <c r="X26" s="522"/>
      <c r="Y26" s="522"/>
      <c r="Z26" s="522"/>
      <c r="AA26" s="522"/>
      <c r="AB26" s="522"/>
      <c r="AC26" s="522"/>
      <c r="AD26" s="673"/>
      <c r="AE26" s="674"/>
      <c r="AF26" s="522"/>
      <c r="AG26" s="522"/>
      <c r="AH26" s="522"/>
      <c r="AI26" s="522"/>
      <c r="AJ26" s="522"/>
      <c r="AK26" s="522"/>
      <c r="AL26" s="522"/>
      <c r="AM26" s="522"/>
      <c r="AN26" s="522"/>
      <c r="AO26" s="673"/>
      <c r="AP26" s="672"/>
      <c r="AQ26" s="522"/>
      <c r="AR26" s="522"/>
      <c r="AS26" s="522"/>
      <c r="AT26" s="522"/>
      <c r="AU26" s="522"/>
      <c r="AV26" s="522"/>
      <c r="AW26" s="522"/>
      <c r="AX26" s="522"/>
      <c r="AY26" s="522"/>
      <c r="AZ26" s="673"/>
    </row>
    <row r="27" spans="1:52" s="365" customFormat="1">
      <c r="A27" s="657" t="str">
        <f t="shared" si="0"/>
        <v>ResidentialEquity</v>
      </c>
      <c r="B27" s="437"/>
      <c r="C27" s="472"/>
      <c r="D27" s="666" t="s">
        <v>17</v>
      </c>
      <c r="E27" s="659" t="s">
        <v>17</v>
      </c>
      <c r="F27" s="660" t="s">
        <v>26</v>
      </c>
      <c r="G27" s="661">
        <f>SUMIF('4.1 Program Budget - 2024-2027'!$A$7:$A$181,'4.2 Program Budget 2028-2031'!A27,'4.1 Program Budget - 2024-2027'!$BX$7:$BX$181)</f>
        <v>20309686.60122475</v>
      </c>
      <c r="H27" s="662">
        <v>3.2000000000000001E-2</v>
      </c>
      <c r="I27" s="663">
        <f t="shared" ref="I27:I35" si="9">G27*(1+H27)</f>
        <v>20959596.572463945</v>
      </c>
      <c r="J27" s="425">
        <v>771559.1</v>
      </c>
      <c r="K27" s="425">
        <v>110.73</v>
      </c>
      <c r="L27" s="425">
        <v>721277.23</v>
      </c>
      <c r="M27" s="425">
        <v>358.83</v>
      </c>
      <c r="N27" s="425">
        <v>4219.47</v>
      </c>
      <c r="O27" s="425">
        <v>9378179.0500000007</v>
      </c>
      <c r="P27" s="425">
        <v>9976764.1300000008</v>
      </c>
      <c r="Q27" s="425">
        <v>4669.09</v>
      </c>
      <c r="R27" s="425">
        <v>58364.07</v>
      </c>
      <c r="S27" s="421" t="s">
        <v>343</v>
      </c>
      <c r="T27" s="663">
        <f t="shared" ref="T27:T35" si="10">I27*(1+$H27)</f>
        <v>21630303.662782792</v>
      </c>
      <c r="U27" s="425">
        <v>796248.99</v>
      </c>
      <c r="V27" s="425">
        <v>114.28</v>
      </c>
      <c r="W27" s="425">
        <v>744358.1</v>
      </c>
      <c r="X27" s="425">
        <v>336.98</v>
      </c>
      <c r="Y27" s="425">
        <v>4354.49</v>
      </c>
      <c r="Z27" s="425">
        <v>9678280.7699999996</v>
      </c>
      <c r="AA27" s="425">
        <v>10296020.59</v>
      </c>
      <c r="AB27" s="425">
        <v>4890.91</v>
      </c>
      <c r="AC27" s="425">
        <v>60231.72</v>
      </c>
      <c r="AD27" s="421" t="s">
        <v>511</v>
      </c>
      <c r="AE27" s="664">
        <f t="shared" ref="AE27:AE35" si="11">T27*(1+$H27)</f>
        <v>22322473.379991841</v>
      </c>
      <c r="AF27" s="425">
        <v>821728.96</v>
      </c>
      <c r="AG27" s="425">
        <v>117.94</v>
      </c>
      <c r="AH27" s="425">
        <v>768177.56</v>
      </c>
      <c r="AI27" s="425">
        <v>361.72</v>
      </c>
      <c r="AJ27" s="425">
        <v>4493.84</v>
      </c>
      <c r="AK27" s="425">
        <v>9987985.7599999998</v>
      </c>
      <c r="AL27" s="425">
        <v>10625493.25</v>
      </c>
      <c r="AM27" s="425">
        <v>5163.84</v>
      </c>
      <c r="AN27" s="425">
        <v>62159.14</v>
      </c>
      <c r="AO27" s="421" t="s">
        <v>511</v>
      </c>
      <c r="AP27" s="663">
        <f t="shared" ref="AP27:AP35" si="12">AE27*(1+$H27)</f>
        <v>23036792.528151579</v>
      </c>
      <c r="AQ27" s="425">
        <v>848024.29</v>
      </c>
      <c r="AR27" s="425">
        <v>121.71</v>
      </c>
      <c r="AS27" s="425">
        <v>792759.24</v>
      </c>
      <c r="AT27" s="425">
        <v>388.71</v>
      </c>
      <c r="AU27" s="425">
        <v>4637.6400000000003</v>
      </c>
      <c r="AV27" s="425">
        <v>10307601.300000001</v>
      </c>
      <c r="AW27" s="425">
        <v>10965509.029999999</v>
      </c>
      <c r="AX27" s="425">
        <v>5442.39</v>
      </c>
      <c r="AY27" s="425">
        <v>64148.23</v>
      </c>
      <c r="AZ27" s="421" t="s">
        <v>511</v>
      </c>
    </row>
    <row r="28" spans="1:52" s="365" customFormat="1">
      <c r="A28" s="657" t="str">
        <f t="shared" si="0"/>
        <v>CommercialEquity</v>
      </c>
      <c r="B28" s="437"/>
      <c r="C28" s="472"/>
      <c r="D28" s="666" t="s">
        <v>22</v>
      </c>
      <c r="E28" s="659" t="s">
        <v>22</v>
      </c>
      <c r="F28" s="660" t="s">
        <v>26</v>
      </c>
      <c r="G28" s="661">
        <f>SUMIF('4.1 Program Budget - 2024-2027'!$A$7:$A$181,'4.2 Program Budget 2028-2031'!A28,'4.1 Program Budget - 2024-2027'!$BX$7:$BX$181)</f>
        <v>0</v>
      </c>
      <c r="H28" s="662">
        <v>3.2000000000000001E-2</v>
      </c>
      <c r="I28" s="663">
        <f t="shared" si="9"/>
        <v>0</v>
      </c>
      <c r="J28" s="425" t="s">
        <v>342</v>
      </c>
      <c r="K28" s="425" t="s">
        <v>342</v>
      </c>
      <c r="L28" s="425" t="s">
        <v>342</v>
      </c>
      <c r="M28" s="425" t="s">
        <v>342</v>
      </c>
      <c r="N28" s="425" t="s">
        <v>342</v>
      </c>
      <c r="O28" s="425" t="s">
        <v>342</v>
      </c>
      <c r="P28" s="425" t="s">
        <v>342</v>
      </c>
      <c r="Q28" s="425" t="s">
        <v>342</v>
      </c>
      <c r="R28" s="425" t="s">
        <v>342</v>
      </c>
      <c r="S28" s="421" t="s">
        <v>343</v>
      </c>
      <c r="T28" s="663">
        <f t="shared" si="10"/>
        <v>0</v>
      </c>
      <c r="U28" s="425" t="s">
        <v>342</v>
      </c>
      <c r="V28" s="425" t="s">
        <v>342</v>
      </c>
      <c r="W28" s="425" t="s">
        <v>342</v>
      </c>
      <c r="X28" s="425" t="s">
        <v>342</v>
      </c>
      <c r="Y28" s="425" t="s">
        <v>342</v>
      </c>
      <c r="Z28" s="425" t="s">
        <v>342</v>
      </c>
      <c r="AA28" s="425" t="s">
        <v>342</v>
      </c>
      <c r="AB28" s="425" t="s">
        <v>342</v>
      </c>
      <c r="AC28" s="425" t="s">
        <v>342</v>
      </c>
      <c r="AD28" s="421" t="s">
        <v>511</v>
      </c>
      <c r="AE28" s="664">
        <f t="shared" si="11"/>
        <v>0</v>
      </c>
      <c r="AF28" s="425" t="s">
        <v>342</v>
      </c>
      <c r="AG28" s="425" t="s">
        <v>342</v>
      </c>
      <c r="AH28" s="425" t="s">
        <v>342</v>
      </c>
      <c r="AI28" s="425" t="s">
        <v>342</v>
      </c>
      <c r="AJ28" s="425" t="s">
        <v>342</v>
      </c>
      <c r="AK28" s="425" t="s">
        <v>342</v>
      </c>
      <c r="AL28" s="425" t="s">
        <v>342</v>
      </c>
      <c r="AM28" s="425" t="s">
        <v>342</v>
      </c>
      <c r="AN28" s="425" t="s">
        <v>342</v>
      </c>
      <c r="AO28" s="421" t="s">
        <v>511</v>
      </c>
      <c r="AP28" s="663">
        <f t="shared" si="12"/>
        <v>0</v>
      </c>
      <c r="AQ28" s="425" t="s">
        <v>342</v>
      </c>
      <c r="AR28" s="425" t="s">
        <v>342</v>
      </c>
      <c r="AS28" s="425" t="s">
        <v>342</v>
      </c>
      <c r="AT28" s="425" t="s">
        <v>342</v>
      </c>
      <c r="AU28" s="425" t="s">
        <v>342</v>
      </c>
      <c r="AV28" s="425" t="s">
        <v>342</v>
      </c>
      <c r="AW28" s="425" t="s">
        <v>342</v>
      </c>
      <c r="AX28" s="425" t="s">
        <v>342</v>
      </c>
      <c r="AY28" s="425" t="s">
        <v>342</v>
      </c>
      <c r="AZ28" s="421" t="s">
        <v>511</v>
      </c>
    </row>
    <row r="29" spans="1:52" s="365" customFormat="1">
      <c r="A29" s="657" t="str">
        <f t="shared" si="0"/>
        <v>IndustrialEquity</v>
      </c>
      <c r="B29" s="437"/>
      <c r="C29" s="472"/>
      <c r="D29" s="666" t="s">
        <v>25</v>
      </c>
      <c r="E29" s="659" t="s">
        <v>25</v>
      </c>
      <c r="F29" s="660" t="s">
        <v>26</v>
      </c>
      <c r="G29" s="661">
        <f>SUMIF('4.1 Program Budget - 2024-2027'!$A$7:$A$181,'4.2 Program Budget 2028-2031'!A29,'4.1 Program Budget - 2024-2027'!$BX$7:$BX$181)</f>
        <v>0</v>
      </c>
      <c r="H29" s="662">
        <v>3.2000000000000001E-2</v>
      </c>
      <c r="I29" s="663">
        <f t="shared" si="9"/>
        <v>0</v>
      </c>
      <c r="J29" s="425" t="s">
        <v>343</v>
      </c>
      <c r="K29" s="425" t="s">
        <v>343</v>
      </c>
      <c r="L29" s="425" t="s">
        <v>343</v>
      </c>
      <c r="M29" s="425" t="s">
        <v>343</v>
      </c>
      <c r="N29" s="425" t="s">
        <v>343</v>
      </c>
      <c r="O29" s="425" t="s">
        <v>343</v>
      </c>
      <c r="P29" s="425" t="s">
        <v>343</v>
      </c>
      <c r="Q29" s="425" t="s">
        <v>343</v>
      </c>
      <c r="R29" s="425" t="s">
        <v>343</v>
      </c>
      <c r="S29" s="421" t="s">
        <v>343</v>
      </c>
      <c r="T29" s="663">
        <f t="shared" si="10"/>
        <v>0</v>
      </c>
      <c r="U29" s="425" t="s">
        <v>342</v>
      </c>
      <c r="V29" s="425" t="s">
        <v>342</v>
      </c>
      <c r="W29" s="425" t="s">
        <v>342</v>
      </c>
      <c r="X29" s="425" t="s">
        <v>342</v>
      </c>
      <c r="Y29" s="425" t="s">
        <v>342</v>
      </c>
      <c r="Z29" s="425" t="s">
        <v>342</v>
      </c>
      <c r="AA29" s="425" t="s">
        <v>342</v>
      </c>
      <c r="AB29" s="425" t="s">
        <v>342</v>
      </c>
      <c r="AC29" s="425" t="s">
        <v>342</v>
      </c>
      <c r="AD29" s="421" t="s">
        <v>511</v>
      </c>
      <c r="AE29" s="664">
        <f t="shared" si="11"/>
        <v>0</v>
      </c>
      <c r="AF29" s="425" t="s">
        <v>511</v>
      </c>
      <c r="AG29" s="425" t="s">
        <v>511</v>
      </c>
      <c r="AH29" s="425" t="s">
        <v>511</v>
      </c>
      <c r="AI29" s="425" t="s">
        <v>511</v>
      </c>
      <c r="AJ29" s="425" t="s">
        <v>511</v>
      </c>
      <c r="AK29" s="425" t="s">
        <v>511</v>
      </c>
      <c r="AL29" s="425" t="s">
        <v>511</v>
      </c>
      <c r="AM29" s="425" t="s">
        <v>511</v>
      </c>
      <c r="AN29" s="425" t="s">
        <v>511</v>
      </c>
      <c r="AO29" s="421" t="s">
        <v>511</v>
      </c>
      <c r="AP29" s="663">
        <f t="shared" si="12"/>
        <v>0</v>
      </c>
      <c r="AQ29" s="425" t="s">
        <v>511</v>
      </c>
      <c r="AR29" s="425" t="s">
        <v>511</v>
      </c>
      <c r="AS29" s="425" t="s">
        <v>511</v>
      </c>
      <c r="AT29" s="425" t="s">
        <v>511</v>
      </c>
      <c r="AU29" s="425" t="s">
        <v>511</v>
      </c>
      <c r="AV29" s="425" t="s">
        <v>511</v>
      </c>
      <c r="AW29" s="425" t="s">
        <v>511</v>
      </c>
      <c r="AX29" s="425" t="s">
        <v>511</v>
      </c>
      <c r="AY29" s="425" t="s">
        <v>511</v>
      </c>
      <c r="AZ29" s="421" t="s">
        <v>511</v>
      </c>
    </row>
    <row r="30" spans="1:52" s="365" customFormat="1">
      <c r="A30" s="657" t="str">
        <f t="shared" si="0"/>
        <v>AgriculturalEquity</v>
      </c>
      <c r="B30" s="437"/>
      <c r="C30" s="472"/>
      <c r="D30" s="675" t="s">
        <v>27</v>
      </c>
      <c r="E30" s="659" t="s">
        <v>27</v>
      </c>
      <c r="F30" s="660" t="s">
        <v>26</v>
      </c>
      <c r="G30" s="661">
        <f>SUMIF('4.1 Program Budget - 2024-2027'!$A$7:$A$181,'4.2 Program Budget 2028-2031'!A30,'4.1 Program Budget - 2024-2027'!$BX$7:$BX$181)</f>
        <v>0</v>
      </c>
      <c r="H30" s="662">
        <v>3.2000000000000001E-2</v>
      </c>
      <c r="I30" s="663">
        <f t="shared" si="9"/>
        <v>0</v>
      </c>
      <c r="J30" s="425" t="s">
        <v>343</v>
      </c>
      <c r="K30" s="425" t="s">
        <v>343</v>
      </c>
      <c r="L30" s="425" t="s">
        <v>343</v>
      </c>
      <c r="M30" s="425" t="s">
        <v>343</v>
      </c>
      <c r="N30" s="425" t="s">
        <v>343</v>
      </c>
      <c r="O30" s="425" t="s">
        <v>343</v>
      </c>
      <c r="P30" s="425" t="s">
        <v>343</v>
      </c>
      <c r="Q30" s="425" t="s">
        <v>343</v>
      </c>
      <c r="R30" s="425" t="s">
        <v>343</v>
      </c>
      <c r="S30" s="421" t="s">
        <v>343</v>
      </c>
      <c r="T30" s="663">
        <f t="shared" si="10"/>
        <v>0</v>
      </c>
      <c r="U30" s="425" t="s">
        <v>342</v>
      </c>
      <c r="V30" s="425" t="s">
        <v>342</v>
      </c>
      <c r="W30" s="425" t="s">
        <v>342</v>
      </c>
      <c r="X30" s="425" t="s">
        <v>342</v>
      </c>
      <c r="Y30" s="425" t="s">
        <v>342</v>
      </c>
      <c r="Z30" s="425" t="s">
        <v>342</v>
      </c>
      <c r="AA30" s="425" t="s">
        <v>342</v>
      </c>
      <c r="AB30" s="425" t="s">
        <v>342</v>
      </c>
      <c r="AC30" s="425" t="s">
        <v>342</v>
      </c>
      <c r="AD30" s="421" t="s">
        <v>511</v>
      </c>
      <c r="AE30" s="664">
        <f t="shared" si="11"/>
        <v>0</v>
      </c>
      <c r="AF30" s="425" t="s">
        <v>511</v>
      </c>
      <c r="AG30" s="425" t="s">
        <v>511</v>
      </c>
      <c r="AH30" s="425" t="s">
        <v>511</v>
      </c>
      <c r="AI30" s="425" t="s">
        <v>511</v>
      </c>
      <c r="AJ30" s="425" t="s">
        <v>511</v>
      </c>
      <c r="AK30" s="425" t="s">
        <v>511</v>
      </c>
      <c r="AL30" s="425" t="s">
        <v>511</v>
      </c>
      <c r="AM30" s="425" t="s">
        <v>511</v>
      </c>
      <c r="AN30" s="425" t="s">
        <v>511</v>
      </c>
      <c r="AO30" s="421" t="s">
        <v>511</v>
      </c>
      <c r="AP30" s="663">
        <f t="shared" si="12"/>
        <v>0</v>
      </c>
      <c r="AQ30" s="425" t="s">
        <v>511</v>
      </c>
      <c r="AR30" s="425" t="s">
        <v>511</v>
      </c>
      <c r="AS30" s="425" t="s">
        <v>511</v>
      </c>
      <c r="AT30" s="425" t="s">
        <v>511</v>
      </c>
      <c r="AU30" s="425" t="s">
        <v>511</v>
      </c>
      <c r="AV30" s="425" t="s">
        <v>511</v>
      </c>
      <c r="AW30" s="425" t="s">
        <v>511</v>
      </c>
      <c r="AX30" s="425" t="s">
        <v>511</v>
      </c>
      <c r="AY30" s="425" t="s">
        <v>511</v>
      </c>
      <c r="AZ30" s="421" t="s">
        <v>511</v>
      </c>
    </row>
    <row r="31" spans="1:52" s="365" customFormat="1">
      <c r="A31" s="657" t="str">
        <f t="shared" si="0"/>
        <v>Emerging TechEquity</v>
      </c>
      <c r="B31" s="437"/>
      <c r="C31" s="472"/>
      <c r="D31" s="665" t="s">
        <v>29</v>
      </c>
      <c r="E31" s="659" t="s">
        <v>29</v>
      </c>
      <c r="F31" s="660" t="s">
        <v>26</v>
      </c>
      <c r="G31" s="661">
        <f>SUMIF('4.1 Program Budget - 2024-2027'!$A$7:$A$181,'4.2 Program Budget 2028-2031'!A31,'4.1 Program Budget - 2024-2027'!$BX$7:$BX$181)</f>
        <v>0</v>
      </c>
      <c r="H31" s="662">
        <v>3.2000000000000001E-2</v>
      </c>
      <c r="I31" s="663">
        <f t="shared" si="9"/>
        <v>0</v>
      </c>
      <c r="J31" s="425" t="s">
        <v>343</v>
      </c>
      <c r="K31" s="425" t="s">
        <v>343</v>
      </c>
      <c r="L31" s="425" t="s">
        <v>343</v>
      </c>
      <c r="M31" s="425" t="s">
        <v>343</v>
      </c>
      <c r="N31" s="425" t="s">
        <v>343</v>
      </c>
      <c r="O31" s="425" t="s">
        <v>343</v>
      </c>
      <c r="P31" s="425" t="s">
        <v>343</v>
      </c>
      <c r="Q31" s="425" t="s">
        <v>343</v>
      </c>
      <c r="R31" s="425" t="s">
        <v>343</v>
      </c>
      <c r="S31" s="421" t="s">
        <v>343</v>
      </c>
      <c r="T31" s="663">
        <f t="shared" si="10"/>
        <v>0</v>
      </c>
      <c r="U31" s="425" t="s">
        <v>342</v>
      </c>
      <c r="V31" s="425" t="s">
        <v>342</v>
      </c>
      <c r="W31" s="425" t="s">
        <v>342</v>
      </c>
      <c r="X31" s="425" t="s">
        <v>342</v>
      </c>
      <c r="Y31" s="425" t="s">
        <v>342</v>
      </c>
      <c r="Z31" s="425" t="s">
        <v>342</v>
      </c>
      <c r="AA31" s="425" t="s">
        <v>342</v>
      </c>
      <c r="AB31" s="425" t="s">
        <v>342</v>
      </c>
      <c r="AC31" s="425" t="s">
        <v>342</v>
      </c>
      <c r="AD31" s="421" t="s">
        <v>511</v>
      </c>
      <c r="AE31" s="664">
        <f t="shared" si="11"/>
        <v>0</v>
      </c>
      <c r="AF31" s="425" t="s">
        <v>511</v>
      </c>
      <c r="AG31" s="425" t="s">
        <v>511</v>
      </c>
      <c r="AH31" s="425" t="s">
        <v>511</v>
      </c>
      <c r="AI31" s="425" t="s">
        <v>511</v>
      </c>
      <c r="AJ31" s="425" t="s">
        <v>511</v>
      </c>
      <c r="AK31" s="425" t="s">
        <v>511</v>
      </c>
      <c r="AL31" s="425" t="s">
        <v>511</v>
      </c>
      <c r="AM31" s="425" t="s">
        <v>511</v>
      </c>
      <c r="AN31" s="425" t="s">
        <v>511</v>
      </c>
      <c r="AO31" s="421" t="s">
        <v>511</v>
      </c>
      <c r="AP31" s="663">
        <f t="shared" si="12"/>
        <v>0</v>
      </c>
      <c r="AQ31" s="425" t="s">
        <v>511</v>
      </c>
      <c r="AR31" s="425" t="s">
        <v>511</v>
      </c>
      <c r="AS31" s="425" t="s">
        <v>511</v>
      </c>
      <c r="AT31" s="425" t="s">
        <v>511</v>
      </c>
      <c r="AU31" s="425" t="s">
        <v>511</v>
      </c>
      <c r="AV31" s="425" t="s">
        <v>511</v>
      </c>
      <c r="AW31" s="425" t="s">
        <v>511</v>
      </c>
      <c r="AX31" s="425" t="s">
        <v>511</v>
      </c>
      <c r="AY31" s="425" t="s">
        <v>511</v>
      </c>
      <c r="AZ31" s="421" t="s">
        <v>511</v>
      </c>
    </row>
    <row r="32" spans="1:52" s="365" customFormat="1">
      <c r="A32" s="657" t="str">
        <f t="shared" si="0"/>
        <v>PublicEquity</v>
      </c>
      <c r="B32" s="437"/>
      <c r="C32" s="472"/>
      <c r="D32" s="665" t="s">
        <v>30</v>
      </c>
      <c r="E32" s="659" t="s">
        <v>30</v>
      </c>
      <c r="F32" s="660" t="s">
        <v>26</v>
      </c>
      <c r="G32" s="661">
        <f>SUMIF('4.1 Program Budget - 2024-2027'!$A$7:$A$181,'4.2 Program Budget 2028-2031'!A32,'4.1 Program Budget - 2024-2027'!$BX$7:$BX$181)</f>
        <v>0</v>
      </c>
      <c r="H32" s="662">
        <v>3.2000000000000001E-2</v>
      </c>
      <c r="I32" s="663">
        <f t="shared" si="9"/>
        <v>0</v>
      </c>
      <c r="J32" s="425" t="s">
        <v>343</v>
      </c>
      <c r="K32" s="425" t="s">
        <v>343</v>
      </c>
      <c r="L32" s="425" t="s">
        <v>343</v>
      </c>
      <c r="M32" s="425" t="s">
        <v>343</v>
      </c>
      <c r="N32" s="425" t="s">
        <v>343</v>
      </c>
      <c r="O32" s="425" t="s">
        <v>343</v>
      </c>
      <c r="P32" s="425" t="s">
        <v>343</v>
      </c>
      <c r="Q32" s="425" t="s">
        <v>343</v>
      </c>
      <c r="R32" s="425" t="s">
        <v>343</v>
      </c>
      <c r="S32" s="421" t="s">
        <v>343</v>
      </c>
      <c r="T32" s="663">
        <f t="shared" si="10"/>
        <v>0</v>
      </c>
      <c r="U32" s="425" t="s">
        <v>342</v>
      </c>
      <c r="V32" s="425" t="s">
        <v>342</v>
      </c>
      <c r="W32" s="425" t="s">
        <v>342</v>
      </c>
      <c r="X32" s="425" t="s">
        <v>342</v>
      </c>
      <c r="Y32" s="425" t="s">
        <v>342</v>
      </c>
      <c r="Z32" s="425" t="s">
        <v>342</v>
      </c>
      <c r="AA32" s="425" t="s">
        <v>342</v>
      </c>
      <c r="AB32" s="425" t="s">
        <v>342</v>
      </c>
      <c r="AC32" s="425" t="s">
        <v>342</v>
      </c>
      <c r="AD32" s="421" t="s">
        <v>511</v>
      </c>
      <c r="AE32" s="664">
        <f t="shared" si="11"/>
        <v>0</v>
      </c>
      <c r="AF32" s="425" t="s">
        <v>511</v>
      </c>
      <c r="AG32" s="425" t="s">
        <v>511</v>
      </c>
      <c r="AH32" s="425" t="s">
        <v>511</v>
      </c>
      <c r="AI32" s="425" t="s">
        <v>511</v>
      </c>
      <c r="AJ32" s="425" t="s">
        <v>511</v>
      </c>
      <c r="AK32" s="425" t="s">
        <v>511</v>
      </c>
      <c r="AL32" s="425" t="s">
        <v>511</v>
      </c>
      <c r="AM32" s="425" t="s">
        <v>511</v>
      </c>
      <c r="AN32" s="425" t="s">
        <v>511</v>
      </c>
      <c r="AO32" s="421" t="s">
        <v>511</v>
      </c>
      <c r="AP32" s="663">
        <f t="shared" si="12"/>
        <v>0</v>
      </c>
      <c r="AQ32" s="425" t="s">
        <v>511</v>
      </c>
      <c r="AR32" s="425" t="s">
        <v>511</v>
      </c>
      <c r="AS32" s="425" t="s">
        <v>511</v>
      </c>
      <c r="AT32" s="425" t="s">
        <v>511</v>
      </c>
      <c r="AU32" s="425" t="s">
        <v>511</v>
      </c>
      <c r="AV32" s="425" t="s">
        <v>511</v>
      </c>
      <c r="AW32" s="425" t="s">
        <v>511</v>
      </c>
      <c r="AX32" s="425" t="s">
        <v>511</v>
      </c>
      <c r="AY32" s="425" t="s">
        <v>511</v>
      </c>
      <c r="AZ32" s="421" t="s">
        <v>511</v>
      </c>
    </row>
    <row r="33" spans="1:52" s="365" customFormat="1">
      <c r="A33" s="657" t="str">
        <f t="shared" si="0"/>
        <v>WE&amp;TEquity</v>
      </c>
      <c r="B33" s="437"/>
      <c r="C33" s="472"/>
      <c r="D33" s="665" t="s">
        <v>32</v>
      </c>
      <c r="E33" s="659" t="s">
        <v>32</v>
      </c>
      <c r="F33" s="660" t="s">
        <v>26</v>
      </c>
      <c r="G33" s="661">
        <f>SUMIF('4.1 Program Budget - 2024-2027'!$A$7:$A$181,'4.2 Program Budget 2028-2031'!A33,'4.1 Program Budget - 2024-2027'!$BX$7:$BX$181)</f>
        <v>1225957.977954674</v>
      </c>
      <c r="H33" s="662">
        <v>3.2000000000000001E-2</v>
      </c>
      <c r="I33" s="663">
        <f t="shared" si="9"/>
        <v>1265188.6332492237</v>
      </c>
      <c r="J33" s="425" t="s">
        <v>343</v>
      </c>
      <c r="K33" s="425" t="s">
        <v>343</v>
      </c>
      <c r="L33" s="425" t="s">
        <v>343</v>
      </c>
      <c r="M33" s="425" t="s">
        <v>343</v>
      </c>
      <c r="N33" s="425" t="s">
        <v>343</v>
      </c>
      <c r="O33" s="425" t="s">
        <v>343</v>
      </c>
      <c r="P33" s="425" t="s">
        <v>343</v>
      </c>
      <c r="Q33" s="425" t="s">
        <v>343</v>
      </c>
      <c r="R33" s="425" t="s">
        <v>343</v>
      </c>
      <c r="S33" s="421" t="s">
        <v>343</v>
      </c>
      <c r="T33" s="663">
        <f t="shared" si="10"/>
        <v>1305674.6695131988</v>
      </c>
      <c r="U33" s="425" t="s">
        <v>342</v>
      </c>
      <c r="V33" s="425" t="s">
        <v>342</v>
      </c>
      <c r="W33" s="425" t="s">
        <v>342</v>
      </c>
      <c r="X33" s="425" t="s">
        <v>342</v>
      </c>
      <c r="Y33" s="425" t="s">
        <v>342</v>
      </c>
      <c r="Z33" s="425" t="s">
        <v>342</v>
      </c>
      <c r="AA33" s="425" t="s">
        <v>342</v>
      </c>
      <c r="AB33" s="425" t="s">
        <v>342</v>
      </c>
      <c r="AC33" s="425" t="s">
        <v>342</v>
      </c>
      <c r="AD33" s="421" t="s">
        <v>511</v>
      </c>
      <c r="AE33" s="664">
        <f t="shared" si="11"/>
        <v>1347456.2589376213</v>
      </c>
      <c r="AF33" s="425" t="s">
        <v>511</v>
      </c>
      <c r="AG33" s="425" t="s">
        <v>511</v>
      </c>
      <c r="AH33" s="425" t="s">
        <v>511</v>
      </c>
      <c r="AI33" s="425" t="s">
        <v>511</v>
      </c>
      <c r="AJ33" s="425" t="s">
        <v>511</v>
      </c>
      <c r="AK33" s="425" t="s">
        <v>511</v>
      </c>
      <c r="AL33" s="425" t="s">
        <v>511</v>
      </c>
      <c r="AM33" s="425" t="s">
        <v>511</v>
      </c>
      <c r="AN33" s="425" t="s">
        <v>511</v>
      </c>
      <c r="AO33" s="421" t="s">
        <v>511</v>
      </c>
      <c r="AP33" s="663">
        <f t="shared" si="12"/>
        <v>1390574.8592236252</v>
      </c>
      <c r="AQ33" s="425" t="s">
        <v>511</v>
      </c>
      <c r="AR33" s="425" t="s">
        <v>511</v>
      </c>
      <c r="AS33" s="425" t="s">
        <v>511</v>
      </c>
      <c r="AT33" s="425" t="s">
        <v>511</v>
      </c>
      <c r="AU33" s="425" t="s">
        <v>511</v>
      </c>
      <c r="AV33" s="425" t="s">
        <v>511</v>
      </c>
      <c r="AW33" s="425" t="s">
        <v>511</v>
      </c>
      <c r="AX33" s="425" t="s">
        <v>511</v>
      </c>
      <c r="AY33" s="425" t="s">
        <v>511</v>
      </c>
      <c r="AZ33" s="421" t="s">
        <v>511</v>
      </c>
    </row>
    <row r="34" spans="1:52" s="365" customFormat="1">
      <c r="A34" s="657" t="str">
        <f t="shared" si="0"/>
        <v>FinanceEquity</v>
      </c>
      <c r="B34" s="437"/>
      <c r="C34" s="472"/>
      <c r="D34" s="665" t="s">
        <v>34</v>
      </c>
      <c r="E34" s="659" t="s">
        <v>34</v>
      </c>
      <c r="F34" s="660" t="s">
        <v>26</v>
      </c>
      <c r="G34" s="661">
        <f>SUMIF('4.1 Program Budget - 2024-2027'!$A$7:$A$181,'4.2 Program Budget 2028-2031'!A34,'4.1 Program Budget - 2024-2027'!$BX$7:$BX$181)</f>
        <v>0</v>
      </c>
      <c r="H34" s="662">
        <v>3.2000000000000001E-2</v>
      </c>
      <c r="I34" s="663">
        <f t="shared" si="9"/>
        <v>0</v>
      </c>
      <c r="J34" s="425" t="s">
        <v>343</v>
      </c>
      <c r="K34" s="425" t="s">
        <v>343</v>
      </c>
      <c r="L34" s="425" t="s">
        <v>343</v>
      </c>
      <c r="M34" s="425" t="s">
        <v>343</v>
      </c>
      <c r="N34" s="425" t="s">
        <v>343</v>
      </c>
      <c r="O34" s="425" t="s">
        <v>343</v>
      </c>
      <c r="P34" s="425" t="s">
        <v>343</v>
      </c>
      <c r="Q34" s="425" t="s">
        <v>343</v>
      </c>
      <c r="R34" s="425" t="s">
        <v>343</v>
      </c>
      <c r="S34" s="421" t="s">
        <v>343</v>
      </c>
      <c r="T34" s="663">
        <f t="shared" si="10"/>
        <v>0</v>
      </c>
      <c r="U34" s="425" t="s">
        <v>342</v>
      </c>
      <c r="V34" s="425" t="s">
        <v>342</v>
      </c>
      <c r="W34" s="425" t="s">
        <v>342</v>
      </c>
      <c r="X34" s="425" t="s">
        <v>342</v>
      </c>
      <c r="Y34" s="425" t="s">
        <v>342</v>
      </c>
      <c r="Z34" s="425" t="s">
        <v>342</v>
      </c>
      <c r="AA34" s="425" t="s">
        <v>342</v>
      </c>
      <c r="AB34" s="425" t="s">
        <v>342</v>
      </c>
      <c r="AC34" s="425" t="s">
        <v>342</v>
      </c>
      <c r="AD34" s="421" t="s">
        <v>511</v>
      </c>
      <c r="AE34" s="664">
        <f t="shared" si="11"/>
        <v>0</v>
      </c>
      <c r="AF34" s="425" t="s">
        <v>511</v>
      </c>
      <c r="AG34" s="425" t="s">
        <v>511</v>
      </c>
      <c r="AH34" s="425" t="s">
        <v>511</v>
      </c>
      <c r="AI34" s="425" t="s">
        <v>511</v>
      </c>
      <c r="AJ34" s="425" t="s">
        <v>511</v>
      </c>
      <c r="AK34" s="425" t="s">
        <v>511</v>
      </c>
      <c r="AL34" s="425" t="s">
        <v>511</v>
      </c>
      <c r="AM34" s="425" t="s">
        <v>511</v>
      </c>
      <c r="AN34" s="425" t="s">
        <v>511</v>
      </c>
      <c r="AO34" s="421" t="s">
        <v>511</v>
      </c>
      <c r="AP34" s="663">
        <f t="shared" si="12"/>
        <v>0</v>
      </c>
      <c r="AQ34" s="425" t="s">
        <v>511</v>
      </c>
      <c r="AR34" s="425" t="s">
        <v>511</v>
      </c>
      <c r="AS34" s="425" t="s">
        <v>511</v>
      </c>
      <c r="AT34" s="425" t="s">
        <v>511</v>
      </c>
      <c r="AU34" s="425" t="s">
        <v>511</v>
      </c>
      <c r="AV34" s="425" t="s">
        <v>511</v>
      </c>
      <c r="AW34" s="425" t="s">
        <v>511</v>
      </c>
      <c r="AX34" s="425" t="s">
        <v>511</v>
      </c>
      <c r="AY34" s="425" t="s">
        <v>511</v>
      </c>
      <c r="AZ34" s="421" t="s">
        <v>511</v>
      </c>
    </row>
    <row r="35" spans="1:52" s="365" customFormat="1">
      <c r="A35" s="657" t="str">
        <f t="shared" si="0"/>
        <v>OBF Loan PoolEquity</v>
      </c>
      <c r="B35" s="408"/>
      <c r="C35" s="470"/>
      <c r="D35" s="658" t="s">
        <v>36</v>
      </c>
      <c r="E35" s="659" t="s">
        <v>36</v>
      </c>
      <c r="F35" s="660" t="s">
        <v>26</v>
      </c>
      <c r="G35" s="661">
        <f>SUMIF('4.1 Program Budget - 2024-2027'!$A$7:$A$181,'4.2 Program Budget 2028-2031'!A35,'4.1 Program Budget - 2024-2027'!$BX$7:$BX$181)</f>
        <v>0</v>
      </c>
      <c r="H35" s="662">
        <v>3.2000000000000001E-2</v>
      </c>
      <c r="I35" s="663">
        <f t="shared" si="9"/>
        <v>0</v>
      </c>
      <c r="J35" s="425" t="s">
        <v>343</v>
      </c>
      <c r="K35" s="425" t="s">
        <v>343</v>
      </c>
      <c r="L35" s="425" t="s">
        <v>343</v>
      </c>
      <c r="M35" s="425" t="s">
        <v>343</v>
      </c>
      <c r="N35" s="425" t="s">
        <v>343</v>
      </c>
      <c r="O35" s="425" t="s">
        <v>343</v>
      </c>
      <c r="P35" s="425" t="s">
        <v>343</v>
      </c>
      <c r="Q35" s="425" t="s">
        <v>343</v>
      </c>
      <c r="R35" s="425" t="s">
        <v>343</v>
      </c>
      <c r="S35" s="421" t="s">
        <v>343</v>
      </c>
      <c r="T35" s="663">
        <f t="shared" si="10"/>
        <v>0</v>
      </c>
      <c r="U35" s="425" t="s">
        <v>342</v>
      </c>
      <c r="V35" s="425" t="s">
        <v>342</v>
      </c>
      <c r="W35" s="425" t="s">
        <v>342</v>
      </c>
      <c r="X35" s="425" t="s">
        <v>342</v>
      </c>
      <c r="Y35" s="425" t="s">
        <v>342</v>
      </c>
      <c r="Z35" s="425" t="s">
        <v>342</v>
      </c>
      <c r="AA35" s="425" t="s">
        <v>342</v>
      </c>
      <c r="AB35" s="425" t="s">
        <v>342</v>
      </c>
      <c r="AC35" s="425" t="s">
        <v>342</v>
      </c>
      <c r="AD35" s="421" t="s">
        <v>511</v>
      </c>
      <c r="AE35" s="664">
        <f t="shared" si="11"/>
        <v>0</v>
      </c>
      <c r="AF35" s="425" t="s">
        <v>511</v>
      </c>
      <c r="AG35" s="425" t="s">
        <v>511</v>
      </c>
      <c r="AH35" s="425" t="s">
        <v>511</v>
      </c>
      <c r="AI35" s="425" t="s">
        <v>511</v>
      </c>
      <c r="AJ35" s="425" t="s">
        <v>511</v>
      </c>
      <c r="AK35" s="425" t="s">
        <v>511</v>
      </c>
      <c r="AL35" s="425" t="s">
        <v>511</v>
      </c>
      <c r="AM35" s="425" t="s">
        <v>511</v>
      </c>
      <c r="AN35" s="425" t="s">
        <v>511</v>
      </c>
      <c r="AO35" s="421" t="s">
        <v>511</v>
      </c>
      <c r="AP35" s="663">
        <f t="shared" si="12"/>
        <v>0</v>
      </c>
      <c r="AQ35" s="434" t="s">
        <v>511</v>
      </c>
      <c r="AR35" s="434" t="s">
        <v>511</v>
      </c>
      <c r="AS35" s="434" t="s">
        <v>511</v>
      </c>
      <c r="AT35" s="434" t="s">
        <v>511</v>
      </c>
      <c r="AU35" s="434" t="s">
        <v>511</v>
      </c>
      <c r="AV35" s="434" t="s">
        <v>511</v>
      </c>
      <c r="AW35" s="434" t="s">
        <v>511</v>
      </c>
      <c r="AX35" s="434" t="s">
        <v>511</v>
      </c>
      <c r="AY35" s="434" t="s">
        <v>511</v>
      </c>
      <c r="AZ35" s="421" t="s">
        <v>511</v>
      </c>
    </row>
    <row r="36" spans="1:52" s="365" customFormat="1">
      <c r="A36" s="657" t="str">
        <f t="shared" si="0"/>
        <v/>
      </c>
      <c r="B36" s="408"/>
      <c r="C36" s="470"/>
      <c r="D36" s="676"/>
      <c r="E36" s="668"/>
      <c r="F36" s="669"/>
      <c r="G36" s="670"/>
      <c r="H36" s="677"/>
      <c r="I36" s="678"/>
      <c r="J36" s="679"/>
      <c r="K36" s="679"/>
      <c r="L36" s="679"/>
      <c r="M36" s="679"/>
      <c r="N36" s="679"/>
      <c r="O36" s="679"/>
      <c r="P36" s="679"/>
      <c r="Q36" s="679"/>
      <c r="R36" s="679"/>
      <c r="S36" s="680"/>
      <c r="T36" s="678"/>
      <c r="U36" s="679"/>
      <c r="V36" s="679"/>
      <c r="W36" s="679"/>
      <c r="X36" s="679"/>
      <c r="Y36" s="679"/>
      <c r="Z36" s="679"/>
      <c r="AA36" s="679"/>
      <c r="AB36" s="679"/>
      <c r="AC36" s="679"/>
      <c r="AD36" s="680"/>
      <c r="AE36" s="681"/>
      <c r="AF36" s="679"/>
      <c r="AG36" s="679"/>
      <c r="AH36" s="679"/>
      <c r="AI36" s="679"/>
      <c r="AJ36" s="679"/>
      <c r="AK36" s="679"/>
      <c r="AL36" s="679"/>
      <c r="AM36" s="679"/>
      <c r="AN36" s="679"/>
      <c r="AO36" s="680"/>
      <c r="AP36" s="678"/>
      <c r="AQ36" s="679"/>
      <c r="AR36" s="679"/>
      <c r="AS36" s="679"/>
      <c r="AT36" s="679"/>
      <c r="AU36" s="679"/>
      <c r="AV36" s="679"/>
      <c r="AW36" s="679"/>
      <c r="AX36" s="679"/>
      <c r="AY36" s="679"/>
      <c r="AZ36" s="680"/>
    </row>
    <row r="37" spans="1:52" s="365" customFormat="1">
      <c r="A37" s="657" t="str">
        <f t="shared" si="0"/>
        <v>Codes &amp; StandardsCodes &amp; Standards</v>
      </c>
      <c r="B37" s="408"/>
      <c r="C37" s="470"/>
      <c r="D37" s="658" t="s">
        <v>28</v>
      </c>
      <c r="E37" s="659" t="s">
        <v>678</v>
      </c>
      <c r="F37" s="660" t="s">
        <v>28</v>
      </c>
      <c r="G37" s="661">
        <f>SUMIF('4.1 Program Budget - 2024-2027'!$A$7:$A$181,'4.2 Program Budget 2028-2031'!A37,'4.1 Program Budget - 2024-2027'!$BX$7:$BX$181)</f>
        <v>1461901.3288</v>
      </c>
      <c r="H37" s="662">
        <v>3.2000000000000001E-2</v>
      </c>
      <c r="I37" s="663">
        <f>G37*(1+H37)</f>
        <v>1508682.1713216</v>
      </c>
      <c r="J37" s="425" t="s">
        <v>342</v>
      </c>
      <c r="K37" s="425" t="s">
        <v>342</v>
      </c>
      <c r="L37" s="425">
        <v>14565298.67</v>
      </c>
      <c r="M37" s="425" t="s">
        <v>342</v>
      </c>
      <c r="N37" s="425">
        <v>85207</v>
      </c>
      <c r="O37" s="425" t="s">
        <v>342</v>
      </c>
      <c r="P37" s="425">
        <v>245731283.87</v>
      </c>
      <c r="Q37" s="425" t="s">
        <v>342</v>
      </c>
      <c r="R37" s="425">
        <v>1437528.01</v>
      </c>
      <c r="S37" s="421" t="s">
        <v>342</v>
      </c>
      <c r="T37" s="663">
        <f>I37*(1+$H37)</f>
        <v>1556960.0008038911</v>
      </c>
      <c r="U37" s="425" t="s">
        <v>343</v>
      </c>
      <c r="V37" s="425" t="s">
        <v>343</v>
      </c>
      <c r="W37" s="425">
        <v>14565298.67</v>
      </c>
      <c r="X37" s="425" t="s">
        <v>343</v>
      </c>
      <c r="Y37" s="425">
        <v>85207</v>
      </c>
      <c r="Z37" s="425" t="s">
        <v>343</v>
      </c>
      <c r="AA37" s="425">
        <v>245731283.87</v>
      </c>
      <c r="AB37" s="425" t="s">
        <v>343</v>
      </c>
      <c r="AC37" s="425">
        <v>1437528.01</v>
      </c>
      <c r="AD37" s="421" t="s">
        <v>343</v>
      </c>
      <c r="AE37" s="664">
        <f>T37*(1+$H37)</f>
        <v>1606782.7208296156</v>
      </c>
      <c r="AF37" s="425" t="s">
        <v>343</v>
      </c>
      <c r="AG37" s="425" t="s">
        <v>343</v>
      </c>
      <c r="AH37" s="425">
        <v>14565298.67</v>
      </c>
      <c r="AI37" s="425" t="s">
        <v>343</v>
      </c>
      <c r="AJ37" s="425">
        <v>85207</v>
      </c>
      <c r="AK37" s="425" t="s">
        <v>343</v>
      </c>
      <c r="AL37" s="425">
        <v>245731283.87</v>
      </c>
      <c r="AM37" s="425" t="s">
        <v>343</v>
      </c>
      <c r="AN37" s="425">
        <v>1437528.01</v>
      </c>
      <c r="AO37" s="421" t="s">
        <v>343</v>
      </c>
      <c r="AP37" s="663">
        <f>AE37*(1+$H37)</f>
        <v>1658199.7678961633</v>
      </c>
      <c r="AQ37" s="434" t="s">
        <v>343</v>
      </c>
      <c r="AR37" s="434" t="s">
        <v>343</v>
      </c>
      <c r="AS37" s="434">
        <v>14565298.67</v>
      </c>
      <c r="AT37" s="434" t="s">
        <v>343</v>
      </c>
      <c r="AU37" s="434">
        <v>85207</v>
      </c>
      <c r="AV37" s="434" t="s">
        <v>343</v>
      </c>
      <c r="AW37" s="434">
        <v>245731283.87</v>
      </c>
      <c r="AX37" s="434" t="s">
        <v>343</v>
      </c>
      <c r="AY37" s="434">
        <v>1437528.01</v>
      </c>
      <c r="AZ37" s="431" t="s">
        <v>343</v>
      </c>
    </row>
    <row r="38" spans="1:52" s="491" customFormat="1" ht="18" customHeight="1">
      <c r="A38" s="682"/>
      <c r="B38" s="476"/>
      <c r="C38" s="477"/>
      <c r="D38" s="478" t="s">
        <v>648</v>
      </c>
      <c r="E38" s="526"/>
      <c r="F38" s="526"/>
      <c r="G38" s="683">
        <f>SUM(G7:G37)</f>
        <v>148442489.09514406</v>
      </c>
      <c r="H38" s="684"/>
      <c r="I38" s="685">
        <f>SUM(I7:I37)</f>
        <v>153192648.74618867</v>
      </c>
      <c r="J38" s="486">
        <f t="shared" ref="J38:AZ38" si="13">SUM(J7:J37)</f>
        <v>24107188.540000003</v>
      </c>
      <c r="K38" s="486">
        <f t="shared" si="13"/>
        <v>5685.0999999999995</v>
      </c>
      <c r="L38" s="486">
        <f t="shared" si="13"/>
        <v>45058335.539999999</v>
      </c>
      <c r="M38" s="486">
        <f t="shared" ref="M38" si="14">SUM(M7:M37)</f>
        <v>5309.04</v>
      </c>
      <c r="N38" s="486">
        <f t="shared" ref="N38" si="15">SUM(N7:N37)</f>
        <v>263591.54000000004</v>
      </c>
      <c r="O38" s="486">
        <f t="shared" si="13"/>
        <v>227465274.15000001</v>
      </c>
      <c r="P38" s="486">
        <f t="shared" si="13"/>
        <v>425900348.51999998</v>
      </c>
      <c r="Q38" s="486">
        <f t="shared" ref="Q38" si="16">SUM(Q7:Q37)</f>
        <v>53235.69</v>
      </c>
      <c r="R38" s="486">
        <f t="shared" ref="R38:S38" si="17">SUM(R7:R37)</f>
        <v>2491517.1799999997</v>
      </c>
      <c r="S38" s="487">
        <f t="shared" si="17"/>
        <v>0</v>
      </c>
      <c r="T38" s="685">
        <f t="shared" si="13"/>
        <v>158094813.50606674</v>
      </c>
      <c r="U38" s="486">
        <f t="shared" si="13"/>
        <v>24541199.989999998</v>
      </c>
      <c r="V38" s="486">
        <f t="shared" si="13"/>
        <v>5783.28</v>
      </c>
      <c r="W38" s="486">
        <f t="shared" si="13"/>
        <v>45999672.770000003</v>
      </c>
      <c r="X38" s="486">
        <f t="shared" si="13"/>
        <v>4918.9799999999996</v>
      </c>
      <c r="Y38" s="486">
        <f t="shared" si="13"/>
        <v>269097.49</v>
      </c>
      <c r="Z38" s="486">
        <f t="shared" si="13"/>
        <v>230453719.77000001</v>
      </c>
      <c r="AA38" s="486">
        <f t="shared" si="13"/>
        <v>431162325.46000004</v>
      </c>
      <c r="AB38" s="486">
        <f t="shared" si="13"/>
        <v>54675.91</v>
      </c>
      <c r="AC38" s="486">
        <f t="shared" si="13"/>
        <v>2522300.73</v>
      </c>
      <c r="AD38" s="487">
        <f t="shared" si="13"/>
        <v>0</v>
      </c>
      <c r="AE38" s="685">
        <f t="shared" si="13"/>
        <v>163153847.53826082</v>
      </c>
      <c r="AF38" s="486">
        <f t="shared" si="13"/>
        <v>24989094.960000001</v>
      </c>
      <c r="AG38" s="486">
        <f t="shared" si="13"/>
        <v>5882.94</v>
      </c>
      <c r="AH38" s="486">
        <f t="shared" si="13"/>
        <v>46971131.229999997</v>
      </c>
      <c r="AI38" s="486">
        <f t="shared" si="13"/>
        <v>5022.72</v>
      </c>
      <c r="AJ38" s="486">
        <f t="shared" si="13"/>
        <v>274780.83999999997</v>
      </c>
      <c r="AK38" s="486">
        <f t="shared" si="13"/>
        <v>233537799.75999999</v>
      </c>
      <c r="AL38" s="486">
        <f t="shared" si="13"/>
        <v>436592686.12</v>
      </c>
      <c r="AM38" s="486">
        <f t="shared" si="13"/>
        <v>56754.84</v>
      </c>
      <c r="AN38" s="486">
        <f t="shared" si="13"/>
        <v>2554068.15</v>
      </c>
      <c r="AO38" s="487">
        <f t="shared" si="13"/>
        <v>0</v>
      </c>
      <c r="AP38" s="685">
        <f t="shared" si="13"/>
        <v>168374770.65948522</v>
      </c>
      <c r="AQ38" s="486">
        <f t="shared" si="13"/>
        <v>25451328.289999999</v>
      </c>
      <c r="AR38" s="486">
        <f t="shared" si="13"/>
        <v>5984.71</v>
      </c>
      <c r="AS38" s="486">
        <f t="shared" si="13"/>
        <v>47973676.909999996</v>
      </c>
      <c r="AT38" s="486">
        <f t="shared" si="13"/>
        <v>5364.71</v>
      </c>
      <c r="AU38" s="486">
        <f t="shared" si="13"/>
        <v>280646.64</v>
      </c>
      <c r="AV38" s="486">
        <f t="shared" si="13"/>
        <v>236720569.30000001</v>
      </c>
      <c r="AW38" s="486">
        <f t="shared" si="13"/>
        <v>442196814.89999998</v>
      </c>
      <c r="AX38" s="486">
        <f t="shared" si="13"/>
        <v>58721.39</v>
      </c>
      <c r="AY38" s="486">
        <f t="shared" si="13"/>
        <v>2586852.2400000002</v>
      </c>
      <c r="AZ38" s="487">
        <f t="shared" si="13"/>
        <v>0</v>
      </c>
    </row>
    <row r="39" spans="1:52" s="491" customFormat="1" ht="18" customHeight="1">
      <c r="B39" s="492"/>
      <c r="C39" s="493"/>
      <c r="D39" s="494"/>
      <c r="E39" s="495"/>
      <c r="F39" s="496"/>
      <c r="G39" s="496"/>
      <c r="H39" s="494"/>
      <c r="I39" s="498"/>
      <c r="J39" s="501"/>
      <c r="K39" s="501"/>
      <c r="L39" s="501"/>
      <c r="M39" s="501"/>
      <c r="N39" s="501"/>
      <c r="O39" s="501"/>
      <c r="P39" s="501"/>
      <c r="Q39" s="501"/>
      <c r="R39" s="501"/>
      <c r="S39" s="501"/>
      <c r="T39" s="498"/>
      <c r="U39" s="501"/>
      <c r="V39" s="501"/>
      <c r="W39" s="501"/>
      <c r="X39" s="501"/>
      <c r="Y39" s="501"/>
      <c r="Z39" s="501"/>
      <c r="AA39" s="501"/>
      <c r="AB39" s="501"/>
      <c r="AC39" s="501"/>
      <c r="AD39" s="501"/>
      <c r="AE39" s="686"/>
      <c r="AF39" s="501"/>
      <c r="AG39" s="501"/>
      <c r="AH39" s="501"/>
      <c r="AI39" s="501"/>
      <c r="AJ39" s="501"/>
      <c r="AK39" s="501"/>
      <c r="AL39" s="501"/>
      <c r="AM39" s="501"/>
      <c r="AN39" s="501"/>
      <c r="AO39" s="501"/>
      <c r="AP39" s="498"/>
      <c r="AQ39" s="501"/>
      <c r="AR39" s="501"/>
      <c r="AS39" s="501"/>
      <c r="AT39" s="501"/>
      <c r="AU39" s="501"/>
      <c r="AV39" s="501"/>
      <c r="AW39" s="501"/>
      <c r="AX39" s="501"/>
      <c r="AY39" s="501"/>
      <c r="AZ39" s="501"/>
    </row>
    <row r="40" spans="1:52" s="491" customFormat="1" ht="18" customHeight="1">
      <c r="B40" s="503"/>
      <c r="C40" s="504"/>
      <c r="D40" s="505" t="s">
        <v>649</v>
      </c>
      <c r="E40" s="507"/>
      <c r="F40" s="508"/>
      <c r="G40" s="508"/>
      <c r="H40" s="509"/>
      <c r="I40" s="506"/>
      <c r="J40" s="513"/>
      <c r="K40" s="513"/>
      <c r="L40" s="513"/>
      <c r="M40" s="513"/>
      <c r="N40" s="513"/>
      <c r="O40" s="513"/>
      <c r="P40" s="513"/>
      <c r="Q40" s="513"/>
      <c r="R40" s="513"/>
      <c r="S40" s="513"/>
      <c r="T40" s="506"/>
      <c r="U40" s="513"/>
      <c r="V40" s="513"/>
      <c r="W40" s="513"/>
      <c r="X40" s="513"/>
      <c r="Y40" s="513"/>
      <c r="Z40" s="513"/>
      <c r="AA40" s="513"/>
      <c r="AB40" s="513"/>
      <c r="AC40" s="513"/>
      <c r="AD40" s="513"/>
      <c r="AE40" s="687"/>
      <c r="AF40" s="513"/>
      <c r="AG40" s="513"/>
      <c r="AH40" s="513"/>
      <c r="AI40" s="513"/>
      <c r="AJ40" s="513"/>
      <c r="AK40" s="513"/>
      <c r="AL40" s="513"/>
      <c r="AM40" s="513"/>
      <c r="AN40" s="513"/>
      <c r="AO40" s="513"/>
      <c r="AP40" s="506"/>
      <c r="AQ40" s="513"/>
      <c r="AR40" s="513"/>
      <c r="AS40" s="513"/>
      <c r="AT40" s="513"/>
      <c r="AU40" s="513"/>
      <c r="AV40" s="513"/>
      <c r="AW40" s="513"/>
      <c r="AX40" s="513"/>
      <c r="AY40" s="513"/>
      <c r="AZ40" s="513"/>
    </row>
    <row r="41" spans="1:52" s="365" customFormat="1">
      <c r="B41" s="492"/>
      <c r="C41" s="515"/>
      <c r="D41" s="516" t="s">
        <v>650</v>
      </c>
      <c r="E41" s="515"/>
      <c r="F41" s="518"/>
      <c r="G41" s="463">
        <f>'4.1 Program Budget - 2024-2027'!BU185</f>
        <v>1855531.1136893011</v>
      </c>
      <c r="H41" s="517"/>
      <c r="I41" s="463">
        <f>0.3*I43</f>
        <v>1914908.1093273582</v>
      </c>
      <c r="J41" s="522"/>
      <c r="K41" s="522"/>
      <c r="L41" s="522"/>
      <c r="M41" s="522"/>
      <c r="N41" s="522"/>
      <c r="O41" s="522"/>
      <c r="P41" s="522"/>
      <c r="Q41" s="522"/>
      <c r="R41" s="522"/>
      <c r="S41" s="522"/>
      <c r="T41" s="463">
        <f>0.3*T43</f>
        <v>1976185.1688258341</v>
      </c>
      <c r="U41" s="522"/>
      <c r="V41" s="522"/>
      <c r="W41" s="522"/>
      <c r="X41" s="522"/>
      <c r="Y41" s="522"/>
      <c r="Z41" s="522"/>
      <c r="AA41" s="522"/>
      <c r="AB41" s="522"/>
      <c r="AC41" s="522"/>
      <c r="AD41" s="522"/>
      <c r="AE41" s="688">
        <f>0.3*AE43</f>
        <v>2039423.09422826</v>
      </c>
      <c r="AF41" s="522"/>
      <c r="AG41" s="522"/>
      <c r="AH41" s="522"/>
      <c r="AI41" s="522"/>
      <c r="AJ41" s="522"/>
      <c r="AK41" s="522"/>
      <c r="AL41" s="522"/>
      <c r="AM41" s="522"/>
      <c r="AN41" s="522"/>
      <c r="AO41" s="522"/>
      <c r="AP41" s="463">
        <f>0.3*AP43</f>
        <v>2104684.633243565</v>
      </c>
      <c r="AQ41" s="522"/>
      <c r="AR41" s="522"/>
      <c r="AS41" s="522"/>
      <c r="AT41" s="522"/>
      <c r="AU41" s="522"/>
      <c r="AV41" s="522"/>
      <c r="AW41" s="522"/>
      <c r="AX41" s="522"/>
      <c r="AY41" s="522"/>
      <c r="AZ41" s="522"/>
    </row>
    <row r="42" spans="1:52" s="365" customFormat="1">
      <c r="B42" s="492"/>
      <c r="C42" s="515"/>
      <c r="D42" s="516" t="s">
        <v>651</v>
      </c>
      <c r="E42" s="515"/>
      <c r="F42" s="518"/>
      <c r="G42" s="463">
        <f>'4.1 Program Budget - 2024-2027'!BU186</f>
        <v>4329572.598608369</v>
      </c>
      <c r="H42" s="517"/>
      <c r="I42" s="463">
        <f>I43-I41</f>
        <v>4468118.9217638364</v>
      </c>
      <c r="J42" s="522"/>
      <c r="K42" s="522"/>
      <c r="L42" s="522"/>
      <c r="M42" s="522"/>
      <c r="N42" s="522"/>
      <c r="O42" s="522"/>
      <c r="P42" s="522"/>
      <c r="Q42" s="522"/>
      <c r="R42" s="522"/>
      <c r="S42" s="522"/>
      <c r="T42" s="463">
        <f>T43-T41</f>
        <v>4611098.7272602795</v>
      </c>
      <c r="U42" s="522"/>
      <c r="V42" s="522"/>
      <c r="W42" s="522"/>
      <c r="X42" s="522"/>
      <c r="Y42" s="522"/>
      <c r="Z42" s="522"/>
      <c r="AA42" s="522"/>
      <c r="AB42" s="522"/>
      <c r="AC42" s="522"/>
      <c r="AD42" s="522"/>
      <c r="AE42" s="688">
        <f>AE43-AE41</f>
        <v>4758653.8865326066</v>
      </c>
      <c r="AF42" s="522"/>
      <c r="AG42" s="522"/>
      <c r="AH42" s="522"/>
      <c r="AI42" s="522"/>
      <c r="AJ42" s="522"/>
      <c r="AK42" s="522"/>
      <c r="AL42" s="522"/>
      <c r="AM42" s="522"/>
      <c r="AN42" s="522"/>
      <c r="AO42" s="522"/>
      <c r="AP42" s="463">
        <f>AP43-AP41</f>
        <v>4910930.810901653</v>
      </c>
      <c r="AQ42" s="522"/>
      <c r="AR42" s="522"/>
      <c r="AS42" s="522"/>
      <c r="AT42" s="522"/>
      <c r="AU42" s="522"/>
      <c r="AV42" s="522"/>
      <c r="AW42" s="522"/>
      <c r="AX42" s="522"/>
      <c r="AY42" s="522"/>
      <c r="AZ42" s="522"/>
    </row>
    <row r="43" spans="1:52" s="491" customFormat="1" ht="18" customHeight="1">
      <c r="B43" s="476"/>
      <c r="C43" s="477"/>
      <c r="D43" s="478" t="s">
        <v>652</v>
      </c>
      <c r="E43" s="477" t="s">
        <v>679</v>
      </c>
      <c r="F43" s="526"/>
      <c r="G43" s="482">
        <f>'4.1 Program Budget - 2024-2027'!BU187</f>
        <v>6185103.7122976705</v>
      </c>
      <c r="H43" s="527"/>
      <c r="I43" s="482">
        <f>I38*(4/96)</f>
        <v>6383027.0310911946</v>
      </c>
      <c r="J43" s="531"/>
      <c r="K43" s="531"/>
      <c r="L43" s="531"/>
      <c r="M43" s="531"/>
      <c r="N43" s="531"/>
      <c r="O43" s="531"/>
      <c r="P43" s="531"/>
      <c r="Q43" s="531"/>
      <c r="R43" s="531"/>
      <c r="S43" s="531"/>
      <c r="T43" s="482">
        <f>T38*(4/96)</f>
        <v>6587283.8960861135</v>
      </c>
      <c r="U43" s="531"/>
      <c r="V43" s="531"/>
      <c r="W43" s="531"/>
      <c r="X43" s="531"/>
      <c r="Y43" s="531"/>
      <c r="Z43" s="531"/>
      <c r="AA43" s="531"/>
      <c r="AB43" s="531"/>
      <c r="AC43" s="531"/>
      <c r="AD43" s="531"/>
      <c r="AE43" s="689">
        <f>AE38*(4/96)</f>
        <v>6798076.9807608668</v>
      </c>
      <c r="AF43" s="531"/>
      <c r="AG43" s="531"/>
      <c r="AH43" s="531"/>
      <c r="AI43" s="531"/>
      <c r="AJ43" s="531"/>
      <c r="AK43" s="531"/>
      <c r="AL43" s="531"/>
      <c r="AM43" s="531"/>
      <c r="AN43" s="531"/>
      <c r="AO43" s="531"/>
      <c r="AP43" s="482">
        <f>AP38*(4/96)</f>
        <v>7015615.4441452175</v>
      </c>
      <c r="AQ43" s="531"/>
      <c r="AR43" s="531"/>
      <c r="AS43" s="531"/>
      <c r="AT43" s="531"/>
      <c r="AU43" s="531"/>
      <c r="AV43" s="531"/>
      <c r="AW43" s="531"/>
      <c r="AX43" s="531"/>
      <c r="AY43" s="531"/>
      <c r="AZ43" s="531"/>
    </row>
    <row r="44" spans="1:52" s="491" customFormat="1" ht="18" customHeight="1">
      <c r="B44" s="533"/>
      <c r="C44" s="534"/>
      <c r="D44" s="535"/>
      <c r="E44" s="495"/>
      <c r="F44" s="495"/>
      <c r="G44" s="495"/>
      <c r="H44" s="535"/>
      <c r="I44" s="537"/>
      <c r="J44" s="541"/>
      <c r="K44" s="541"/>
      <c r="L44" s="541"/>
      <c r="M44" s="541"/>
      <c r="N44" s="541"/>
      <c r="O44" s="541"/>
      <c r="P44" s="541"/>
      <c r="Q44" s="541"/>
      <c r="R44" s="541"/>
      <c r="S44" s="541"/>
      <c r="T44" s="537"/>
      <c r="U44" s="541"/>
      <c r="V44" s="541"/>
      <c r="W44" s="541"/>
      <c r="X44" s="541"/>
      <c r="Y44" s="541"/>
      <c r="Z44" s="541"/>
      <c r="AA44" s="541"/>
      <c r="AB44" s="541"/>
      <c r="AC44" s="541"/>
      <c r="AD44" s="541"/>
      <c r="AE44" s="690"/>
      <c r="AF44" s="541"/>
      <c r="AG44" s="541"/>
      <c r="AH44" s="541"/>
      <c r="AI44" s="541"/>
      <c r="AJ44" s="541"/>
      <c r="AK44" s="541"/>
      <c r="AL44" s="541"/>
      <c r="AM44" s="541"/>
      <c r="AN44" s="541"/>
      <c r="AO44" s="541"/>
      <c r="AP44" s="537"/>
      <c r="AQ44" s="541"/>
      <c r="AR44" s="541"/>
      <c r="AS44" s="541"/>
      <c r="AT44" s="541"/>
      <c r="AU44" s="541"/>
      <c r="AV44" s="541"/>
      <c r="AW44" s="541"/>
      <c r="AX44" s="541"/>
      <c r="AY44" s="541"/>
      <c r="AZ44" s="541"/>
    </row>
    <row r="45" spans="1:52" s="491" customFormat="1" ht="16.350000000000001" customHeight="1">
      <c r="B45" s="476"/>
      <c r="C45" s="477"/>
      <c r="D45" s="478" t="s">
        <v>680</v>
      </c>
      <c r="E45" s="526"/>
      <c r="F45" s="526"/>
      <c r="G45" s="482">
        <f t="shared" ref="G45:AD45" si="18">G38+G43</f>
        <v>154627592.80744174</v>
      </c>
      <c r="H45" s="527"/>
      <c r="I45" s="482">
        <f t="shared" si="18"/>
        <v>159575675.77727985</v>
      </c>
      <c r="J45" s="486">
        <f t="shared" si="18"/>
        <v>24107188.540000003</v>
      </c>
      <c r="K45" s="486">
        <f t="shared" si="18"/>
        <v>5685.0999999999995</v>
      </c>
      <c r="L45" s="486">
        <f t="shared" si="18"/>
        <v>45058335.539999999</v>
      </c>
      <c r="M45" s="486">
        <f t="shared" ref="M45" si="19">M38+M43</f>
        <v>5309.04</v>
      </c>
      <c r="N45" s="486">
        <f t="shared" ref="N45" si="20">N38+N43</f>
        <v>263591.54000000004</v>
      </c>
      <c r="O45" s="486">
        <f t="shared" si="18"/>
        <v>227465274.15000001</v>
      </c>
      <c r="P45" s="486">
        <f t="shared" si="18"/>
        <v>425900348.51999998</v>
      </c>
      <c r="Q45" s="486">
        <f t="shared" ref="Q45" si="21">Q38+Q43</f>
        <v>53235.69</v>
      </c>
      <c r="R45" s="486">
        <f t="shared" ref="R45:S45" si="22">R38+R43</f>
        <v>2491517.1799999997</v>
      </c>
      <c r="S45" s="487">
        <f t="shared" si="22"/>
        <v>0</v>
      </c>
      <c r="T45" s="482">
        <f t="shared" si="18"/>
        <v>164682097.40215287</v>
      </c>
      <c r="U45" s="486">
        <f t="shared" si="18"/>
        <v>24541199.989999998</v>
      </c>
      <c r="V45" s="486">
        <f t="shared" si="18"/>
        <v>5783.28</v>
      </c>
      <c r="W45" s="486">
        <f t="shared" si="18"/>
        <v>45999672.770000003</v>
      </c>
      <c r="X45" s="486">
        <f t="shared" si="18"/>
        <v>4918.9799999999996</v>
      </c>
      <c r="Y45" s="486">
        <f t="shared" si="18"/>
        <v>269097.49</v>
      </c>
      <c r="Z45" s="486">
        <f t="shared" si="18"/>
        <v>230453719.77000001</v>
      </c>
      <c r="AA45" s="486">
        <f t="shared" si="18"/>
        <v>431162325.46000004</v>
      </c>
      <c r="AB45" s="486">
        <f t="shared" si="18"/>
        <v>54675.91</v>
      </c>
      <c r="AC45" s="486">
        <f t="shared" si="18"/>
        <v>2522300.73</v>
      </c>
      <c r="AD45" s="487">
        <f t="shared" si="18"/>
        <v>0</v>
      </c>
      <c r="AE45" s="689">
        <f t="shared" ref="AE45:AW45" si="23">AE38+AE43</f>
        <v>169951924.51902169</v>
      </c>
      <c r="AF45" s="543">
        <f t="shared" si="23"/>
        <v>24989094.960000001</v>
      </c>
      <c r="AG45" s="486">
        <f t="shared" si="23"/>
        <v>5882.94</v>
      </c>
      <c r="AH45" s="486">
        <f t="shared" si="23"/>
        <v>46971131.229999997</v>
      </c>
      <c r="AI45" s="486">
        <f t="shared" si="23"/>
        <v>5022.72</v>
      </c>
      <c r="AJ45" s="486">
        <f t="shared" si="23"/>
        <v>274780.83999999997</v>
      </c>
      <c r="AK45" s="486">
        <f t="shared" si="23"/>
        <v>233537799.75999999</v>
      </c>
      <c r="AL45" s="486">
        <f t="shared" si="23"/>
        <v>436592686.12</v>
      </c>
      <c r="AM45" s="486">
        <f t="shared" si="23"/>
        <v>56754.84</v>
      </c>
      <c r="AN45" s="486">
        <f t="shared" si="23"/>
        <v>2554068.15</v>
      </c>
      <c r="AO45" s="486">
        <f t="shared" si="23"/>
        <v>0</v>
      </c>
      <c r="AP45" s="487">
        <f t="shared" si="23"/>
        <v>175390386.10363042</v>
      </c>
      <c r="AQ45" s="486">
        <f t="shared" si="23"/>
        <v>25451328.289999999</v>
      </c>
      <c r="AR45" s="486">
        <f t="shared" si="23"/>
        <v>5984.71</v>
      </c>
      <c r="AS45" s="486">
        <f t="shared" si="23"/>
        <v>47973676.909999996</v>
      </c>
      <c r="AT45" s="486">
        <f t="shared" ref="AT45:AU45" si="24">AT38+AT43</f>
        <v>5364.71</v>
      </c>
      <c r="AU45" s="486">
        <f t="shared" si="24"/>
        <v>280646.64</v>
      </c>
      <c r="AV45" s="486">
        <f t="shared" si="23"/>
        <v>236720569.30000001</v>
      </c>
      <c r="AW45" s="486">
        <f t="shared" si="23"/>
        <v>442196814.89999998</v>
      </c>
      <c r="AX45" s="486">
        <f t="shared" ref="AX45:AZ45" si="25">AX38+AX43</f>
        <v>58721.39</v>
      </c>
      <c r="AY45" s="486">
        <f t="shared" si="25"/>
        <v>2586852.2400000002</v>
      </c>
      <c r="AZ45" s="487">
        <f t="shared" si="25"/>
        <v>0</v>
      </c>
    </row>
    <row r="46" spans="1:52" s="491" customFormat="1" ht="18" customHeight="1">
      <c r="B46" s="533"/>
      <c r="C46" s="534"/>
      <c r="D46" s="535"/>
      <c r="E46" s="495"/>
      <c r="F46" s="495"/>
      <c r="G46" s="495"/>
      <c r="H46" s="535"/>
      <c r="I46" s="537"/>
      <c r="J46" s="541"/>
      <c r="K46" s="541"/>
      <c r="L46" s="541"/>
      <c r="M46" s="541"/>
      <c r="N46" s="541"/>
      <c r="O46" s="541"/>
      <c r="P46" s="541"/>
      <c r="Q46" s="541"/>
      <c r="R46" s="541"/>
      <c r="S46" s="541"/>
      <c r="T46" s="537"/>
      <c r="U46" s="541"/>
      <c r="V46" s="541"/>
      <c r="W46" s="541"/>
      <c r="X46" s="541"/>
      <c r="Y46" s="541"/>
      <c r="Z46" s="541"/>
      <c r="AA46" s="541"/>
      <c r="AB46" s="541"/>
      <c r="AC46" s="541"/>
      <c r="AD46" s="541"/>
      <c r="AE46" s="690"/>
      <c r="AF46" s="541"/>
      <c r="AG46" s="541"/>
      <c r="AH46" s="541"/>
      <c r="AI46" s="541"/>
      <c r="AJ46" s="541"/>
      <c r="AK46" s="541"/>
      <c r="AL46" s="541"/>
      <c r="AM46" s="541"/>
      <c r="AN46" s="541"/>
      <c r="AO46" s="541"/>
      <c r="AP46" s="537"/>
      <c r="AQ46" s="541"/>
      <c r="AR46" s="541"/>
      <c r="AS46" s="541"/>
      <c r="AT46" s="541"/>
      <c r="AU46" s="541"/>
      <c r="AV46" s="541"/>
      <c r="AW46" s="541"/>
      <c r="AX46" s="541"/>
      <c r="AY46" s="541"/>
      <c r="AZ46" s="541"/>
    </row>
    <row r="47" spans="1:52">
      <c r="B47" s="545"/>
      <c r="C47" s="546"/>
      <c r="D47" s="547"/>
      <c r="E47" s="548"/>
      <c r="F47" s="548"/>
      <c r="G47" s="548"/>
      <c r="H47" s="547"/>
      <c r="I47" s="550"/>
      <c r="J47" s="553"/>
      <c r="K47" s="553"/>
      <c r="L47" s="553"/>
      <c r="M47" s="553"/>
      <c r="N47" s="553"/>
      <c r="O47" s="553"/>
      <c r="P47" s="553"/>
      <c r="Q47" s="553"/>
      <c r="R47" s="553"/>
      <c r="S47" s="553"/>
      <c r="T47" s="550"/>
      <c r="U47" s="553"/>
      <c r="V47" s="553"/>
      <c r="W47" s="553"/>
      <c r="X47" s="553"/>
      <c r="Y47" s="553"/>
      <c r="Z47" s="553"/>
      <c r="AA47" s="553"/>
      <c r="AB47" s="553"/>
      <c r="AC47" s="553"/>
      <c r="AD47" s="553"/>
      <c r="AE47" s="691"/>
      <c r="AF47" s="553"/>
      <c r="AG47" s="553"/>
      <c r="AH47" s="553"/>
      <c r="AI47" s="553"/>
      <c r="AJ47" s="553"/>
      <c r="AK47" s="553"/>
      <c r="AL47" s="553"/>
      <c r="AM47" s="553"/>
      <c r="AN47" s="553"/>
      <c r="AO47" s="553"/>
      <c r="AP47" s="550"/>
      <c r="AQ47" s="553"/>
      <c r="AR47" s="553"/>
      <c r="AS47" s="553"/>
      <c r="AT47" s="553"/>
      <c r="AU47" s="553"/>
      <c r="AV47" s="553"/>
      <c r="AW47" s="553"/>
      <c r="AX47" s="553"/>
      <c r="AY47" s="553"/>
      <c r="AZ47" s="553"/>
    </row>
    <row r="48" spans="1:52" s="365" customFormat="1">
      <c r="B48" s="503"/>
      <c r="C48" s="504"/>
      <c r="D48" s="505" t="s">
        <v>681</v>
      </c>
      <c r="E48" s="507"/>
      <c r="F48" s="508"/>
      <c r="G48" s="508"/>
      <c r="H48" s="509"/>
      <c r="I48" s="506"/>
      <c r="J48" s="513"/>
      <c r="K48" s="513"/>
      <c r="L48" s="513"/>
      <c r="M48" s="513"/>
      <c r="N48" s="513"/>
      <c r="O48" s="513"/>
      <c r="P48" s="513"/>
      <c r="Q48" s="513"/>
      <c r="R48" s="513"/>
      <c r="S48" s="513"/>
      <c r="T48" s="506"/>
      <c r="U48" s="513"/>
      <c r="V48" s="513"/>
      <c r="W48" s="513"/>
      <c r="X48" s="513"/>
      <c r="Y48" s="513"/>
      <c r="Z48" s="513"/>
      <c r="AA48" s="513"/>
      <c r="AB48" s="513"/>
      <c r="AC48" s="513"/>
      <c r="AD48" s="513"/>
      <c r="AE48" s="687"/>
      <c r="AF48" s="513"/>
      <c r="AG48" s="513"/>
      <c r="AH48" s="513"/>
      <c r="AI48" s="513"/>
      <c r="AJ48" s="513"/>
      <c r="AK48" s="513"/>
      <c r="AL48" s="513"/>
      <c r="AM48" s="513"/>
      <c r="AN48" s="513"/>
      <c r="AO48" s="513"/>
      <c r="AP48" s="506"/>
      <c r="AQ48" s="513"/>
      <c r="AR48" s="513"/>
      <c r="AS48" s="513"/>
      <c r="AT48" s="513"/>
      <c r="AU48" s="513"/>
      <c r="AV48" s="513"/>
      <c r="AW48" s="513"/>
      <c r="AX48" s="513"/>
      <c r="AY48" s="513"/>
      <c r="AZ48" s="513"/>
    </row>
    <row r="49" spans="2:52" ht="28.5">
      <c r="B49" s="545"/>
      <c r="C49" s="546"/>
      <c r="D49" s="129" t="s">
        <v>682</v>
      </c>
      <c r="E49" s="526"/>
      <c r="F49" s="526"/>
      <c r="G49" s="526"/>
      <c r="H49" s="525"/>
      <c r="I49" s="527"/>
      <c r="J49" s="692"/>
      <c r="K49" s="692"/>
      <c r="L49" s="692"/>
      <c r="M49" s="692"/>
      <c r="N49" s="692"/>
      <c r="O49" s="692"/>
      <c r="P49" s="692"/>
      <c r="Q49" s="692"/>
      <c r="R49" s="692"/>
      <c r="S49" s="692"/>
      <c r="T49" s="693"/>
      <c r="U49" s="692"/>
      <c r="V49" s="692"/>
      <c r="W49" s="692"/>
      <c r="X49" s="692"/>
      <c r="Y49" s="692"/>
      <c r="Z49" s="692"/>
      <c r="AA49" s="692"/>
      <c r="AB49" s="692"/>
      <c r="AC49" s="692"/>
      <c r="AD49" s="692"/>
      <c r="AE49" s="694"/>
      <c r="AF49" s="692"/>
      <c r="AG49" s="692"/>
      <c r="AH49" s="692"/>
      <c r="AI49" s="692"/>
      <c r="AJ49" s="692"/>
      <c r="AK49" s="692"/>
      <c r="AL49" s="692"/>
      <c r="AM49" s="692"/>
      <c r="AN49" s="692"/>
      <c r="AO49" s="692"/>
      <c r="AP49" s="693"/>
      <c r="AQ49" s="692"/>
      <c r="AR49" s="692"/>
      <c r="AS49" s="692"/>
      <c r="AT49" s="692"/>
      <c r="AU49" s="692"/>
      <c r="AV49" s="692"/>
      <c r="AW49" s="692"/>
      <c r="AX49" s="692"/>
      <c r="AY49" s="692"/>
      <c r="AZ49" s="692"/>
    </row>
    <row r="50" spans="2:52">
      <c r="B50" s="545"/>
      <c r="C50" s="546"/>
      <c r="D50" s="129" t="s">
        <v>683</v>
      </c>
      <c r="E50" s="526"/>
      <c r="F50" s="526"/>
      <c r="G50" s="526"/>
      <c r="H50" s="525"/>
      <c r="I50" s="527"/>
      <c r="J50" s="692"/>
      <c r="K50" s="692"/>
      <c r="L50" s="692"/>
      <c r="M50" s="692"/>
      <c r="N50" s="692"/>
      <c r="O50" s="692"/>
      <c r="P50" s="692"/>
      <c r="Q50" s="692"/>
      <c r="R50" s="692"/>
      <c r="S50" s="692"/>
      <c r="T50" s="693"/>
      <c r="U50" s="692"/>
      <c r="V50" s="692"/>
      <c r="W50" s="692"/>
      <c r="X50" s="692"/>
      <c r="Y50" s="692"/>
      <c r="Z50" s="692"/>
      <c r="AA50" s="692"/>
      <c r="AB50" s="692"/>
      <c r="AC50" s="692"/>
      <c r="AD50" s="692"/>
      <c r="AE50" s="694"/>
      <c r="AF50" s="692"/>
      <c r="AG50" s="692"/>
      <c r="AH50" s="692"/>
      <c r="AI50" s="692"/>
      <c r="AJ50" s="692"/>
      <c r="AK50" s="692"/>
      <c r="AL50" s="692"/>
      <c r="AM50" s="692"/>
      <c r="AN50" s="692"/>
      <c r="AO50" s="692"/>
      <c r="AP50" s="693"/>
      <c r="AQ50" s="692"/>
      <c r="AR50" s="692"/>
      <c r="AS50" s="692"/>
      <c r="AT50" s="692"/>
      <c r="AU50" s="692"/>
      <c r="AV50" s="692"/>
      <c r="AW50" s="692"/>
      <c r="AX50" s="692"/>
      <c r="AY50" s="692"/>
      <c r="AZ50" s="692"/>
    </row>
    <row r="51" spans="2:52" s="491" customFormat="1" ht="18" customHeight="1">
      <c r="B51" s="476"/>
      <c r="C51" s="477"/>
      <c r="D51" s="478" t="s">
        <v>684</v>
      </c>
      <c r="E51" s="526"/>
      <c r="F51" s="526"/>
      <c r="G51" s="526"/>
      <c r="H51" s="527"/>
      <c r="I51" s="527"/>
      <c r="J51" s="692"/>
      <c r="K51" s="692"/>
      <c r="L51" s="692"/>
      <c r="M51" s="692"/>
      <c r="N51" s="692"/>
      <c r="O51" s="692"/>
      <c r="P51" s="692"/>
      <c r="Q51" s="692"/>
      <c r="R51" s="692"/>
      <c r="S51" s="692"/>
      <c r="T51" s="527"/>
      <c r="U51" s="692"/>
      <c r="V51" s="692"/>
      <c r="W51" s="692"/>
      <c r="X51" s="692"/>
      <c r="Y51" s="692"/>
      <c r="Z51" s="692"/>
      <c r="AA51" s="692"/>
      <c r="AB51" s="692"/>
      <c r="AC51" s="692"/>
      <c r="AD51" s="692"/>
      <c r="AE51" s="531"/>
      <c r="AF51" s="692"/>
      <c r="AG51" s="692"/>
      <c r="AH51" s="692"/>
      <c r="AI51" s="692"/>
      <c r="AJ51" s="692"/>
      <c r="AK51" s="692"/>
      <c r="AL51" s="692"/>
      <c r="AM51" s="692"/>
      <c r="AN51" s="692"/>
      <c r="AO51" s="692"/>
      <c r="AP51" s="527"/>
      <c r="AQ51" s="692"/>
      <c r="AR51" s="692"/>
      <c r="AS51" s="692"/>
      <c r="AT51" s="692"/>
      <c r="AU51" s="692"/>
      <c r="AV51" s="692"/>
      <c r="AW51" s="692"/>
      <c r="AX51" s="692"/>
      <c r="AY51" s="692"/>
      <c r="AZ51" s="692"/>
    </row>
    <row r="52" spans="2:52" s="365" customFormat="1">
      <c r="B52" s="492"/>
      <c r="C52" s="493"/>
      <c r="D52" s="29"/>
      <c r="E52" s="695"/>
      <c r="F52" s="695"/>
      <c r="G52" s="695"/>
      <c r="H52" s="696"/>
      <c r="I52" s="498"/>
      <c r="J52" s="501"/>
      <c r="K52" s="501"/>
      <c r="L52" s="501"/>
      <c r="M52" s="501"/>
      <c r="N52" s="501"/>
      <c r="O52" s="501"/>
      <c r="P52" s="501"/>
      <c r="Q52" s="501"/>
      <c r="R52" s="501"/>
      <c r="S52" s="501"/>
      <c r="T52" s="498"/>
      <c r="U52" s="501"/>
      <c r="V52" s="501"/>
      <c r="W52" s="501"/>
      <c r="X52" s="501"/>
      <c r="Y52" s="501"/>
      <c r="Z52" s="501"/>
      <c r="AA52" s="501"/>
      <c r="AB52" s="501"/>
      <c r="AC52" s="501"/>
      <c r="AD52" s="501"/>
      <c r="AE52" s="686"/>
      <c r="AF52" s="501"/>
      <c r="AG52" s="501"/>
      <c r="AH52" s="501"/>
      <c r="AI52" s="501"/>
      <c r="AJ52" s="501"/>
      <c r="AK52" s="501"/>
      <c r="AL52" s="501"/>
      <c r="AM52" s="501"/>
      <c r="AN52" s="501"/>
      <c r="AO52" s="501"/>
      <c r="AP52" s="498"/>
      <c r="AQ52" s="501"/>
      <c r="AR52" s="501"/>
      <c r="AS52" s="501"/>
      <c r="AT52" s="501"/>
      <c r="AU52" s="501"/>
      <c r="AV52" s="501"/>
      <c r="AW52" s="501"/>
      <c r="AX52" s="501"/>
      <c r="AY52" s="501"/>
      <c r="AZ52" s="501"/>
    </row>
    <row r="53" spans="2:52" s="491" customFormat="1">
      <c r="B53" s="555"/>
      <c r="C53" s="556"/>
      <c r="D53" s="556" t="s">
        <v>685</v>
      </c>
      <c r="E53" s="697"/>
      <c r="F53" s="697"/>
      <c r="G53" s="697"/>
      <c r="H53" s="698"/>
      <c r="I53" s="558">
        <f>I38+I43+I51</f>
        <v>159575675.77727985</v>
      </c>
      <c r="J53" s="699">
        <f t="shared" ref="J53:AZ53" si="26">J38+J43+J51</f>
        <v>24107188.540000003</v>
      </c>
      <c r="K53" s="699">
        <f t="shared" si="26"/>
        <v>5685.0999999999995</v>
      </c>
      <c r="L53" s="699">
        <f t="shared" si="26"/>
        <v>45058335.539999999</v>
      </c>
      <c r="M53" s="699">
        <f t="shared" ref="M53" si="27">M38+M43+M51</f>
        <v>5309.04</v>
      </c>
      <c r="N53" s="699">
        <f t="shared" ref="N53" si="28">N38+N43+N51</f>
        <v>263591.54000000004</v>
      </c>
      <c r="O53" s="699">
        <f t="shared" si="26"/>
        <v>227465274.15000001</v>
      </c>
      <c r="P53" s="699">
        <f t="shared" si="26"/>
        <v>425900348.51999998</v>
      </c>
      <c r="Q53" s="699">
        <f t="shared" ref="Q53" si="29">Q38+Q43+Q51</f>
        <v>53235.69</v>
      </c>
      <c r="R53" s="699">
        <f t="shared" ref="R53:S53" si="30">R38+R43+R51</f>
        <v>2491517.1799999997</v>
      </c>
      <c r="S53" s="699">
        <f t="shared" si="30"/>
        <v>0</v>
      </c>
      <c r="T53" s="700">
        <f t="shared" si="26"/>
        <v>164682097.40215287</v>
      </c>
      <c r="U53" s="699">
        <f t="shared" si="26"/>
        <v>24541199.989999998</v>
      </c>
      <c r="V53" s="699">
        <f t="shared" si="26"/>
        <v>5783.28</v>
      </c>
      <c r="W53" s="699">
        <f t="shared" si="26"/>
        <v>45999672.770000003</v>
      </c>
      <c r="X53" s="699">
        <f t="shared" si="26"/>
        <v>4918.9799999999996</v>
      </c>
      <c r="Y53" s="699">
        <f t="shared" si="26"/>
        <v>269097.49</v>
      </c>
      <c r="Z53" s="699">
        <f t="shared" si="26"/>
        <v>230453719.77000001</v>
      </c>
      <c r="AA53" s="699">
        <f t="shared" si="26"/>
        <v>431162325.46000004</v>
      </c>
      <c r="AB53" s="699">
        <f t="shared" si="26"/>
        <v>54675.91</v>
      </c>
      <c r="AC53" s="699">
        <f t="shared" si="26"/>
        <v>2522300.73</v>
      </c>
      <c r="AD53" s="699">
        <f t="shared" si="26"/>
        <v>0</v>
      </c>
      <c r="AE53" s="701">
        <f t="shared" si="26"/>
        <v>169951924.51902169</v>
      </c>
      <c r="AF53" s="699">
        <f t="shared" si="26"/>
        <v>24989094.960000001</v>
      </c>
      <c r="AG53" s="699">
        <f t="shared" si="26"/>
        <v>5882.94</v>
      </c>
      <c r="AH53" s="699">
        <f t="shared" si="26"/>
        <v>46971131.229999997</v>
      </c>
      <c r="AI53" s="699">
        <f t="shared" ref="AI53:AJ53" si="31">AI38+AI43+AI51</f>
        <v>5022.72</v>
      </c>
      <c r="AJ53" s="699">
        <f t="shared" si="31"/>
        <v>274780.83999999997</v>
      </c>
      <c r="AK53" s="699">
        <f t="shared" si="26"/>
        <v>233537799.75999999</v>
      </c>
      <c r="AL53" s="699">
        <f t="shared" si="26"/>
        <v>436592686.12</v>
      </c>
      <c r="AM53" s="699">
        <f t="shared" ref="AM53:AO53" si="32">AM38+AM43+AM51</f>
        <v>56754.84</v>
      </c>
      <c r="AN53" s="699">
        <f t="shared" si="32"/>
        <v>2554068.15</v>
      </c>
      <c r="AO53" s="699">
        <f t="shared" si="32"/>
        <v>0</v>
      </c>
      <c r="AP53" s="700">
        <f t="shared" si="26"/>
        <v>175390386.10363042</v>
      </c>
      <c r="AQ53" s="699">
        <f t="shared" si="26"/>
        <v>25451328.289999999</v>
      </c>
      <c r="AR53" s="699">
        <f t="shared" si="26"/>
        <v>5984.71</v>
      </c>
      <c r="AS53" s="699">
        <f t="shared" si="26"/>
        <v>47973676.909999996</v>
      </c>
      <c r="AT53" s="699">
        <f t="shared" si="26"/>
        <v>5364.71</v>
      </c>
      <c r="AU53" s="699">
        <f t="shared" si="26"/>
        <v>280646.64</v>
      </c>
      <c r="AV53" s="699">
        <f t="shared" si="26"/>
        <v>236720569.30000001</v>
      </c>
      <c r="AW53" s="699">
        <f t="shared" si="26"/>
        <v>442196814.89999998</v>
      </c>
      <c r="AX53" s="699">
        <f t="shared" si="26"/>
        <v>58721.39</v>
      </c>
      <c r="AY53" s="699">
        <f t="shared" si="26"/>
        <v>2586852.2400000002</v>
      </c>
      <c r="AZ53" s="699">
        <f t="shared" si="26"/>
        <v>0</v>
      </c>
    </row>
    <row r="54" spans="2:52" s="365" customFormat="1">
      <c r="B54" s="491"/>
      <c r="C54" s="491"/>
      <c r="D54" s="561"/>
      <c r="E54" s="562"/>
      <c r="F54" s="562"/>
      <c r="G54" s="562"/>
      <c r="H54" s="561"/>
      <c r="I54" s="393"/>
      <c r="J54" s="566"/>
      <c r="K54" s="566"/>
      <c r="L54" s="566"/>
      <c r="M54" s="566"/>
      <c r="N54" s="566"/>
      <c r="O54" s="566"/>
      <c r="P54" s="566"/>
      <c r="Q54" s="566"/>
      <c r="R54" s="566"/>
      <c r="S54" s="566"/>
      <c r="T54" s="393"/>
      <c r="U54" s="566"/>
      <c r="V54" s="566"/>
      <c r="W54" s="566"/>
      <c r="X54" s="566"/>
      <c r="Y54" s="566"/>
      <c r="Z54" s="566"/>
      <c r="AA54" s="566"/>
      <c r="AB54" s="566"/>
      <c r="AC54" s="566"/>
      <c r="AD54" s="566"/>
      <c r="AE54" s="393"/>
      <c r="AF54" s="566"/>
      <c r="AG54" s="566"/>
      <c r="AH54" s="566"/>
      <c r="AI54" s="566"/>
      <c r="AJ54" s="566"/>
      <c r="AK54" s="566"/>
      <c r="AL54" s="566"/>
      <c r="AM54" s="566"/>
      <c r="AN54" s="566"/>
      <c r="AO54" s="566"/>
      <c r="AP54" s="393"/>
      <c r="AQ54" s="566"/>
      <c r="AR54" s="566"/>
      <c r="AS54" s="566"/>
      <c r="AT54" s="566"/>
      <c r="AU54" s="566"/>
      <c r="AV54" s="566"/>
      <c r="AW54" s="566"/>
      <c r="AX54" s="566"/>
      <c r="AY54" s="566"/>
      <c r="AZ54" s="566"/>
    </row>
    <row r="55" spans="2:52">
      <c r="B55" s="568"/>
      <c r="C55" s="569"/>
      <c r="D55" s="570"/>
      <c r="E55" s="572"/>
      <c r="F55" s="572"/>
      <c r="G55" s="572"/>
      <c r="H55" s="570"/>
      <c r="I55" s="574"/>
      <c r="J55" s="577"/>
      <c r="K55" s="577"/>
      <c r="L55" s="577"/>
      <c r="M55" s="577"/>
      <c r="N55" s="577"/>
      <c r="O55" s="577"/>
      <c r="P55" s="577"/>
      <c r="Q55" s="577"/>
      <c r="R55" s="577"/>
      <c r="S55" s="577"/>
      <c r="T55" s="574"/>
      <c r="U55" s="577"/>
      <c r="V55" s="577"/>
      <c r="W55" s="577"/>
      <c r="X55" s="577"/>
      <c r="Y55" s="577"/>
      <c r="Z55" s="577"/>
      <c r="AA55" s="577"/>
      <c r="AB55" s="577"/>
      <c r="AC55" s="577"/>
      <c r="AD55" s="577"/>
      <c r="AE55" s="574"/>
      <c r="AF55" s="577"/>
      <c r="AG55" s="577"/>
      <c r="AH55" s="577"/>
      <c r="AI55" s="577"/>
      <c r="AJ55" s="577"/>
      <c r="AK55" s="577"/>
      <c r="AL55" s="577"/>
      <c r="AM55" s="577"/>
      <c r="AN55" s="577"/>
      <c r="AO55" s="577"/>
      <c r="AP55" s="574"/>
      <c r="AQ55" s="577"/>
      <c r="AR55" s="577"/>
      <c r="AS55" s="577"/>
      <c r="AT55" s="577"/>
      <c r="AU55" s="577"/>
      <c r="AV55" s="577"/>
      <c r="AW55" s="577"/>
      <c r="AX55" s="577"/>
      <c r="AY55" s="577"/>
      <c r="AZ55" s="577"/>
    </row>
    <row r="56" spans="2:52" s="365" customFormat="1">
      <c r="B56" s="503"/>
      <c r="C56" s="504"/>
      <c r="D56" s="505" t="s">
        <v>655</v>
      </c>
      <c r="E56" s="508"/>
      <c r="F56" s="508"/>
      <c r="G56" s="508"/>
      <c r="H56" s="509"/>
      <c r="I56" s="506"/>
      <c r="J56" s="513"/>
      <c r="K56" s="513"/>
      <c r="L56" s="513"/>
      <c r="M56" s="513"/>
      <c r="N56" s="513"/>
      <c r="O56" s="513"/>
      <c r="P56" s="513"/>
      <c r="Q56" s="513"/>
      <c r="R56" s="513"/>
      <c r="S56" s="513"/>
      <c r="T56" s="506"/>
      <c r="U56" s="513"/>
      <c r="V56" s="513"/>
      <c r="W56" s="513"/>
      <c r="X56" s="513"/>
      <c r="Y56" s="513"/>
      <c r="Z56" s="513"/>
      <c r="AA56" s="513"/>
      <c r="AB56" s="513"/>
      <c r="AC56" s="513"/>
      <c r="AD56" s="513"/>
      <c r="AE56" s="506"/>
      <c r="AF56" s="513"/>
      <c r="AG56" s="513"/>
      <c r="AH56" s="513"/>
      <c r="AI56" s="513"/>
      <c r="AJ56" s="513"/>
      <c r="AK56" s="513"/>
      <c r="AL56" s="513"/>
      <c r="AM56" s="513"/>
      <c r="AN56" s="513"/>
      <c r="AO56" s="513"/>
      <c r="AP56" s="506"/>
      <c r="AQ56" s="513"/>
      <c r="AR56" s="513"/>
      <c r="AS56" s="513"/>
      <c r="AT56" s="513"/>
      <c r="AU56" s="513"/>
      <c r="AV56" s="513"/>
      <c r="AW56" s="513"/>
      <c r="AX56" s="513"/>
      <c r="AY56" s="513"/>
      <c r="AZ56" s="513"/>
    </row>
    <row r="57" spans="2:52" s="365" customFormat="1">
      <c r="B57" s="437"/>
      <c r="C57" s="472"/>
      <c r="D57" s="439"/>
      <c r="E57" s="702"/>
      <c r="F57" s="702"/>
      <c r="G57" s="702"/>
      <c r="H57" s="703"/>
      <c r="I57" s="442"/>
      <c r="J57" s="425"/>
      <c r="K57" s="425"/>
      <c r="L57" s="425"/>
      <c r="M57" s="425"/>
      <c r="N57" s="425"/>
      <c r="O57" s="425"/>
      <c r="P57" s="425"/>
      <c r="Q57" s="425"/>
      <c r="R57" s="425"/>
      <c r="S57" s="425"/>
      <c r="T57" s="442"/>
      <c r="U57" s="425"/>
      <c r="V57" s="425"/>
      <c r="W57" s="425"/>
      <c r="X57" s="425"/>
      <c r="Y57" s="425"/>
      <c r="Z57" s="425"/>
      <c r="AA57" s="425"/>
      <c r="AB57" s="425"/>
      <c r="AC57" s="425"/>
      <c r="AD57" s="425"/>
      <c r="AE57" s="442"/>
      <c r="AF57" s="425"/>
      <c r="AG57" s="425"/>
      <c r="AH57" s="425"/>
      <c r="AI57" s="425"/>
      <c r="AJ57" s="425"/>
      <c r="AK57" s="425"/>
      <c r="AL57" s="425"/>
      <c r="AM57" s="425"/>
      <c r="AN57" s="425"/>
      <c r="AO57" s="425"/>
      <c r="AP57" s="442"/>
      <c r="AQ57" s="425"/>
      <c r="AR57" s="425"/>
      <c r="AS57" s="425"/>
      <c r="AT57" s="425"/>
      <c r="AU57" s="425"/>
      <c r="AV57" s="425"/>
      <c r="AW57" s="425"/>
      <c r="AX57" s="425"/>
      <c r="AY57" s="425"/>
      <c r="AZ57" s="425"/>
    </row>
    <row r="58" spans="2:52" s="365" customFormat="1">
      <c r="B58" s="437"/>
      <c r="C58" s="472"/>
      <c r="D58" s="439"/>
      <c r="E58" s="702"/>
      <c r="F58" s="702"/>
      <c r="G58" s="702"/>
      <c r="H58" s="703"/>
      <c r="I58" s="442"/>
      <c r="J58" s="425"/>
      <c r="K58" s="425"/>
      <c r="L58" s="425"/>
      <c r="M58" s="425"/>
      <c r="N58" s="425"/>
      <c r="O58" s="425"/>
      <c r="P58" s="425"/>
      <c r="Q58" s="425"/>
      <c r="R58" s="425"/>
      <c r="S58" s="425"/>
      <c r="T58" s="442"/>
      <c r="U58" s="425"/>
      <c r="V58" s="425"/>
      <c r="W58" s="425"/>
      <c r="X58" s="425"/>
      <c r="Y58" s="425"/>
      <c r="Z58" s="425"/>
      <c r="AA58" s="425"/>
      <c r="AB58" s="425"/>
      <c r="AC58" s="425"/>
      <c r="AD58" s="425"/>
      <c r="AE58" s="442"/>
      <c r="AF58" s="425"/>
      <c r="AG58" s="425"/>
      <c r="AH58" s="425"/>
      <c r="AI58" s="425"/>
      <c r="AJ58" s="425"/>
      <c r="AK58" s="425"/>
      <c r="AL58" s="425"/>
      <c r="AM58" s="425"/>
      <c r="AN58" s="425"/>
      <c r="AO58" s="425"/>
      <c r="AP58" s="442"/>
      <c r="AQ58" s="425"/>
      <c r="AR58" s="425"/>
      <c r="AS58" s="425"/>
      <c r="AT58" s="425"/>
      <c r="AU58" s="425"/>
      <c r="AV58" s="425"/>
      <c r="AW58" s="425"/>
      <c r="AX58" s="425"/>
      <c r="AY58" s="425"/>
      <c r="AZ58" s="425"/>
    </row>
    <row r="59" spans="2:52" s="365" customFormat="1">
      <c r="B59" s="437"/>
      <c r="C59" s="472"/>
      <c r="D59" s="439"/>
      <c r="E59" s="702"/>
      <c r="F59" s="702"/>
      <c r="G59" s="702"/>
      <c r="H59" s="703"/>
      <c r="I59" s="442"/>
      <c r="J59" s="425"/>
      <c r="K59" s="425"/>
      <c r="L59" s="425"/>
      <c r="M59" s="425"/>
      <c r="N59" s="425"/>
      <c r="O59" s="425"/>
      <c r="P59" s="425"/>
      <c r="Q59" s="425"/>
      <c r="R59" s="425"/>
      <c r="S59" s="425"/>
      <c r="T59" s="442"/>
      <c r="U59" s="425"/>
      <c r="V59" s="425"/>
      <c r="W59" s="425"/>
      <c r="X59" s="425"/>
      <c r="Y59" s="425"/>
      <c r="Z59" s="425"/>
      <c r="AA59" s="425"/>
      <c r="AB59" s="425"/>
      <c r="AC59" s="425"/>
      <c r="AD59" s="425"/>
      <c r="AE59" s="442"/>
      <c r="AF59" s="425"/>
      <c r="AG59" s="425"/>
      <c r="AH59" s="425"/>
      <c r="AI59" s="425"/>
      <c r="AJ59" s="425"/>
      <c r="AK59" s="425"/>
      <c r="AL59" s="425"/>
      <c r="AM59" s="425"/>
      <c r="AN59" s="425"/>
      <c r="AO59" s="425"/>
      <c r="AP59" s="442"/>
      <c r="AQ59" s="425"/>
      <c r="AR59" s="425"/>
      <c r="AS59" s="425"/>
      <c r="AT59" s="425"/>
      <c r="AU59" s="425"/>
      <c r="AV59" s="425"/>
      <c r="AW59" s="425"/>
      <c r="AX59" s="425"/>
      <c r="AY59" s="425"/>
      <c r="AZ59" s="425"/>
    </row>
    <row r="60" spans="2:52" s="365" customFormat="1">
      <c r="B60" s="437"/>
      <c r="C60" s="472"/>
      <c r="D60" s="439"/>
      <c r="E60" s="702"/>
      <c r="F60" s="702"/>
      <c r="G60" s="702"/>
      <c r="H60" s="703"/>
      <c r="I60" s="442"/>
      <c r="J60" s="425"/>
      <c r="K60" s="425"/>
      <c r="L60" s="425"/>
      <c r="M60" s="425"/>
      <c r="N60" s="425"/>
      <c r="O60" s="425"/>
      <c r="P60" s="425"/>
      <c r="Q60" s="425"/>
      <c r="R60" s="425"/>
      <c r="S60" s="425"/>
      <c r="T60" s="442"/>
      <c r="U60" s="425"/>
      <c r="V60" s="425"/>
      <c r="W60" s="425"/>
      <c r="X60" s="425"/>
      <c r="Y60" s="425"/>
      <c r="Z60" s="425"/>
      <c r="AA60" s="425"/>
      <c r="AB60" s="425"/>
      <c r="AC60" s="425"/>
      <c r="AD60" s="425"/>
      <c r="AE60" s="442"/>
      <c r="AF60" s="425"/>
      <c r="AG60" s="425"/>
      <c r="AH60" s="425"/>
      <c r="AI60" s="425"/>
      <c r="AJ60" s="425"/>
      <c r="AK60" s="425"/>
      <c r="AL60" s="425"/>
      <c r="AM60" s="425"/>
      <c r="AN60" s="425"/>
      <c r="AO60" s="425"/>
      <c r="AP60" s="442"/>
      <c r="AQ60" s="425"/>
      <c r="AR60" s="425"/>
      <c r="AS60" s="425"/>
      <c r="AT60" s="425"/>
      <c r="AU60" s="425"/>
      <c r="AV60" s="425"/>
      <c r="AW60" s="425"/>
      <c r="AX60" s="425"/>
      <c r="AY60" s="425"/>
      <c r="AZ60" s="425"/>
    </row>
    <row r="61" spans="2:52" s="365" customFormat="1">
      <c r="B61" s="437"/>
      <c r="C61" s="472"/>
      <c r="D61" s="439"/>
      <c r="E61" s="702"/>
      <c r="F61" s="702"/>
      <c r="G61" s="702"/>
      <c r="H61" s="703"/>
      <c r="I61" s="442"/>
      <c r="J61" s="425"/>
      <c r="K61" s="425"/>
      <c r="L61" s="425"/>
      <c r="M61" s="425"/>
      <c r="N61" s="425"/>
      <c r="O61" s="425"/>
      <c r="P61" s="425"/>
      <c r="Q61" s="425"/>
      <c r="R61" s="425"/>
      <c r="S61" s="425"/>
      <c r="T61" s="442"/>
      <c r="U61" s="425"/>
      <c r="V61" s="425"/>
      <c r="W61" s="425"/>
      <c r="X61" s="425"/>
      <c r="Y61" s="425"/>
      <c r="Z61" s="425"/>
      <c r="AA61" s="425"/>
      <c r="AB61" s="425"/>
      <c r="AC61" s="425"/>
      <c r="AD61" s="425"/>
      <c r="AE61" s="442"/>
      <c r="AF61" s="425"/>
      <c r="AG61" s="425"/>
      <c r="AH61" s="425"/>
      <c r="AI61" s="425"/>
      <c r="AJ61" s="425"/>
      <c r="AK61" s="425"/>
      <c r="AL61" s="425"/>
      <c r="AM61" s="425"/>
      <c r="AN61" s="425"/>
      <c r="AO61" s="425"/>
      <c r="AP61" s="442"/>
      <c r="AQ61" s="425"/>
      <c r="AR61" s="425"/>
      <c r="AS61" s="425"/>
      <c r="AT61" s="425"/>
      <c r="AU61" s="425"/>
      <c r="AV61" s="425"/>
      <c r="AW61" s="425"/>
      <c r="AX61" s="425"/>
      <c r="AY61" s="425"/>
      <c r="AZ61" s="425"/>
    </row>
    <row r="62" spans="2:52" s="365" customFormat="1">
      <c r="B62" s="437"/>
      <c r="C62" s="472"/>
      <c r="D62" s="439"/>
      <c r="E62" s="702"/>
      <c r="F62" s="702"/>
      <c r="G62" s="702"/>
      <c r="H62" s="703"/>
      <c r="I62" s="442"/>
      <c r="J62" s="425"/>
      <c r="K62" s="425"/>
      <c r="L62" s="425"/>
      <c r="M62" s="425"/>
      <c r="N62" s="425"/>
      <c r="O62" s="425"/>
      <c r="P62" s="425"/>
      <c r="Q62" s="425"/>
      <c r="R62" s="425"/>
      <c r="S62" s="425"/>
      <c r="T62" s="442"/>
      <c r="U62" s="425"/>
      <c r="V62" s="425"/>
      <c r="W62" s="425"/>
      <c r="X62" s="425"/>
      <c r="Y62" s="425"/>
      <c r="Z62" s="425"/>
      <c r="AA62" s="425"/>
      <c r="AB62" s="425"/>
      <c r="AC62" s="425"/>
      <c r="AD62" s="425"/>
      <c r="AE62" s="442"/>
      <c r="AF62" s="425"/>
      <c r="AG62" s="425"/>
      <c r="AH62" s="425"/>
      <c r="AI62" s="425"/>
      <c r="AJ62" s="425"/>
      <c r="AK62" s="425"/>
      <c r="AL62" s="425"/>
      <c r="AM62" s="425"/>
      <c r="AN62" s="425"/>
      <c r="AO62" s="425"/>
      <c r="AP62" s="442"/>
      <c r="AQ62" s="425"/>
      <c r="AR62" s="425"/>
      <c r="AS62" s="425"/>
      <c r="AT62" s="425"/>
      <c r="AU62" s="425"/>
      <c r="AV62" s="425"/>
      <c r="AW62" s="425"/>
      <c r="AX62" s="425"/>
      <c r="AY62" s="425"/>
      <c r="AZ62" s="425"/>
    </row>
    <row r="63" spans="2:52" s="365" customFormat="1">
      <c r="B63" s="584"/>
      <c r="C63" s="585"/>
      <c r="D63" s="586" t="s">
        <v>659</v>
      </c>
      <c r="E63" s="704"/>
      <c r="F63" s="704"/>
      <c r="G63" s="704"/>
      <c r="H63" s="705"/>
      <c r="I63" s="485">
        <f t="shared" ref="I63:AC63" si="33">SUM(I57:I62)</f>
        <v>0</v>
      </c>
      <c r="J63" s="486">
        <f t="shared" si="33"/>
        <v>0</v>
      </c>
      <c r="K63" s="486">
        <f t="shared" si="33"/>
        <v>0</v>
      </c>
      <c r="L63" s="486">
        <f t="shared" si="33"/>
        <v>0</v>
      </c>
      <c r="M63" s="486">
        <f t="shared" ref="M63" si="34">SUM(M57:M62)</f>
        <v>0</v>
      </c>
      <c r="N63" s="486">
        <f t="shared" ref="N63" si="35">SUM(N57:N62)</f>
        <v>0</v>
      </c>
      <c r="O63" s="486">
        <f t="shared" si="33"/>
        <v>0</v>
      </c>
      <c r="P63" s="486">
        <f t="shared" si="33"/>
        <v>0</v>
      </c>
      <c r="Q63" s="486">
        <f t="shared" ref="Q63" si="36">SUM(Q57:Q62)</f>
        <v>0</v>
      </c>
      <c r="R63" s="486">
        <f t="shared" ref="R63:S63" si="37">SUM(R57:R62)</f>
        <v>0</v>
      </c>
      <c r="S63" s="486">
        <f t="shared" si="37"/>
        <v>0</v>
      </c>
      <c r="T63" s="485">
        <f t="shared" si="33"/>
        <v>0</v>
      </c>
      <c r="U63" s="486">
        <f t="shared" si="33"/>
        <v>0</v>
      </c>
      <c r="V63" s="486">
        <f t="shared" si="33"/>
        <v>0</v>
      </c>
      <c r="W63" s="486">
        <f t="shared" si="33"/>
        <v>0</v>
      </c>
      <c r="X63" s="486">
        <f t="shared" si="33"/>
        <v>0</v>
      </c>
      <c r="Y63" s="486">
        <f t="shared" si="33"/>
        <v>0</v>
      </c>
      <c r="Z63" s="486">
        <f t="shared" si="33"/>
        <v>0</v>
      </c>
      <c r="AA63" s="486">
        <f t="shared" si="33"/>
        <v>0</v>
      </c>
      <c r="AB63" s="486">
        <f t="shared" si="33"/>
        <v>0</v>
      </c>
      <c r="AC63" s="486">
        <f t="shared" si="33"/>
        <v>0</v>
      </c>
      <c r="AD63" s="486">
        <f t="shared" ref="AD63" si="38">SUM(AD57:AD62)</f>
        <v>0</v>
      </c>
      <c r="AE63" s="485">
        <f t="shared" ref="AE63:AW63" si="39">SUM(AE57:AE62)</f>
        <v>0</v>
      </c>
      <c r="AF63" s="486">
        <f t="shared" si="39"/>
        <v>0</v>
      </c>
      <c r="AG63" s="486">
        <f t="shared" si="39"/>
        <v>0</v>
      </c>
      <c r="AH63" s="486">
        <f t="shared" si="39"/>
        <v>0</v>
      </c>
      <c r="AI63" s="486">
        <f t="shared" ref="AI63:AJ63" si="40">SUM(AI57:AI62)</f>
        <v>0</v>
      </c>
      <c r="AJ63" s="486">
        <f t="shared" si="40"/>
        <v>0</v>
      </c>
      <c r="AK63" s="486">
        <f t="shared" si="39"/>
        <v>0</v>
      </c>
      <c r="AL63" s="486">
        <f t="shared" si="39"/>
        <v>0</v>
      </c>
      <c r="AM63" s="486">
        <f t="shared" ref="AM63:AO63" si="41">SUM(AM57:AM62)</f>
        <v>0</v>
      </c>
      <c r="AN63" s="486">
        <f t="shared" si="41"/>
        <v>0</v>
      </c>
      <c r="AO63" s="486">
        <f t="shared" si="41"/>
        <v>0</v>
      </c>
      <c r="AP63" s="485">
        <f t="shared" si="39"/>
        <v>0</v>
      </c>
      <c r="AQ63" s="486">
        <f t="shared" si="39"/>
        <v>0</v>
      </c>
      <c r="AR63" s="486">
        <f t="shared" si="39"/>
        <v>0</v>
      </c>
      <c r="AS63" s="486">
        <f t="shared" si="39"/>
        <v>0</v>
      </c>
      <c r="AT63" s="486">
        <f t="shared" ref="AT63:AU63" si="42">SUM(AT57:AT62)</f>
        <v>0</v>
      </c>
      <c r="AU63" s="486">
        <f t="shared" si="42"/>
        <v>0</v>
      </c>
      <c r="AV63" s="486">
        <f t="shared" si="39"/>
        <v>0</v>
      </c>
      <c r="AW63" s="486">
        <f t="shared" si="39"/>
        <v>0</v>
      </c>
      <c r="AX63" s="486">
        <f t="shared" ref="AX63:AZ63" si="43">SUM(AX57:AX62)</f>
        <v>0</v>
      </c>
      <c r="AY63" s="486">
        <f t="shared" si="43"/>
        <v>0</v>
      </c>
      <c r="AZ63" s="486">
        <f t="shared" si="43"/>
        <v>0</v>
      </c>
    </row>
    <row r="64" spans="2:52" s="365" customFormat="1">
      <c r="B64" s="491"/>
      <c r="C64" s="491"/>
      <c r="D64" s="390"/>
      <c r="E64" s="562"/>
      <c r="F64" s="562"/>
      <c r="G64" s="562"/>
      <c r="H64" s="561"/>
      <c r="I64" s="393"/>
      <c r="J64" s="566"/>
      <c r="K64" s="566"/>
      <c r="L64" s="566"/>
      <c r="M64" s="566"/>
      <c r="N64" s="566"/>
      <c r="O64" s="566"/>
      <c r="P64" s="566"/>
      <c r="Q64" s="566"/>
      <c r="R64" s="566"/>
      <c r="S64" s="566"/>
      <c r="T64" s="393"/>
      <c r="U64" s="566"/>
      <c r="V64" s="566"/>
      <c r="W64" s="566"/>
      <c r="X64" s="566"/>
      <c r="Y64" s="566"/>
      <c r="Z64" s="566"/>
      <c r="AA64" s="566"/>
      <c r="AB64" s="566"/>
      <c r="AC64" s="566"/>
      <c r="AD64" s="566"/>
      <c r="AE64" s="393"/>
      <c r="AF64" s="566"/>
      <c r="AG64" s="566"/>
      <c r="AH64" s="566"/>
      <c r="AI64" s="566"/>
      <c r="AJ64" s="566"/>
      <c r="AK64" s="566"/>
      <c r="AL64" s="566"/>
      <c r="AM64" s="566"/>
      <c r="AN64" s="566"/>
      <c r="AO64" s="566"/>
      <c r="AP64" s="393"/>
      <c r="AQ64" s="566"/>
      <c r="AR64" s="566"/>
      <c r="AS64" s="566"/>
      <c r="AT64" s="566"/>
      <c r="AU64" s="566"/>
      <c r="AV64" s="566"/>
      <c r="AW64" s="566"/>
      <c r="AX64" s="566"/>
      <c r="AY64" s="566"/>
      <c r="AZ64" s="566"/>
    </row>
    <row r="65" spans="2:52" s="365" customFormat="1">
      <c r="B65" s="589"/>
      <c r="C65" s="590"/>
      <c r="D65" s="591" t="s">
        <v>660</v>
      </c>
      <c r="E65" s="593"/>
      <c r="F65" s="593"/>
      <c r="G65" s="593"/>
      <c r="H65" s="594"/>
      <c r="I65" s="592"/>
      <c r="J65" s="598"/>
      <c r="K65" s="598"/>
      <c r="L65" s="598"/>
      <c r="M65" s="598"/>
      <c r="N65" s="598"/>
      <c r="O65" s="598"/>
      <c r="P65" s="598"/>
      <c r="Q65" s="598"/>
      <c r="R65" s="598"/>
      <c r="S65" s="598"/>
      <c r="T65" s="592"/>
      <c r="U65" s="598"/>
      <c r="V65" s="598"/>
      <c r="W65" s="598"/>
      <c r="X65" s="598"/>
      <c r="Y65" s="598"/>
      <c r="Z65" s="598"/>
      <c r="AA65" s="598"/>
      <c r="AB65" s="598"/>
      <c r="AC65" s="598"/>
      <c r="AD65" s="598"/>
      <c r="AE65" s="592"/>
      <c r="AF65" s="598"/>
      <c r="AG65" s="598"/>
      <c r="AH65" s="598"/>
      <c r="AI65" s="598"/>
      <c r="AJ65" s="598"/>
      <c r="AK65" s="598"/>
      <c r="AL65" s="598"/>
      <c r="AM65" s="598"/>
      <c r="AN65" s="598"/>
      <c r="AO65" s="598"/>
      <c r="AP65" s="592"/>
      <c r="AQ65" s="598"/>
      <c r="AR65" s="598"/>
      <c r="AS65" s="598"/>
      <c r="AT65" s="598"/>
      <c r="AU65" s="598"/>
      <c r="AV65" s="598"/>
      <c r="AW65" s="598"/>
      <c r="AX65" s="598"/>
      <c r="AY65" s="598"/>
      <c r="AZ65" s="598"/>
    </row>
    <row r="66" spans="2:52" s="365" customFormat="1" ht="15.75">
      <c r="B66" s="600"/>
      <c r="C66" s="601"/>
      <c r="D66" s="602" t="s">
        <v>661</v>
      </c>
      <c r="E66" s="411"/>
      <c r="F66" s="411"/>
      <c r="G66" s="411"/>
      <c r="H66" s="439"/>
      <c r="I66" s="442"/>
      <c r="J66" s="425"/>
      <c r="K66" s="425"/>
      <c r="L66" s="425"/>
      <c r="M66" s="425"/>
      <c r="N66" s="425"/>
      <c r="O66" s="425"/>
      <c r="P66" s="425"/>
      <c r="Q66" s="425"/>
      <c r="R66" s="425"/>
      <c r="S66" s="425"/>
      <c r="T66" s="442"/>
      <c r="U66" s="425"/>
      <c r="V66" s="425"/>
      <c r="W66" s="425"/>
      <c r="X66" s="425"/>
      <c r="Y66" s="425"/>
      <c r="Z66" s="425"/>
      <c r="AA66" s="425"/>
      <c r="AB66" s="425"/>
      <c r="AC66" s="425"/>
      <c r="AD66" s="425"/>
      <c r="AE66" s="442"/>
      <c r="AF66" s="425"/>
      <c r="AG66" s="425"/>
      <c r="AH66" s="425"/>
      <c r="AI66" s="425"/>
      <c r="AJ66" s="425"/>
      <c r="AK66" s="425"/>
      <c r="AL66" s="425"/>
      <c r="AM66" s="425"/>
      <c r="AN66" s="425"/>
      <c r="AO66" s="425"/>
      <c r="AP66" s="442"/>
      <c r="AQ66" s="425"/>
      <c r="AR66" s="425"/>
      <c r="AS66" s="425"/>
      <c r="AT66" s="425"/>
      <c r="AU66" s="425"/>
      <c r="AV66" s="425"/>
      <c r="AW66" s="425"/>
      <c r="AX66" s="425"/>
      <c r="AY66" s="425"/>
      <c r="AZ66" s="425"/>
    </row>
    <row r="67" spans="2:52" s="712" customFormat="1">
      <c r="B67" s="706"/>
      <c r="C67" s="707"/>
      <c r="D67" s="708" t="s">
        <v>662</v>
      </c>
      <c r="E67" s="709"/>
      <c r="F67" s="709"/>
      <c r="G67" s="709"/>
      <c r="H67" s="710"/>
      <c r="I67" s="711"/>
      <c r="J67" s="425" t="s">
        <v>342</v>
      </c>
      <c r="K67" s="425" t="s">
        <v>342</v>
      </c>
      <c r="L67" s="425">
        <v>1255592</v>
      </c>
      <c r="M67" s="425" t="s">
        <v>342</v>
      </c>
      <c r="N67" s="425">
        <v>7345</v>
      </c>
      <c r="O67" s="425" t="s">
        <v>342</v>
      </c>
      <c r="P67" s="425">
        <v>16075344</v>
      </c>
      <c r="Q67" s="425" t="s">
        <v>342</v>
      </c>
      <c r="R67" s="425">
        <v>94041</v>
      </c>
      <c r="S67" s="425" t="s">
        <v>342</v>
      </c>
      <c r="T67" s="711"/>
      <c r="U67" s="425" t="s">
        <v>342</v>
      </c>
      <c r="V67" s="425" t="s">
        <v>342</v>
      </c>
      <c r="W67" s="425">
        <v>1255592</v>
      </c>
      <c r="X67" s="425" t="s">
        <v>342</v>
      </c>
      <c r="Y67" s="425">
        <v>7345</v>
      </c>
      <c r="Z67" s="425" t="s">
        <v>342</v>
      </c>
      <c r="AA67" s="425">
        <v>16075344</v>
      </c>
      <c r="AB67" s="425" t="s">
        <v>342</v>
      </c>
      <c r="AC67" s="425">
        <v>94041</v>
      </c>
      <c r="AD67" s="425" t="s">
        <v>342</v>
      </c>
      <c r="AE67" s="711"/>
      <c r="AF67" s="425" t="s">
        <v>342</v>
      </c>
      <c r="AG67" s="425" t="s">
        <v>342</v>
      </c>
      <c r="AH67" s="425">
        <v>1255592</v>
      </c>
      <c r="AI67" s="425" t="s">
        <v>342</v>
      </c>
      <c r="AJ67" s="425">
        <v>7345</v>
      </c>
      <c r="AK67" s="425" t="s">
        <v>342</v>
      </c>
      <c r="AL67" s="425">
        <v>16075344</v>
      </c>
      <c r="AM67" s="425" t="s">
        <v>342</v>
      </c>
      <c r="AN67" s="425">
        <v>94041</v>
      </c>
      <c r="AO67" s="425" t="s">
        <v>342</v>
      </c>
      <c r="AP67" s="711"/>
      <c r="AQ67" s="425" t="s">
        <v>342</v>
      </c>
      <c r="AR67" s="425" t="s">
        <v>342</v>
      </c>
      <c r="AS67" s="425">
        <v>1255592</v>
      </c>
      <c r="AT67" s="425" t="s">
        <v>342</v>
      </c>
      <c r="AU67" s="425">
        <v>7345</v>
      </c>
      <c r="AV67" s="425" t="s">
        <v>342</v>
      </c>
      <c r="AW67" s="425">
        <v>16075344</v>
      </c>
      <c r="AX67" s="425" t="s">
        <v>342</v>
      </c>
      <c r="AY67" s="425">
        <v>94041</v>
      </c>
      <c r="AZ67" s="425" t="s">
        <v>342</v>
      </c>
    </row>
    <row r="68" spans="2:52" s="365" customFormat="1">
      <c r="B68" s="603"/>
      <c r="C68" s="604"/>
      <c r="D68" s="605"/>
      <c r="E68" s="606"/>
      <c r="F68" s="606"/>
      <c r="G68" s="606"/>
      <c r="H68" s="605"/>
      <c r="I68" s="608"/>
      <c r="J68" s="613"/>
      <c r="K68" s="613"/>
      <c r="L68" s="613"/>
      <c r="M68" s="613"/>
      <c r="N68" s="613"/>
      <c r="O68" s="613"/>
      <c r="P68" s="613"/>
      <c r="Q68" s="613"/>
      <c r="R68" s="613"/>
      <c r="S68" s="613"/>
      <c r="T68" s="608"/>
      <c r="U68" s="613"/>
      <c r="V68" s="613"/>
      <c r="W68" s="613"/>
      <c r="X68" s="613"/>
      <c r="Y68" s="613"/>
      <c r="Z68" s="613"/>
      <c r="AA68" s="613"/>
      <c r="AB68" s="613"/>
      <c r="AC68" s="613"/>
      <c r="AD68" s="613"/>
      <c r="AE68" s="608"/>
      <c r="AF68" s="613"/>
      <c r="AG68" s="613"/>
      <c r="AH68" s="613"/>
      <c r="AI68" s="613"/>
      <c r="AJ68" s="613"/>
      <c r="AK68" s="613"/>
      <c r="AL68" s="613"/>
      <c r="AM68" s="613"/>
      <c r="AN68" s="613"/>
      <c r="AO68" s="613"/>
      <c r="AP68" s="608"/>
      <c r="AQ68" s="613"/>
      <c r="AR68" s="613"/>
      <c r="AS68" s="613"/>
      <c r="AT68" s="613"/>
      <c r="AU68" s="613"/>
      <c r="AV68" s="613"/>
      <c r="AW68" s="613"/>
      <c r="AX68" s="613"/>
      <c r="AY68" s="613"/>
      <c r="AZ68" s="613"/>
    </row>
    <row r="69" spans="2:52" s="365" customFormat="1">
      <c r="B69" s="615"/>
      <c r="C69" s="615"/>
      <c r="D69" s="616"/>
      <c r="E69" s="376"/>
      <c r="F69" s="376"/>
      <c r="G69" s="376"/>
      <c r="H69" s="616"/>
      <c r="I69" s="362"/>
      <c r="J69" s="619"/>
      <c r="K69" s="619"/>
      <c r="L69" s="619"/>
      <c r="M69" s="619"/>
      <c r="N69" s="619"/>
      <c r="O69" s="619"/>
      <c r="P69" s="619"/>
      <c r="Q69" s="619"/>
      <c r="R69" s="619"/>
      <c r="S69" s="619"/>
      <c r="T69" s="362"/>
      <c r="U69" s="619"/>
      <c r="V69" s="619"/>
      <c r="W69" s="619"/>
      <c r="X69" s="619"/>
      <c r="Y69" s="619"/>
      <c r="Z69" s="619"/>
      <c r="AA69" s="619"/>
      <c r="AB69" s="619"/>
      <c r="AC69" s="619"/>
      <c r="AD69" s="619"/>
      <c r="AE69" s="362"/>
      <c r="AF69" s="619"/>
      <c r="AG69" s="619"/>
      <c r="AH69" s="619"/>
      <c r="AI69" s="619"/>
      <c r="AJ69" s="619"/>
      <c r="AK69" s="619"/>
      <c r="AL69" s="619"/>
      <c r="AM69" s="619"/>
      <c r="AN69" s="619"/>
      <c r="AO69" s="619"/>
      <c r="AP69" s="362"/>
      <c r="AQ69" s="619"/>
      <c r="AR69" s="619"/>
      <c r="AS69" s="619"/>
      <c r="AT69" s="619"/>
      <c r="AU69" s="619"/>
      <c r="AV69" s="619"/>
      <c r="AW69" s="619"/>
      <c r="AX69" s="619"/>
      <c r="AY69" s="619"/>
      <c r="AZ69" s="619"/>
    </row>
    <row r="71" spans="2:52">
      <c r="B71" s="357" t="s">
        <v>663</v>
      </c>
    </row>
    <row r="72" spans="2:52">
      <c r="B72" s="630" t="s">
        <v>664</v>
      </c>
    </row>
    <row r="73" spans="2:52">
      <c r="B73" s="357" t="s">
        <v>686</v>
      </c>
    </row>
    <row r="74" spans="2:52" s="365" customFormat="1">
      <c r="B74" s="630" t="s">
        <v>666</v>
      </c>
      <c r="E74" s="376"/>
      <c r="F74" s="376"/>
      <c r="G74" s="376"/>
      <c r="I74" s="625"/>
      <c r="J74" s="632"/>
      <c r="K74" s="632"/>
      <c r="L74" s="632"/>
      <c r="M74" s="632"/>
      <c r="N74" s="632"/>
      <c r="O74" s="632"/>
      <c r="P74" s="632"/>
      <c r="Q74" s="632"/>
      <c r="R74" s="632"/>
      <c r="S74" s="632"/>
      <c r="T74" s="625"/>
      <c r="U74" s="632"/>
      <c r="V74" s="632"/>
      <c r="W74" s="632"/>
      <c r="X74" s="632"/>
      <c r="Y74" s="632"/>
      <c r="Z74" s="632"/>
      <c r="AA74" s="632"/>
      <c r="AB74" s="632"/>
      <c r="AC74" s="632"/>
      <c r="AD74" s="632"/>
      <c r="AE74" s="625"/>
      <c r="AF74" s="632"/>
      <c r="AG74" s="632"/>
      <c r="AH74" s="632"/>
      <c r="AI74" s="632"/>
      <c r="AJ74" s="632"/>
      <c r="AK74" s="632"/>
      <c r="AL74" s="632"/>
      <c r="AM74" s="632"/>
      <c r="AN74" s="632"/>
      <c r="AO74" s="632"/>
      <c r="AP74" s="625"/>
      <c r="AQ74" s="632"/>
      <c r="AR74" s="632"/>
      <c r="AS74" s="632"/>
      <c r="AT74" s="632"/>
      <c r="AU74" s="632"/>
      <c r="AV74" s="632"/>
      <c r="AW74" s="632"/>
      <c r="AX74" s="632"/>
      <c r="AY74" s="632"/>
      <c r="AZ74" s="632"/>
    </row>
    <row r="75" spans="2:52" s="365" customFormat="1">
      <c r="B75" s="630" t="s">
        <v>667</v>
      </c>
      <c r="E75" s="376"/>
      <c r="F75" s="376"/>
      <c r="G75" s="376"/>
      <c r="I75" s="625"/>
      <c r="J75" s="632"/>
      <c r="K75" s="632"/>
      <c r="L75" s="632"/>
      <c r="M75" s="632"/>
      <c r="N75" s="632"/>
      <c r="O75" s="632"/>
      <c r="P75" s="632"/>
      <c r="Q75" s="632"/>
      <c r="R75" s="632"/>
      <c r="S75" s="632"/>
      <c r="T75" s="625"/>
      <c r="U75" s="632"/>
      <c r="V75" s="632"/>
      <c r="W75" s="632"/>
      <c r="X75" s="632"/>
      <c r="Y75" s="632"/>
      <c r="Z75" s="632"/>
      <c r="AA75" s="632"/>
      <c r="AB75" s="632"/>
      <c r="AC75" s="632"/>
      <c r="AD75" s="632"/>
      <c r="AE75" s="625"/>
      <c r="AF75" s="632"/>
      <c r="AG75" s="632"/>
      <c r="AH75" s="632"/>
      <c r="AI75" s="632"/>
      <c r="AJ75" s="632"/>
      <c r="AK75" s="632"/>
      <c r="AL75" s="632"/>
      <c r="AM75" s="632"/>
      <c r="AN75" s="632"/>
      <c r="AO75" s="632"/>
      <c r="AP75" s="625"/>
      <c r="AQ75" s="632"/>
      <c r="AR75" s="632"/>
      <c r="AS75" s="632"/>
      <c r="AT75" s="632"/>
      <c r="AU75" s="632"/>
      <c r="AV75" s="632"/>
      <c r="AW75" s="632"/>
      <c r="AX75" s="632"/>
      <c r="AY75" s="632"/>
      <c r="AZ75" s="632"/>
    </row>
    <row r="76" spans="2:52">
      <c r="B76" s="630" t="s">
        <v>668</v>
      </c>
    </row>
    <row r="78" spans="2:52">
      <c r="B78" s="713"/>
    </row>
  </sheetData>
  <mergeCells count="5">
    <mergeCell ref="E5:F5"/>
    <mergeCell ref="T5:AD5"/>
    <mergeCell ref="I5:S5"/>
    <mergeCell ref="AE5:AO5"/>
    <mergeCell ref="AP5:AZ5"/>
  </mergeCells>
  <pageMargins left="0.7" right="0.7" top="0.75" bottom="0.75" header="0.3" footer="0.3"/>
  <pageSetup paperSize="3" scale="49" fitToWidth="4" orientation="landscape" r:id="rId1"/>
  <colBreaks count="3" manualBreakCount="3">
    <brk id="19" max="75" man="1"/>
    <brk id="30" max="75" man="1"/>
    <brk id="41" max="75" man="1"/>
  </colBreaks>
  <extLst>
    <ext xmlns:x14="http://schemas.microsoft.com/office/spreadsheetml/2009/9/main" uri="{CCE6A557-97BC-4b89-ADB6-D9C93CAAB3DF}">
      <x14:dataValidations xmlns:xm="http://schemas.microsoft.com/office/excel/2006/main" count="2">
        <x14:dataValidation type="list" allowBlank="1" showInputMessage="1" showErrorMessage="1" xr:uid="{94B15756-52AA-4A21-AE3B-C64484AE3AC3}">
          <x14:formula1>
            <xm:f>README!$L$8:$L$17</xm:f>
          </x14:formula1>
          <xm:sqref>E7:E37</xm:sqref>
        </x14:dataValidation>
        <x14:dataValidation type="list" allowBlank="1" showInputMessage="1" showErrorMessage="1" xr:uid="{829AEB76-FFCD-4E1B-99C0-53E95BCF1DD4}">
          <x14:formula1>
            <xm:f>README!$M$8:$M$11</xm:f>
          </x14:formula1>
          <xm:sqref>F7:F37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311A9-848A-4F54-AB0B-340215C62004}">
  <sheetPr>
    <pageSetUpPr fitToPage="1"/>
  </sheetPr>
  <dimension ref="A1:AS53"/>
  <sheetViews>
    <sheetView zoomScaleNormal="100" workbookViewId="0"/>
  </sheetViews>
  <sheetFormatPr defaultColWidth="7.875" defaultRowHeight="14.25"/>
  <cols>
    <col min="1" max="1" width="11.375" style="99" customWidth="1"/>
    <col min="2" max="2" width="22.875" style="99" customWidth="1"/>
    <col min="3" max="3" width="14.125" style="99" customWidth="1"/>
    <col min="4" max="4" width="59.875" style="99" customWidth="1"/>
    <col min="5" max="5" width="13.625" style="98" customWidth="1"/>
    <col min="6" max="6" width="14.875" style="97" customWidth="1"/>
    <col min="7" max="7" width="14.375" style="97" customWidth="1"/>
    <col min="8" max="8" width="13.625" style="97" customWidth="1"/>
    <col min="9" max="9" width="22.5" style="97" customWidth="1"/>
    <col min="10" max="10" width="14.5" style="96" customWidth="1"/>
    <col min="11" max="11" width="13.625" style="96" customWidth="1"/>
    <col min="12" max="12" width="33.375" style="96" customWidth="1"/>
    <col min="13" max="13" width="15.5" style="95" customWidth="1"/>
    <col min="14" max="14" width="28.875" style="714" customWidth="1"/>
    <col min="15" max="15" width="45.5" style="714" customWidth="1"/>
    <col min="16" max="16" width="26" style="715" customWidth="1"/>
    <col min="17" max="17" width="35.625" style="715" customWidth="1"/>
    <col min="18" max="18" width="15.625" style="715" customWidth="1"/>
    <col min="19" max="20" width="26.375" style="715" customWidth="1"/>
    <col min="21" max="21" width="24.625" style="715" customWidth="1"/>
    <col min="22" max="16384" width="7.875" style="715"/>
  </cols>
  <sheetData>
    <row r="1" spans="1:45" s="357" customFormat="1">
      <c r="A1" s="885" t="s">
        <v>98</v>
      </c>
      <c r="B1" s="176" t="s">
        <v>1</v>
      </c>
      <c r="D1" s="374"/>
      <c r="E1" s="365"/>
      <c r="F1" s="376"/>
      <c r="G1" s="367"/>
      <c r="H1" s="367"/>
      <c r="I1" s="365"/>
      <c r="J1" s="365"/>
      <c r="K1" s="365"/>
      <c r="L1" s="653"/>
      <c r="M1" s="653"/>
      <c r="N1" s="653"/>
      <c r="O1" s="653"/>
      <c r="P1" s="653"/>
      <c r="Q1" s="362"/>
      <c r="R1" s="362"/>
      <c r="S1" s="362"/>
      <c r="T1" s="362"/>
      <c r="U1" s="371"/>
      <c r="V1" s="371"/>
      <c r="W1" s="371"/>
      <c r="X1" s="371"/>
      <c r="Y1" s="371"/>
      <c r="Z1" s="371"/>
      <c r="AA1" s="371"/>
      <c r="AB1" s="371"/>
      <c r="AC1" s="371"/>
      <c r="AD1" s="653"/>
      <c r="AE1" s="653"/>
      <c r="AF1" s="653"/>
      <c r="AG1" s="653"/>
      <c r="AH1" s="362"/>
      <c r="AI1" s="362"/>
      <c r="AJ1" s="362"/>
      <c r="AK1" s="371"/>
      <c r="AL1" s="371"/>
      <c r="AM1" s="371"/>
      <c r="AN1" s="371"/>
      <c r="AO1" s="371"/>
      <c r="AP1" s="371"/>
      <c r="AQ1" s="371"/>
      <c r="AR1" s="371"/>
      <c r="AS1" s="371"/>
    </row>
    <row r="2" spans="1:45" s="357" customFormat="1">
      <c r="A2" s="885" t="s">
        <v>99</v>
      </c>
      <c r="B2" s="176" t="s">
        <v>303</v>
      </c>
      <c r="D2" s="100"/>
      <c r="E2" s="365"/>
      <c r="F2" s="366"/>
      <c r="G2" s="367"/>
      <c r="H2" s="367"/>
      <c r="I2" s="365"/>
      <c r="J2" s="365"/>
      <c r="K2" s="365"/>
      <c r="L2" s="369"/>
      <c r="M2" s="653"/>
      <c r="N2" s="653"/>
      <c r="O2" s="653"/>
      <c r="P2" s="653"/>
      <c r="Q2" s="362"/>
      <c r="R2" s="362"/>
      <c r="S2" s="362"/>
      <c r="T2" s="362"/>
      <c r="U2" s="371"/>
      <c r="V2" s="371"/>
      <c r="W2" s="371"/>
      <c r="X2" s="371"/>
      <c r="Y2" s="371"/>
      <c r="Z2" s="371"/>
      <c r="AA2" s="371"/>
      <c r="AB2" s="371"/>
      <c r="AC2" s="371"/>
      <c r="AD2" s="653"/>
      <c r="AE2" s="653"/>
      <c r="AF2" s="653"/>
      <c r="AG2" s="653"/>
      <c r="AH2" s="362"/>
      <c r="AI2" s="362"/>
      <c r="AJ2" s="362"/>
      <c r="AK2" s="371"/>
      <c r="AL2" s="371"/>
      <c r="AM2" s="371"/>
      <c r="AN2" s="371"/>
      <c r="AO2" s="371"/>
      <c r="AP2" s="371"/>
      <c r="AQ2" s="371"/>
      <c r="AR2" s="371"/>
      <c r="AS2" s="371"/>
    </row>
    <row r="3" spans="1:45" s="357" customFormat="1">
      <c r="A3" s="382" t="s">
        <v>687</v>
      </c>
      <c r="C3" s="382"/>
      <c r="D3" s="100"/>
      <c r="F3" s="376"/>
      <c r="G3" s="367"/>
      <c r="H3" s="367"/>
      <c r="L3" s="383"/>
      <c r="M3" s="383"/>
      <c r="N3" s="383"/>
      <c r="O3" s="383"/>
      <c r="P3" s="383"/>
      <c r="Q3" s="386"/>
      <c r="R3" s="386"/>
      <c r="S3" s="390"/>
      <c r="T3" s="390"/>
      <c r="U3" s="387"/>
      <c r="V3" s="387"/>
      <c r="W3" s="387"/>
      <c r="X3" s="387"/>
      <c r="Y3" s="387"/>
      <c r="Z3" s="387"/>
      <c r="AA3" s="387"/>
      <c r="AB3" s="387"/>
      <c r="AC3" s="387"/>
      <c r="AD3" s="383"/>
      <c r="AE3" s="383"/>
      <c r="AF3" s="383"/>
      <c r="AG3" s="383"/>
      <c r="AH3" s="386"/>
      <c r="AI3" s="386"/>
      <c r="AJ3" s="390"/>
      <c r="AK3" s="387"/>
      <c r="AL3" s="387"/>
      <c r="AM3" s="387"/>
      <c r="AN3" s="387"/>
      <c r="AO3" s="387"/>
      <c r="AP3" s="387"/>
      <c r="AQ3" s="387"/>
      <c r="AR3" s="387"/>
      <c r="AS3" s="387"/>
    </row>
    <row r="4" spans="1:45">
      <c r="A4" s="103"/>
      <c r="D4" s="100"/>
    </row>
    <row r="5" spans="1:45">
      <c r="A5" s="100" t="s">
        <v>688</v>
      </c>
      <c r="D5" s="100"/>
      <c r="O5" s="102"/>
      <c r="P5" s="101"/>
      <c r="Q5" s="101"/>
    </row>
    <row r="6" spans="1:45" s="716" customFormat="1" ht="85.5">
      <c r="A6" s="244" t="s">
        <v>689</v>
      </c>
      <c r="B6" s="244" t="s">
        <v>690</v>
      </c>
      <c r="C6" s="244" t="s">
        <v>691</v>
      </c>
      <c r="D6" s="244" t="s">
        <v>692</v>
      </c>
      <c r="E6" s="130" t="s">
        <v>693</v>
      </c>
      <c r="F6" s="131" t="s">
        <v>694</v>
      </c>
      <c r="G6" s="131" t="s">
        <v>695</v>
      </c>
      <c r="H6" s="131" t="s">
        <v>696</v>
      </c>
      <c r="I6" s="131" t="s">
        <v>697</v>
      </c>
      <c r="J6" s="131" t="s">
        <v>698</v>
      </c>
      <c r="K6" s="132" t="s">
        <v>699</v>
      </c>
      <c r="L6" s="132" t="s">
        <v>700</v>
      </c>
      <c r="M6" s="132" t="s">
        <v>701</v>
      </c>
      <c r="N6" s="133" t="s">
        <v>702</v>
      </c>
      <c r="O6" s="244" t="s">
        <v>703</v>
      </c>
      <c r="P6" s="244" t="s">
        <v>704</v>
      </c>
      <c r="Q6" s="105"/>
      <c r="R6" s="105"/>
      <c r="S6" s="105"/>
      <c r="T6" s="105"/>
      <c r="U6" s="105"/>
      <c r="AE6" s="1227"/>
      <c r="AF6" s="1227"/>
      <c r="AG6" s="1227"/>
    </row>
    <row r="7" spans="1:45" s="716" customFormat="1">
      <c r="A7" s="1228"/>
      <c r="E7" s="1229"/>
      <c r="F7" s="1230"/>
      <c r="G7" s="1230"/>
      <c r="H7" s="1230"/>
      <c r="I7" s="1230"/>
      <c r="J7" s="1231"/>
      <c r="K7" s="1231"/>
      <c r="L7" s="1231"/>
      <c r="M7" s="1232"/>
      <c r="N7" s="1233"/>
      <c r="O7" s="1233"/>
    </row>
    <row r="8" spans="1:45" s="716" customFormat="1">
      <c r="A8" s="1234" t="s">
        <v>705</v>
      </c>
      <c r="B8" s="1235"/>
      <c r="C8" s="1235"/>
      <c r="D8" s="1234"/>
      <c r="E8" s="1236"/>
      <c r="F8" s="1237"/>
      <c r="G8" s="1237"/>
      <c r="H8" s="1237"/>
      <c r="I8" s="1237"/>
      <c r="J8" s="1238"/>
      <c r="K8" s="1238"/>
      <c r="L8" s="1238"/>
      <c r="M8" s="1232"/>
      <c r="N8" s="1228"/>
      <c r="O8" s="105"/>
      <c r="P8" s="1239"/>
      <c r="Q8" s="1239"/>
    </row>
    <row r="9" spans="1:45" s="716" customFormat="1" ht="85.5">
      <c r="A9" s="244" t="s">
        <v>689</v>
      </c>
      <c r="B9" s="244" t="s">
        <v>690</v>
      </c>
      <c r="C9" s="244" t="s">
        <v>691</v>
      </c>
      <c r="D9" s="244" t="s">
        <v>706</v>
      </c>
      <c r="E9" s="130" t="s">
        <v>693</v>
      </c>
      <c r="F9" s="131" t="s">
        <v>707</v>
      </c>
      <c r="G9" s="131" t="s">
        <v>694</v>
      </c>
      <c r="H9" s="131" t="s">
        <v>695</v>
      </c>
      <c r="I9" s="131" t="s">
        <v>696</v>
      </c>
      <c r="J9" s="131" t="s">
        <v>697</v>
      </c>
      <c r="K9" s="131" t="s">
        <v>698</v>
      </c>
      <c r="L9" s="132" t="s">
        <v>699</v>
      </c>
      <c r="M9" s="132" t="s">
        <v>700</v>
      </c>
      <c r="N9" s="132" t="s">
        <v>701</v>
      </c>
      <c r="O9" s="133" t="s">
        <v>702</v>
      </c>
      <c r="P9" s="244" t="s">
        <v>708</v>
      </c>
      <c r="Q9" s="105"/>
      <c r="R9" s="105"/>
      <c r="S9" s="105"/>
      <c r="T9" s="105"/>
      <c r="U9" s="105"/>
    </row>
    <row r="10" spans="1:45" s="716" customFormat="1" ht="142.5">
      <c r="A10" s="1240" t="s">
        <v>709</v>
      </c>
      <c r="B10" s="1241" t="s">
        <v>710</v>
      </c>
      <c r="C10" s="1241" t="s">
        <v>711</v>
      </c>
      <c r="D10" s="1241" t="s">
        <v>712</v>
      </c>
      <c r="E10" s="1242"/>
      <c r="F10" s="1243">
        <v>1.03</v>
      </c>
      <c r="G10" s="1243">
        <v>0.73</v>
      </c>
      <c r="H10" s="1243">
        <v>0</v>
      </c>
      <c r="I10" s="1243">
        <v>0</v>
      </c>
      <c r="J10" s="1243">
        <v>0</v>
      </c>
      <c r="K10" s="1244"/>
      <c r="L10" s="1245">
        <v>490000</v>
      </c>
      <c r="M10" s="1245">
        <v>539000</v>
      </c>
      <c r="N10" s="1245">
        <v>416000</v>
      </c>
      <c r="O10" s="1246">
        <v>2006</v>
      </c>
      <c r="P10" s="1247"/>
      <c r="Q10" s="1233"/>
      <c r="R10" s="1233"/>
      <c r="S10" s="1233"/>
      <c r="T10" s="1233"/>
      <c r="U10" s="1233"/>
    </row>
    <row r="11" spans="1:45" s="716" customFormat="1" ht="142.5">
      <c r="A11" s="1240" t="s">
        <v>713</v>
      </c>
      <c r="B11" s="1241" t="s">
        <v>710</v>
      </c>
      <c r="C11" s="1241" t="s">
        <v>711</v>
      </c>
      <c r="D11" s="1248" t="s">
        <v>714</v>
      </c>
      <c r="E11" s="1249"/>
      <c r="F11" s="1250">
        <v>0.04</v>
      </c>
      <c r="G11" s="1250">
        <v>0</v>
      </c>
      <c r="H11" s="1250">
        <v>0</v>
      </c>
      <c r="I11" s="1250">
        <v>0</v>
      </c>
      <c r="J11" s="1250">
        <v>0</v>
      </c>
      <c r="K11" s="1250">
        <v>0</v>
      </c>
      <c r="L11" s="1251">
        <v>578000</v>
      </c>
      <c r="M11" s="1251">
        <v>323000</v>
      </c>
      <c r="N11" s="1251">
        <v>218000</v>
      </c>
      <c r="O11" s="1252">
        <v>2006</v>
      </c>
      <c r="P11" s="1253"/>
      <c r="Q11" s="1233"/>
      <c r="R11" s="1233"/>
      <c r="S11" s="1233"/>
      <c r="T11" s="1233"/>
      <c r="U11" s="1233"/>
    </row>
    <row r="12" spans="1:45" s="716" customFormat="1" ht="199.5">
      <c r="A12" s="1254" t="s">
        <v>715</v>
      </c>
      <c r="B12" s="1255" t="s">
        <v>710</v>
      </c>
      <c r="C12" s="1248" t="s">
        <v>711</v>
      </c>
      <c r="D12" s="1256" t="s">
        <v>716</v>
      </c>
      <c r="E12" s="1249"/>
      <c r="F12" s="1250">
        <v>1.95</v>
      </c>
      <c r="G12" s="1250">
        <v>0.18</v>
      </c>
      <c r="H12" s="1250">
        <v>1.9</v>
      </c>
      <c r="I12" s="1250">
        <v>1.43</v>
      </c>
      <c r="J12" s="1250">
        <v>1.59</v>
      </c>
      <c r="K12" s="1250">
        <v>1.62</v>
      </c>
      <c r="L12" s="1251">
        <v>12457959</v>
      </c>
      <c r="M12" s="1251">
        <v>10391000</v>
      </c>
      <c r="N12" s="1251">
        <v>6385492</v>
      </c>
      <c r="O12" s="1252">
        <v>2006</v>
      </c>
      <c r="P12" s="1253"/>
      <c r="Q12" s="1233"/>
      <c r="R12" s="1233"/>
      <c r="S12" s="1233"/>
      <c r="T12" s="1233"/>
      <c r="U12" s="1233"/>
    </row>
    <row r="13" spans="1:45" s="716" customFormat="1">
      <c r="A13" s="1228"/>
      <c r="E13" s="1229"/>
      <c r="F13" s="1230"/>
      <c r="G13" s="1230"/>
      <c r="H13" s="1230"/>
      <c r="I13" s="1230"/>
      <c r="J13" s="1231"/>
      <c r="K13" s="1231"/>
      <c r="L13" s="1231"/>
      <c r="M13" s="1232"/>
      <c r="N13" s="1233"/>
      <c r="O13" s="1233"/>
    </row>
    <row r="14" spans="1:45" s="716" customFormat="1">
      <c r="A14" s="1234" t="s">
        <v>717</v>
      </c>
      <c r="B14" s="1235"/>
      <c r="C14" s="1235"/>
      <c r="E14" s="1257"/>
      <c r="F14" s="1237"/>
      <c r="G14" s="1237"/>
      <c r="H14" s="1237"/>
      <c r="I14" s="1237"/>
      <c r="J14" s="1238"/>
      <c r="K14" s="1238"/>
      <c r="L14" s="1238"/>
      <c r="M14" s="1232"/>
      <c r="N14" s="1228"/>
      <c r="O14" s="1228"/>
    </row>
    <row r="15" spans="1:45" s="716" customFormat="1" ht="99.75">
      <c r="A15" s="244" t="s">
        <v>718</v>
      </c>
      <c r="B15" s="244" t="s">
        <v>719</v>
      </c>
      <c r="C15" s="244" t="s">
        <v>720</v>
      </c>
      <c r="D15" s="244" t="s">
        <v>721</v>
      </c>
      <c r="E15" s="130" t="s">
        <v>693</v>
      </c>
      <c r="F15" s="131" t="s">
        <v>707</v>
      </c>
      <c r="G15" s="131" t="s">
        <v>694</v>
      </c>
      <c r="H15" s="131" t="s">
        <v>695</v>
      </c>
      <c r="I15" s="131" t="s">
        <v>696</v>
      </c>
      <c r="J15" s="131" t="s">
        <v>722</v>
      </c>
      <c r="K15" s="131" t="s">
        <v>723</v>
      </c>
      <c r="L15" s="132" t="s">
        <v>699</v>
      </c>
      <c r="M15" s="132" t="s">
        <v>700</v>
      </c>
      <c r="N15" s="132" t="s">
        <v>701</v>
      </c>
      <c r="O15" s="133" t="s">
        <v>724</v>
      </c>
      <c r="P15" s="244" t="s">
        <v>708</v>
      </c>
      <c r="Q15" s="244" t="s">
        <v>725</v>
      </c>
    </row>
    <row r="16" spans="1:45" s="716" customFormat="1">
      <c r="A16" s="1232"/>
      <c r="B16" s="1235"/>
      <c r="C16" s="1235"/>
      <c r="E16" s="1257"/>
      <c r="F16" s="1237"/>
      <c r="G16" s="1237"/>
      <c r="H16" s="1237"/>
      <c r="I16" s="1237"/>
      <c r="J16" s="1238"/>
      <c r="K16" s="1238"/>
      <c r="L16" s="1238"/>
      <c r="M16" s="1232"/>
      <c r="N16" s="1228"/>
      <c r="O16" s="1228"/>
    </row>
    <row r="17" spans="1:15" s="716" customFormat="1">
      <c r="A17" s="1234" t="s">
        <v>726</v>
      </c>
      <c r="B17" s="1235"/>
      <c r="C17" s="1235"/>
      <c r="E17" s="1257"/>
      <c r="F17" s="1237"/>
      <c r="G17" s="1237"/>
      <c r="H17" s="1237"/>
      <c r="I17" s="1237"/>
      <c r="J17" s="1238"/>
      <c r="K17" s="1238"/>
      <c r="L17" s="1238"/>
      <c r="M17" s="1232"/>
      <c r="N17" s="1228"/>
      <c r="O17" s="1228"/>
    </row>
    <row r="18" spans="1:15" s="716" customFormat="1" ht="71.25">
      <c r="A18" s="244" t="s">
        <v>718</v>
      </c>
      <c r="B18" s="244" t="s">
        <v>719</v>
      </c>
      <c r="C18" s="244" t="s">
        <v>720</v>
      </c>
      <c r="D18" s="244" t="s">
        <v>727</v>
      </c>
      <c r="E18" s="130"/>
      <c r="F18" s="130" t="s">
        <v>693</v>
      </c>
      <c r="G18" s="131" t="s">
        <v>728</v>
      </c>
      <c r="H18" s="131" t="s">
        <v>723</v>
      </c>
      <c r="I18" s="131" t="s">
        <v>696</v>
      </c>
      <c r="J18" s="131" t="s">
        <v>729</v>
      </c>
      <c r="K18" s="131" t="s">
        <v>697</v>
      </c>
      <c r="L18" s="132" t="s">
        <v>730</v>
      </c>
      <c r="M18" s="133" t="s">
        <v>724</v>
      </c>
      <c r="N18" s="244" t="s">
        <v>731</v>
      </c>
      <c r="O18" s="244" t="s">
        <v>732</v>
      </c>
    </row>
    <row r="19" spans="1:15" s="716" customFormat="1" ht="42.75">
      <c r="A19" s="1246" t="s">
        <v>733</v>
      </c>
      <c r="B19" s="1258" t="s">
        <v>734</v>
      </c>
      <c r="C19" s="1258" t="s">
        <v>720</v>
      </c>
      <c r="D19" s="1241" t="s">
        <v>735</v>
      </c>
      <c r="E19" s="1259"/>
      <c r="F19" s="1260">
        <v>2.3199999999999998</v>
      </c>
      <c r="G19" s="1261">
        <v>152772.22</v>
      </c>
      <c r="H19" s="1261">
        <v>78533412.349999994</v>
      </c>
      <c r="I19" s="1262">
        <v>513.65</v>
      </c>
      <c r="J19" s="1263">
        <v>355170.17</v>
      </c>
      <c r="K19" s="1263">
        <v>45845272.630000003</v>
      </c>
      <c r="L19" s="1264">
        <v>5.38</v>
      </c>
      <c r="M19" s="1246">
        <v>2020</v>
      </c>
      <c r="N19" s="1240" t="s">
        <v>168</v>
      </c>
      <c r="O19" s="1240" t="s">
        <v>736</v>
      </c>
    </row>
    <row r="20" spans="1:15" s="716" customFormat="1" ht="42.75">
      <c r="A20" s="1246" t="s">
        <v>733</v>
      </c>
      <c r="B20" s="1258" t="s">
        <v>734</v>
      </c>
      <c r="C20" s="1258" t="s">
        <v>720</v>
      </c>
      <c r="D20" s="1248" t="s">
        <v>737</v>
      </c>
      <c r="E20" s="1265"/>
      <c r="F20" s="1266">
        <v>1.62</v>
      </c>
      <c r="G20" s="1267">
        <v>353653.83</v>
      </c>
      <c r="H20" s="1267">
        <v>747021.45</v>
      </c>
      <c r="I20" s="1268">
        <v>1.02</v>
      </c>
      <c r="J20" s="1269">
        <v>572703.18000000005</v>
      </c>
      <c r="K20" s="1269">
        <v>678073.05</v>
      </c>
      <c r="L20" s="1270">
        <v>0.57999999999999996</v>
      </c>
      <c r="M20" s="1252">
        <v>2021</v>
      </c>
      <c r="N20" s="1240" t="s">
        <v>168</v>
      </c>
      <c r="O20" s="1240" t="s">
        <v>736</v>
      </c>
    </row>
    <row r="21" spans="1:15" s="716" customFormat="1" ht="85.5">
      <c r="A21" s="1246" t="s">
        <v>733</v>
      </c>
      <c r="B21" s="1258" t="s">
        <v>734</v>
      </c>
      <c r="C21" s="1258" t="s">
        <v>720</v>
      </c>
      <c r="D21" s="1254" t="s">
        <v>738</v>
      </c>
      <c r="E21" s="1265"/>
      <c r="F21" s="1271" t="s">
        <v>739</v>
      </c>
      <c r="G21" s="1272" t="s">
        <v>740</v>
      </c>
      <c r="H21" s="1272" t="s">
        <v>741</v>
      </c>
      <c r="I21" s="1273" t="s">
        <v>742</v>
      </c>
      <c r="J21" s="1274" t="s">
        <v>743</v>
      </c>
      <c r="K21" s="1275" t="s">
        <v>744</v>
      </c>
      <c r="L21" s="1276" t="s">
        <v>745</v>
      </c>
      <c r="M21" s="1252">
        <v>2022</v>
      </c>
      <c r="N21" s="1240" t="s">
        <v>168</v>
      </c>
      <c r="O21" s="1240" t="s">
        <v>736</v>
      </c>
    </row>
    <row r="22" spans="1:15" s="716" customFormat="1" ht="171">
      <c r="A22" s="1252" t="s">
        <v>746</v>
      </c>
      <c r="B22" s="1258" t="s">
        <v>734</v>
      </c>
      <c r="C22" s="1277" t="s">
        <v>711</v>
      </c>
      <c r="D22" s="1254" t="s">
        <v>747</v>
      </c>
      <c r="E22" s="1265"/>
      <c r="F22" s="1266">
        <v>1.41</v>
      </c>
      <c r="G22" s="1272">
        <v>6017996</v>
      </c>
      <c r="H22" s="1272">
        <v>5981899.9500000002</v>
      </c>
      <c r="I22" s="1273">
        <v>0.65</v>
      </c>
      <c r="J22" s="1275" t="s">
        <v>748</v>
      </c>
      <c r="K22" s="1275" t="s">
        <v>749</v>
      </c>
      <c r="L22" s="1276" t="s">
        <v>750</v>
      </c>
      <c r="M22" s="1252">
        <v>2023</v>
      </c>
      <c r="N22" s="1240" t="s">
        <v>168</v>
      </c>
      <c r="O22" s="1240" t="s">
        <v>736</v>
      </c>
    </row>
    <row r="23" spans="1:15" s="716" customFormat="1" ht="114">
      <c r="A23" s="1252" t="s">
        <v>751</v>
      </c>
      <c r="B23" s="1258" t="s">
        <v>734</v>
      </c>
      <c r="C23" s="1277" t="s">
        <v>711</v>
      </c>
      <c r="D23" s="1248" t="s">
        <v>752</v>
      </c>
      <c r="E23" s="1265"/>
      <c r="F23" s="1266">
        <v>2.5499999999999998</v>
      </c>
      <c r="G23" s="1267">
        <v>850757</v>
      </c>
      <c r="H23" s="1267">
        <v>1849508.32</v>
      </c>
      <c r="I23" s="1268">
        <v>3.38</v>
      </c>
      <c r="J23" s="1269">
        <v>2165607.1800000002</v>
      </c>
      <c r="K23" s="1269">
        <v>2491148.91</v>
      </c>
      <c r="L23" s="1270">
        <v>1.53</v>
      </c>
      <c r="M23" s="1252">
        <v>2022</v>
      </c>
      <c r="N23" s="1240" t="s">
        <v>168</v>
      </c>
      <c r="O23" s="1240" t="s">
        <v>736</v>
      </c>
    </row>
    <row r="24" spans="1:15" s="716" customFormat="1" ht="142.5">
      <c r="A24" s="1252" t="s">
        <v>753</v>
      </c>
      <c r="B24" s="1258" t="s">
        <v>734</v>
      </c>
      <c r="C24" s="1277" t="s">
        <v>711</v>
      </c>
      <c r="D24" s="1248" t="s">
        <v>754</v>
      </c>
      <c r="E24" s="1265"/>
      <c r="F24" s="1266">
        <v>2.04</v>
      </c>
      <c r="G24" s="1267">
        <v>1556750</v>
      </c>
      <c r="H24" s="1267">
        <v>0</v>
      </c>
      <c r="I24" s="1278">
        <v>0</v>
      </c>
      <c r="J24" s="1269">
        <v>3172408.27</v>
      </c>
      <c r="K24" s="1269">
        <v>1606730.72</v>
      </c>
      <c r="L24" s="1270">
        <v>0.39</v>
      </c>
      <c r="M24" s="1252">
        <v>2022</v>
      </c>
      <c r="N24" s="1240" t="s">
        <v>168</v>
      </c>
      <c r="O24" s="1240" t="s">
        <v>736</v>
      </c>
    </row>
    <row r="25" spans="1:15" s="716" customFormat="1" ht="71.25">
      <c r="A25" s="1252" t="s">
        <v>755</v>
      </c>
      <c r="B25" s="1258" t="s">
        <v>734</v>
      </c>
      <c r="C25" s="1277" t="s">
        <v>711</v>
      </c>
      <c r="D25" s="1248" t="s">
        <v>756</v>
      </c>
      <c r="E25" s="1265"/>
      <c r="F25" s="1266">
        <v>1.78</v>
      </c>
      <c r="G25" s="1267">
        <v>760000</v>
      </c>
      <c r="H25" s="1267">
        <v>0</v>
      </c>
      <c r="I25" s="1278">
        <v>0</v>
      </c>
      <c r="J25" s="1269">
        <v>1352370.52</v>
      </c>
      <c r="K25" s="1269">
        <v>0</v>
      </c>
      <c r="L25" s="1279">
        <v>0</v>
      </c>
      <c r="M25" s="1252">
        <v>2023</v>
      </c>
      <c r="N25" s="1240" t="s">
        <v>168</v>
      </c>
      <c r="O25" s="1240" t="s">
        <v>736</v>
      </c>
    </row>
    <row r="26" spans="1:15" s="716" customFormat="1" ht="71.25">
      <c r="A26" s="1252" t="s">
        <v>757</v>
      </c>
      <c r="B26" s="1258" t="s">
        <v>734</v>
      </c>
      <c r="C26" s="1277" t="s">
        <v>711</v>
      </c>
      <c r="D26" s="1248" t="s">
        <v>758</v>
      </c>
      <c r="E26" s="1265"/>
      <c r="F26" s="1266">
        <v>1.54</v>
      </c>
      <c r="G26" s="1267">
        <v>76812</v>
      </c>
      <c r="H26" s="1267">
        <v>230720.4</v>
      </c>
      <c r="I26" s="1268">
        <v>3.13</v>
      </c>
      <c r="J26" s="1269">
        <v>118110.35</v>
      </c>
      <c r="K26" s="1269">
        <v>180723.47</v>
      </c>
      <c r="L26" s="1270">
        <v>1.57</v>
      </c>
      <c r="M26" s="1252">
        <v>2019</v>
      </c>
      <c r="N26" s="1240" t="s">
        <v>168</v>
      </c>
      <c r="O26" s="1240" t="s">
        <v>736</v>
      </c>
    </row>
    <row r="27" spans="1:15" s="716" customFormat="1" ht="142.5">
      <c r="A27" s="1252" t="s">
        <v>759</v>
      </c>
      <c r="B27" s="1258" t="s">
        <v>734</v>
      </c>
      <c r="C27" s="1277" t="s">
        <v>711</v>
      </c>
      <c r="D27" s="1248" t="s">
        <v>760</v>
      </c>
      <c r="E27" s="1265"/>
      <c r="F27" s="1266">
        <v>1.45</v>
      </c>
      <c r="G27" s="1267">
        <v>3316158</v>
      </c>
      <c r="H27" s="1267">
        <v>916347.48</v>
      </c>
      <c r="I27" s="1268">
        <v>0.28999999999999998</v>
      </c>
      <c r="J27" s="1269">
        <v>4808045.46</v>
      </c>
      <c r="K27" s="1269">
        <v>1793916.68</v>
      </c>
      <c r="L27" s="1270">
        <v>0.39</v>
      </c>
      <c r="M27" s="1252">
        <v>2020</v>
      </c>
      <c r="N27" s="1240" t="s">
        <v>168</v>
      </c>
      <c r="O27" s="1240" t="s">
        <v>736</v>
      </c>
    </row>
    <row r="28" spans="1:15" s="716" customFormat="1" ht="171">
      <c r="A28" s="1252" t="s">
        <v>746</v>
      </c>
      <c r="B28" s="1258" t="s">
        <v>734</v>
      </c>
      <c r="C28" s="1277" t="s">
        <v>711</v>
      </c>
      <c r="D28" s="1254" t="s">
        <v>761</v>
      </c>
      <c r="E28" s="1265"/>
      <c r="F28" s="1266">
        <v>1.9</v>
      </c>
      <c r="G28" s="1267">
        <v>1500026</v>
      </c>
      <c r="H28" s="1267">
        <v>2283078.7000000002</v>
      </c>
      <c r="I28" s="1268">
        <v>1.54</v>
      </c>
      <c r="J28" s="1275" t="s">
        <v>762</v>
      </c>
      <c r="K28" s="1275" t="s">
        <v>763</v>
      </c>
      <c r="L28" s="1276" t="s">
        <v>764</v>
      </c>
      <c r="M28" s="1252">
        <v>2020</v>
      </c>
      <c r="N28" s="1240" t="s">
        <v>168</v>
      </c>
      <c r="O28" s="1240" t="s">
        <v>736</v>
      </c>
    </row>
    <row r="29" spans="1:15" s="716" customFormat="1" ht="171">
      <c r="A29" s="1252" t="s">
        <v>746</v>
      </c>
      <c r="B29" s="1258" t="s">
        <v>734</v>
      </c>
      <c r="C29" s="1277" t="s">
        <v>711</v>
      </c>
      <c r="D29" s="1254" t="s">
        <v>765</v>
      </c>
      <c r="E29" s="1265"/>
      <c r="F29" s="1266">
        <v>1.94</v>
      </c>
      <c r="G29" s="1267">
        <v>3150353</v>
      </c>
      <c r="H29" s="1267">
        <v>2003808.15</v>
      </c>
      <c r="I29" s="1268">
        <v>0.66</v>
      </c>
      <c r="J29" s="1275" t="s">
        <v>766</v>
      </c>
      <c r="K29" s="1275" t="s">
        <v>767</v>
      </c>
      <c r="L29" s="1276" t="s">
        <v>768</v>
      </c>
      <c r="M29" s="1252">
        <v>2020</v>
      </c>
      <c r="N29" s="1240" t="s">
        <v>168</v>
      </c>
      <c r="O29" s="1240" t="s">
        <v>736</v>
      </c>
    </row>
    <row r="30" spans="1:15" s="716" customFormat="1" ht="142.5">
      <c r="A30" s="1252" t="s">
        <v>759</v>
      </c>
      <c r="B30" s="1258" t="s">
        <v>734</v>
      </c>
      <c r="C30" s="1277" t="s">
        <v>711</v>
      </c>
      <c r="D30" s="1248" t="s">
        <v>769</v>
      </c>
      <c r="E30" s="1265"/>
      <c r="F30" s="1266">
        <v>1.56</v>
      </c>
      <c r="G30" s="1267">
        <v>1699958</v>
      </c>
      <c r="H30" s="1267">
        <v>1630880.98</v>
      </c>
      <c r="I30" s="1268">
        <v>1</v>
      </c>
      <c r="J30" s="1269">
        <v>2656416.9900000002</v>
      </c>
      <c r="K30" s="1269">
        <v>1425200.69</v>
      </c>
      <c r="L30" s="1270">
        <v>0.56000000000000005</v>
      </c>
      <c r="M30" s="1252">
        <v>2021</v>
      </c>
      <c r="N30" s="1240" t="s">
        <v>168</v>
      </c>
      <c r="O30" s="1240" t="s">
        <v>736</v>
      </c>
    </row>
    <row r="31" spans="1:15" s="716" customFormat="1" ht="142.5">
      <c r="A31" s="1252" t="s">
        <v>759</v>
      </c>
      <c r="B31" s="1258" t="s">
        <v>734</v>
      </c>
      <c r="C31" s="1277" t="s">
        <v>711</v>
      </c>
      <c r="D31" s="1248" t="s">
        <v>770</v>
      </c>
      <c r="E31" s="1265"/>
      <c r="F31" s="1266">
        <v>1.94</v>
      </c>
      <c r="G31" s="1267">
        <v>1000000</v>
      </c>
      <c r="H31" s="1267">
        <v>786742.22</v>
      </c>
      <c r="I31" s="1268">
        <v>0.81</v>
      </c>
      <c r="J31" s="1269">
        <v>1940831.43</v>
      </c>
      <c r="K31" s="1269">
        <v>844862.88</v>
      </c>
      <c r="L31" s="1270">
        <v>0.45</v>
      </c>
      <c r="M31" s="1252">
        <v>2021</v>
      </c>
      <c r="N31" s="1240" t="s">
        <v>168</v>
      </c>
      <c r="O31" s="1240" t="s">
        <v>736</v>
      </c>
    </row>
    <row r="32" spans="1:15" s="716" customFormat="1" ht="171">
      <c r="A32" s="1252" t="s">
        <v>746</v>
      </c>
      <c r="B32" s="1258" t="s">
        <v>734</v>
      </c>
      <c r="C32" s="1277" t="s">
        <v>711</v>
      </c>
      <c r="D32" s="1254" t="s">
        <v>771</v>
      </c>
      <c r="E32" s="1265"/>
      <c r="F32" s="1266">
        <v>2.2000000000000002</v>
      </c>
      <c r="G32" s="1267">
        <v>2198719</v>
      </c>
      <c r="H32" s="1267">
        <v>4325505.21</v>
      </c>
      <c r="I32" s="1268">
        <v>1.79</v>
      </c>
      <c r="J32" s="1275" t="s">
        <v>772</v>
      </c>
      <c r="K32" s="1275" t="s">
        <v>773</v>
      </c>
      <c r="L32" s="1276" t="s">
        <v>774</v>
      </c>
      <c r="M32" s="1252">
        <v>2020</v>
      </c>
      <c r="N32" s="1240" t="s">
        <v>168</v>
      </c>
      <c r="O32" s="1240" t="s">
        <v>736</v>
      </c>
    </row>
    <row r="33" spans="1:15" s="716" customFormat="1" ht="114">
      <c r="A33" s="1252" t="s">
        <v>775</v>
      </c>
      <c r="B33" s="1258" t="s">
        <v>734</v>
      </c>
      <c r="C33" s="1277" t="s">
        <v>711</v>
      </c>
      <c r="D33" s="1280" t="s">
        <v>776</v>
      </c>
      <c r="E33" s="1281"/>
      <c r="F33" s="1282">
        <v>1.57</v>
      </c>
      <c r="G33" s="1283">
        <v>648338</v>
      </c>
      <c r="H33" s="1283">
        <v>87109.15</v>
      </c>
      <c r="I33" s="1284">
        <v>0.14000000000000001</v>
      </c>
      <c r="J33" s="1285">
        <v>1019818.94</v>
      </c>
      <c r="K33" s="1285">
        <v>907176.04</v>
      </c>
      <c r="L33" s="1286">
        <v>0.91</v>
      </c>
      <c r="M33" s="1287">
        <v>2020</v>
      </c>
      <c r="N33" s="1240" t="s">
        <v>168</v>
      </c>
      <c r="O33" s="1240" t="s">
        <v>736</v>
      </c>
    </row>
    <row r="34" spans="1:15" s="716" customFormat="1" ht="171">
      <c r="A34" s="1252" t="s">
        <v>746</v>
      </c>
      <c r="B34" s="1277" t="s">
        <v>734</v>
      </c>
      <c r="C34" s="1288" t="s">
        <v>711</v>
      </c>
      <c r="D34" s="1254" t="s">
        <v>777</v>
      </c>
      <c r="E34" s="1265"/>
      <c r="F34" s="1266">
        <v>1.46</v>
      </c>
      <c r="G34" s="1267">
        <v>2977855.41</v>
      </c>
      <c r="H34" s="1267">
        <v>3535346.73</v>
      </c>
      <c r="I34" s="1268">
        <v>0.46</v>
      </c>
      <c r="J34" s="1275" t="s">
        <v>778</v>
      </c>
      <c r="K34" s="1275" t="s">
        <v>779</v>
      </c>
      <c r="L34" s="1276" t="s">
        <v>780</v>
      </c>
      <c r="M34" s="1252">
        <v>2020</v>
      </c>
      <c r="N34" s="1254" t="s">
        <v>168</v>
      </c>
      <c r="O34" s="1240" t="s">
        <v>736</v>
      </c>
    </row>
    <row r="35" spans="1:15" s="716" customFormat="1">
      <c r="A35" s="1235"/>
      <c r="B35" s="1235"/>
      <c r="C35" s="1235"/>
      <c r="D35" s="1235"/>
      <c r="E35" s="1236"/>
      <c r="F35" s="1237"/>
      <c r="G35" s="1237"/>
      <c r="H35" s="1237"/>
      <c r="I35" s="1237"/>
      <c r="J35" s="1238"/>
      <c r="K35" s="1238"/>
      <c r="L35" s="1238"/>
      <c r="M35" s="1232"/>
      <c r="N35" s="1228"/>
      <c r="O35" s="1228"/>
    </row>
    <row r="36" spans="1:15" s="716" customFormat="1">
      <c r="A36" s="1234" t="s">
        <v>781</v>
      </c>
      <c r="B36" s="1235"/>
      <c r="C36" s="1235"/>
      <c r="D36" s="1235"/>
      <c r="E36" s="1236"/>
      <c r="F36" s="1237"/>
      <c r="G36" s="1237"/>
      <c r="H36" s="1237"/>
      <c r="I36" s="1237"/>
      <c r="J36" s="1238"/>
      <c r="K36" s="1238"/>
      <c r="L36" s="1238"/>
      <c r="M36" s="1232"/>
      <c r="N36" s="1228"/>
      <c r="O36" s="1228"/>
    </row>
    <row r="37" spans="1:15" s="716" customFormat="1">
      <c r="A37" s="1235"/>
      <c r="B37" s="1235"/>
      <c r="C37" s="1235"/>
      <c r="D37" s="1235"/>
      <c r="E37" s="1236"/>
      <c r="F37" s="1237"/>
      <c r="G37" s="1237"/>
      <c r="H37" s="1237"/>
      <c r="I37" s="1237"/>
      <c r="J37" s="1238"/>
      <c r="K37" s="1238"/>
      <c r="L37" s="1238"/>
      <c r="M37" s="1232"/>
      <c r="N37" s="1228"/>
      <c r="O37" s="1228"/>
    </row>
    <row r="38" spans="1:15" s="716" customFormat="1" ht="71.25">
      <c r="A38" s="244" t="s">
        <v>718</v>
      </c>
      <c r="B38" s="244" t="s">
        <v>719</v>
      </c>
      <c r="C38" s="244" t="s">
        <v>720</v>
      </c>
      <c r="D38" s="134" t="s">
        <v>782</v>
      </c>
      <c r="E38" s="131" t="s">
        <v>783</v>
      </c>
      <c r="F38" s="131" t="s">
        <v>784</v>
      </c>
      <c r="G38" s="132" t="s">
        <v>785</v>
      </c>
      <c r="H38" s="135" t="s">
        <v>786</v>
      </c>
      <c r="I38" s="136" t="s">
        <v>787</v>
      </c>
      <c r="J38" s="1289"/>
      <c r="K38" s="1289"/>
    </row>
    <row r="39" spans="1:15" s="716" customFormat="1" ht="228">
      <c r="A39" s="1246" t="s">
        <v>788</v>
      </c>
      <c r="B39" s="1258" t="s">
        <v>734</v>
      </c>
      <c r="C39" s="1258" t="s">
        <v>711</v>
      </c>
      <c r="D39" s="1258" t="s">
        <v>789</v>
      </c>
      <c r="E39" s="1261">
        <v>1859950</v>
      </c>
      <c r="F39" s="1262">
        <v>1.17</v>
      </c>
      <c r="G39" s="1263">
        <v>2116106</v>
      </c>
      <c r="H39" s="1290">
        <v>45292</v>
      </c>
      <c r="I39" s="1263" t="s">
        <v>790</v>
      </c>
      <c r="J39" s="1232"/>
      <c r="K39" s="1228"/>
    </row>
    <row r="40" spans="1:15" s="716" customFormat="1" ht="409.5">
      <c r="A40" s="1252" t="s">
        <v>791</v>
      </c>
      <c r="B40" s="1291" t="s">
        <v>710</v>
      </c>
      <c r="C40" s="1277" t="s">
        <v>711</v>
      </c>
      <c r="D40" s="1288" t="s">
        <v>792</v>
      </c>
      <c r="E40" s="1267">
        <v>0</v>
      </c>
      <c r="F40" s="1278">
        <v>0</v>
      </c>
      <c r="G40" s="1269">
        <v>1519134</v>
      </c>
      <c r="H40" s="1290">
        <v>45292</v>
      </c>
      <c r="I40" s="1292"/>
      <c r="J40" s="1232"/>
      <c r="K40" s="1228"/>
    </row>
    <row r="41" spans="1:15" s="716" customFormat="1">
      <c r="A41" s="1235"/>
      <c r="B41" s="1235"/>
      <c r="C41" s="1235"/>
      <c r="D41" s="1235"/>
      <c r="E41" s="1236"/>
      <c r="F41" s="1237"/>
      <c r="G41" s="1237"/>
      <c r="H41" s="1237"/>
      <c r="I41" s="1237"/>
      <c r="J41" s="1289"/>
      <c r="K41" s="1289"/>
      <c r="L41" s="1238"/>
      <c r="M41" s="1232"/>
      <c r="N41" s="1228"/>
      <c r="O41" s="1228"/>
    </row>
    <row r="42" spans="1:15" s="716" customFormat="1">
      <c r="A42" s="1235"/>
      <c r="B42" s="1235"/>
      <c r="C42" s="1235"/>
      <c r="D42" s="1235"/>
      <c r="E42" s="1236"/>
      <c r="F42" s="1237"/>
      <c r="G42" s="1237"/>
      <c r="H42" s="1237"/>
      <c r="I42" s="1237"/>
      <c r="J42" s="1238"/>
      <c r="K42" s="1238"/>
      <c r="L42" s="1238"/>
      <c r="M42" s="1232"/>
      <c r="N42" s="1228"/>
      <c r="O42" s="1228"/>
    </row>
    <row r="43" spans="1:15" s="716" customFormat="1">
      <c r="A43" s="1235"/>
      <c r="B43" s="1235"/>
      <c r="C43" s="1235"/>
      <c r="D43" s="1235"/>
      <c r="E43" s="1236"/>
      <c r="F43" s="1237"/>
      <c r="G43" s="1237"/>
      <c r="H43" s="1237"/>
      <c r="I43" s="1237"/>
      <c r="J43" s="1238"/>
      <c r="K43" s="1238"/>
      <c r="L43" s="1238"/>
      <c r="M43" s="1232"/>
      <c r="N43" s="1228"/>
      <c r="O43" s="1228"/>
    </row>
    <row r="44" spans="1:15" s="716" customFormat="1">
      <c r="A44" s="1293" t="s">
        <v>793</v>
      </c>
      <c r="B44" s="1235"/>
      <c r="C44" s="1235"/>
      <c r="D44" s="1235"/>
      <c r="E44" s="1236"/>
      <c r="F44" s="1237"/>
      <c r="G44" s="1237"/>
      <c r="H44" s="1237"/>
      <c r="I44" s="1237"/>
      <c r="J44" s="1238"/>
      <c r="K44" s="1238"/>
      <c r="L44" s="1238"/>
      <c r="M44" s="1232"/>
      <c r="N44" s="1228"/>
      <c r="O44" s="1228"/>
    </row>
    <row r="45" spans="1:15" s="716" customFormat="1" ht="85.5">
      <c r="A45" s="244" t="s">
        <v>718</v>
      </c>
      <c r="B45" s="244" t="s">
        <v>719</v>
      </c>
      <c r="C45" s="244" t="s">
        <v>720</v>
      </c>
      <c r="D45" s="134" t="s">
        <v>794</v>
      </c>
      <c r="E45" s="137" t="s">
        <v>795</v>
      </c>
      <c r="F45" s="137" t="s">
        <v>796</v>
      </c>
      <c r="G45" s="1378" t="s">
        <v>797</v>
      </c>
      <c r="H45" s="1378"/>
      <c r="I45" s="137" t="s">
        <v>798</v>
      </c>
      <c r="J45" s="137" t="s">
        <v>799</v>
      </c>
      <c r="K45" s="1238"/>
      <c r="L45" s="1238"/>
      <c r="M45" s="1232"/>
      <c r="N45" s="1228"/>
      <c r="O45" s="1228"/>
    </row>
    <row r="46" spans="1:15" s="716" customFormat="1">
      <c r="A46" s="1247"/>
      <c r="B46" s="1294"/>
      <c r="C46" s="1295" t="s">
        <v>711</v>
      </c>
      <c r="D46" s="1296" t="s">
        <v>800</v>
      </c>
      <c r="E46" s="1295" t="s">
        <v>801</v>
      </c>
      <c r="F46" s="1297">
        <v>2024</v>
      </c>
      <c r="G46" s="1295" t="s">
        <v>802</v>
      </c>
      <c r="H46" s="1295" t="s">
        <v>802</v>
      </c>
      <c r="I46" s="1295" t="s">
        <v>803</v>
      </c>
      <c r="J46" s="1295" t="s">
        <v>803</v>
      </c>
      <c r="K46" s="1238"/>
      <c r="L46" s="1238"/>
      <c r="M46" s="1232"/>
      <c r="N46" s="1228"/>
      <c r="O46" s="1228"/>
    </row>
    <row r="47" spans="1:15" s="716" customFormat="1">
      <c r="A47" s="1253"/>
      <c r="B47" s="1298"/>
      <c r="C47" s="1299" t="s">
        <v>711</v>
      </c>
      <c r="D47" s="1300" t="s">
        <v>460</v>
      </c>
      <c r="E47" s="1299" t="s">
        <v>801</v>
      </c>
      <c r="F47" s="1301">
        <v>2024</v>
      </c>
      <c r="G47" s="1295" t="s">
        <v>802</v>
      </c>
      <c r="H47" s="1295" t="s">
        <v>802</v>
      </c>
      <c r="I47" s="1295" t="s">
        <v>803</v>
      </c>
      <c r="J47" s="1295" t="s">
        <v>803</v>
      </c>
      <c r="K47" s="1238"/>
      <c r="L47" s="1238"/>
      <c r="M47" s="1232"/>
      <c r="N47" s="1228"/>
      <c r="O47" s="1228"/>
    </row>
    <row r="48" spans="1:15" s="716" customFormat="1">
      <c r="A48" s="1253"/>
      <c r="B48" s="1298"/>
      <c r="C48" s="1299" t="s">
        <v>804</v>
      </c>
      <c r="D48" s="1302" t="s">
        <v>805</v>
      </c>
      <c r="E48" s="1299" t="s">
        <v>801</v>
      </c>
      <c r="F48" s="1301">
        <v>2024</v>
      </c>
      <c r="G48" s="1295" t="s">
        <v>802</v>
      </c>
      <c r="H48" s="1295" t="s">
        <v>802</v>
      </c>
      <c r="I48" s="1295" t="s">
        <v>803</v>
      </c>
      <c r="J48" s="1295" t="s">
        <v>803</v>
      </c>
      <c r="K48" s="1238"/>
      <c r="L48" s="1238"/>
      <c r="M48" s="1232"/>
      <c r="N48" s="1228"/>
      <c r="O48" s="1228"/>
    </row>
    <row r="49" spans="1:15" s="716" customFormat="1">
      <c r="A49" s="1253"/>
      <c r="B49" s="1298"/>
      <c r="C49" s="1299" t="s">
        <v>804</v>
      </c>
      <c r="D49" s="1302" t="s">
        <v>806</v>
      </c>
      <c r="E49" s="1299" t="s">
        <v>801</v>
      </c>
      <c r="F49" s="1301">
        <v>2024</v>
      </c>
      <c r="G49" s="1295" t="s">
        <v>802</v>
      </c>
      <c r="H49" s="1295" t="s">
        <v>802</v>
      </c>
      <c r="I49" s="1295" t="s">
        <v>803</v>
      </c>
      <c r="J49" s="1295" t="s">
        <v>803</v>
      </c>
      <c r="K49" s="1238"/>
      <c r="L49" s="1238"/>
      <c r="M49" s="1232"/>
      <c r="N49" s="1228"/>
      <c r="O49" s="1228"/>
    </row>
    <row r="50" spans="1:15" s="716" customFormat="1">
      <c r="A50" s="1253"/>
      <c r="B50" s="1298"/>
      <c r="C50" s="1299" t="s">
        <v>804</v>
      </c>
      <c r="D50" s="1303" t="s">
        <v>807</v>
      </c>
      <c r="E50" s="1299" t="s">
        <v>801</v>
      </c>
      <c r="F50" s="1301">
        <v>2024</v>
      </c>
      <c r="G50" s="1295" t="s">
        <v>802</v>
      </c>
      <c r="H50" s="1295" t="s">
        <v>802</v>
      </c>
      <c r="I50" s="1295" t="s">
        <v>803</v>
      </c>
      <c r="J50" s="1295" t="s">
        <v>803</v>
      </c>
      <c r="K50" s="1238"/>
      <c r="L50" s="1238"/>
      <c r="M50" s="1232"/>
      <c r="N50" s="1228"/>
      <c r="O50" s="1228"/>
    </row>
    <row r="51" spans="1:15" s="716" customFormat="1">
      <c r="A51" s="1253"/>
      <c r="B51" s="1298"/>
      <c r="C51" s="1299" t="s">
        <v>711</v>
      </c>
      <c r="D51" s="1302" t="s">
        <v>416</v>
      </c>
      <c r="E51" s="1299" t="s">
        <v>801</v>
      </c>
      <c r="F51" s="1301">
        <v>2024</v>
      </c>
      <c r="G51" s="1295" t="s">
        <v>802</v>
      </c>
      <c r="H51" s="1295" t="s">
        <v>802</v>
      </c>
      <c r="I51" s="1295" t="s">
        <v>803</v>
      </c>
      <c r="J51" s="1295" t="s">
        <v>803</v>
      </c>
      <c r="K51" s="1238"/>
      <c r="L51" s="1238"/>
      <c r="M51" s="1232"/>
      <c r="N51" s="1228"/>
      <c r="O51" s="1228"/>
    </row>
    <row r="52" spans="1:15" s="716" customFormat="1">
      <c r="A52" s="1253"/>
      <c r="B52" s="1298"/>
      <c r="C52" s="1299" t="s">
        <v>711</v>
      </c>
      <c r="D52" s="1300" t="s">
        <v>420</v>
      </c>
      <c r="E52" s="1299" t="s">
        <v>801</v>
      </c>
      <c r="F52" s="1301">
        <v>2024</v>
      </c>
      <c r="G52" s="1304" t="s">
        <v>802</v>
      </c>
      <c r="H52" s="1304" t="s">
        <v>802</v>
      </c>
      <c r="I52" s="1304" t="s">
        <v>803</v>
      </c>
      <c r="J52" s="1304" t="s">
        <v>803</v>
      </c>
      <c r="K52" s="1238"/>
      <c r="L52" s="1238"/>
      <c r="M52" s="1232"/>
      <c r="N52" s="1228"/>
      <c r="O52" s="1228"/>
    </row>
    <row r="53" spans="1:15" s="716" customFormat="1">
      <c r="A53" s="1235" t="s">
        <v>808</v>
      </c>
      <c r="B53" s="1235"/>
      <c r="C53" s="1235"/>
      <c r="D53" s="1235"/>
      <c r="E53" s="1236"/>
      <c r="F53" s="1237"/>
      <c r="G53" s="1237"/>
      <c r="H53" s="1237"/>
      <c r="I53" s="1237"/>
      <c r="J53" s="1238"/>
      <c r="K53" s="1238"/>
      <c r="L53" s="1238"/>
      <c r="M53" s="1232"/>
      <c r="N53" s="1228"/>
      <c r="O53" s="1228"/>
    </row>
  </sheetData>
  <mergeCells count="1">
    <mergeCell ref="G45:H45"/>
  </mergeCells>
  <pageMargins left="0.7" right="0.7" top="0.75" bottom="0.75" header="0.3" footer="0.3"/>
  <pageSetup paperSize="3" scale="4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45e85bbf-b125-4171-9cf8-3a7803888569">
      <UserInfo>
        <DisplayName/>
        <AccountId xsi:nil="true"/>
        <AccountType/>
      </UserInfo>
    </SharedWithUsers>
    <MigrationSourceURL xmlns="11de5ee8-cf62-4597-b4b3-95ec046945c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AACDCA2A874CD44B591C5DE038B5D6C" ma:contentTypeVersion="14" ma:contentTypeDescription="Create a new document." ma:contentTypeScope="" ma:versionID="15f2aa495e354a15f4863c88b65bf05a">
  <xsd:schema xmlns:xsd="http://www.w3.org/2001/XMLSchema" xmlns:xs="http://www.w3.org/2001/XMLSchema" xmlns:p="http://schemas.microsoft.com/office/2006/metadata/properties" xmlns:ns2="11de5ee8-cf62-4597-b4b3-95ec046945ca" xmlns:ns3="45e85bbf-b125-4171-9cf8-3a7803888569" targetNamespace="http://schemas.microsoft.com/office/2006/metadata/properties" ma:root="true" ma:fieldsID="36c25f5bfd7d13acc6de1c873edb4cf0" ns2:_="" ns3:_="">
    <xsd:import namespace="11de5ee8-cf62-4597-b4b3-95ec046945ca"/>
    <xsd:import namespace="45e85bbf-b125-4171-9cf8-3a7803888569"/>
    <xsd:element name="properties">
      <xsd:complexType>
        <xsd:sequence>
          <xsd:element name="documentManagement">
            <xsd:complexType>
              <xsd:all>
                <xsd:element ref="ns2:MigrationSourceURL" minOccurs="0"/>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de5ee8-cf62-4597-b4b3-95ec046945ca" elementFormDefault="qualified">
    <xsd:import namespace="http://schemas.microsoft.com/office/2006/documentManagement/types"/>
    <xsd:import namespace="http://schemas.microsoft.com/office/infopath/2007/PartnerControls"/>
    <xsd:element name="MigrationSourceURL" ma:index="8" nillable="true" ma:displayName="MigrationSourceURL" ma:internalName="MigrationSourceURL">
      <xsd:simpleType>
        <xsd:restriction base="dms:Note">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Location" ma:index="14"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5e85bbf-b125-4171-9cf8-3a780388856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C614E2-92FA-457C-84CF-E5112FFC73BD}">
  <ds:schemaRefs>
    <ds:schemaRef ds:uri="http://purl.org/dc/terms/"/>
    <ds:schemaRef ds:uri="11de5ee8-cf62-4597-b4b3-95ec046945ca"/>
    <ds:schemaRef ds:uri="http://schemas.openxmlformats.org/package/2006/metadata/core-properties"/>
    <ds:schemaRef ds:uri="http://schemas.microsoft.com/office/2006/documentManagement/types"/>
    <ds:schemaRef ds:uri="http://purl.org/dc/elements/1.1/"/>
    <ds:schemaRef ds:uri="http://purl.org/dc/dcmitype/"/>
    <ds:schemaRef ds:uri="http://schemas.microsoft.com/office/2006/metadata/properties"/>
    <ds:schemaRef ds:uri="http://schemas.microsoft.com/office/infopath/2007/PartnerControls"/>
    <ds:schemaRef ds:uri="45e85bbf-b125-4171-9cf8-3a7803888569"/>
    <ds:schemaRef ds:uri="http://www.w3.org/XML/1998/namespace"/>
  </ds:schemaRefs>
</ds:datastoreItem>
</file>

<file path=customXml/itemProps2.xml><?xml version="1.0" encoding="utf-8"?>
<ds:datastoreItem xmlns:ds="http://schemas.openxmlformats.org/officeDocument/2006/customXml" ds:itemID="{AE9DADF5-142F-4C61-BF3B-80899BE7AE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de5ee8-cf62-4597-b4b3-95ec046945ca"/>
    <ds:schemaRef ds:uri="45e85bbf-b125-4171-9cf8-3a78038885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6EE21C-712C-4F46-A870-85D0B8F584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36</vt:i4>
      </vt:variant>
    </vt:vector>
  </HeadingPairs>
  <TitlesOfParts>
    <vt:vector size="65" baseType="lpstr">
      <vt:lpstr>README</vt:lpstr>
      <vt:lpstr>0 Validations</vt:lpstr>
      <vt:lpstr>1 Bill Payer Impacts-IOU Only </vt:lpstr>
      <vt:lpstr>2 Rates Rev- IOU Only</vt:lpstr>
      <vt:lpstr>3.1 Funding Source Summary</vt:lpstr>
      <vt:lpstr>3.2 Funding Source</vt:lpstr>
      <vt:lpstr>4.1 Program Budget - 2024-2027</vt:lpstr>
      <vt:lpstr>4.2 Program Budget 2028-2031</vt:lpstr>
      <vt:lpstr>4.3 Program Changes</vt:lpstr>
      <vt:lpstr>5 Commitments</vt:lpstr>
      <vt:lpstr>6 StatewidePgms</vt:lpstr>
      <vt:lpstr>7.1 PA Budget 8 Yr Summary-Seg</vt:lpstr>
      <vt:lpstr>7.2 PA Budget 8 Yr Summary-Sect</vt:lpstr>
      <vt:lpstr>7.3 PA PY budget_savings</vt:lpstr>
      <vt:lpstr>8 Cap &amp; Target</vt:lpstr>
      <vt:lpstr>Functions Definitions</vt:lpstr>
      <vt:lpstr>9 Portfolio Summary</vt:lpstr>
      <vt:lpstr>10 Portfolio FTE</vt:lpstr>
      <vt:lpstr>11 Residential</vt:lpstr>
      <vt:lpstr>12 Commercial</vt:lpstr>
      <vt:lpstr>13 Industrial</vt:lpstr>
      <vt:lpstr>14 Agricultural</vt:lpstr>
      <vt:lpstr>15 Public Sector</vt:lpstr>
      <vt:lpstr>16 Cross Cutting</vt:lpstr>
      <vt:lpstr>17 BP Metrics</vt:lpstr>
      <vt:lpstr>18.1 Equity Segment Metrics</vt:lpstr>
      <vt:lpstr>18.2 Market Support Metrics</vt:lpstr>
      <vt:lpstr>Comments and Suggestions</vt:lpstr>
      <vt:lpstr>Sheet3</vt:lpstr>
      <vt:lpstr>PA_NAME</vt:lpstr>
      <vt:lpstr>'1 Bill Payer Impacts-IOU Only '!Print_Area</vt:lpstr>
      <vt:lpstr>'10 Portfolio FTE'!Print_Area</vt:lpstr>
      <vt:lpstr>'11 Residential'!Print_Area</vt:lpstr>
      <vt:lpstr>'12 Commercial'!Print_Area</vt:lpstr>
      <vt:lpstr>'13 Industrial'!Print_Area</vt:lpstr>
      <vt:lpstr>'14 Agricultural'!Print_Area</vt:lpstr>
      <vt:lpstr>'15 Public Sector'!Print_Area</vt:lpstr>
      <vt:lpstr>'16 Cross Cutting'!Print_Area</vt:lpstr>
      <vt:lpstr>'17 BP Metrics'!Print_Area</vt:lpstr>
      <vt:lpstr>'18.1 Equity Segment Metrics'!Print_Area</vt:lpstr>
      <vt:lpstr>'18.2 Market Support Metrics'!Print_Area</vt:lpstr>
      <vt:lpstr>'2 Rates Rev- IOU Only'!Print_Area</vt:lpstr>
      <vt:lpstr>'3.1 Funding Source Summary'!Print_Area</vt:lpstr>
      <vt:lpstr>'3.2 Funding Source'!Print_Area</vt:lpstr>
      <vt:lpstr>'4.1 Program Budget - 2024-2027'!Print_Area</vt:lpstr>
      <vt:lpstr>'4.2 Program Budget 2028-2031'!Print_Area</vt:lpstr>
      <vt:lpstr>'4.3 Program Changes'!Print_Area</vt:lpstr>
      <vt:lpstr>'5 Commitments'!Print_Area</vt:lpstr>
      <vt:lpstr>'6 StatewidePgms'!Print_Area</vt:lpstr>
      <vt:lpstr>'7.1 PA Budget 8 Yr Summary-Seg'!Print_Area</vt:lpstr>
      <vt:lpstr>'7.2 PA Budget 8 Yr Summary-Sect'!Print_Area</vt:lpstr>
      <vt:lpstr>'7.3 PA PY budget_savings'!Print_Area</vt:lpstr>
      <vt:lpstr>'8 Cap &amp; Target'!Print_Area</vt:lpstr>
      <vt:lpstr>'9 Portfolio Summary'!Print_Area</vt:lpstr>
      <vt:lpstr>'Comments and Suggestions'!Print_Area</vt:lpstr>
      <vt:lpstr>'Functions Definitions'!Print_Area</vt:lpstr>
      <vt:lpstr>'17 BP Metrics'!Print_Titles</vt:lpstr>
      <vt:lpstr>'2 Rates Rev- IOU Only'!Print_Titles</vt:lpstr>
      <vt:lpstr>'3.2 Funding Source'!Print_Titles</vt:lpstr>
      <vt:lpstr>'4.1 Program Budget - 2024-2027'!Print_Titles</vt:lpstr>
      <vt:lpstr>'4.2 Program Budget 2028-2031'!Print_Titles</vt:lpstr>
      <vt:lpstr>'7.2 PA Budget 8 Yr Summary-Sect'!Print_Titles</vt:lpstr>
      <vt:lpstr>'7.3 PA PY budget_savings'!Print_Titles</vt:lpstr>
      <vt:lpstr>'9 Portfolio Summary'!Print_Titles</vt:lpstr>
      <vt:lpstr>RPT_YEAR</vt:lpstr>
    </vt:vector>
  </TitlesOfParts>
  <Manager/>
  <Company>Itron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Hungeling, Christine</dc:creator>
  <cp:keywords/>
  <dc:description/>
  <cp:lastModifiedBy>Chien, Clinton C</cp:lastModifiedBy>
  <cp:revision/>
  <cp:lastPrinted>2022-03-03T20:54:52Z</cp:lastPrinted>
  <dcterms:created xsi:type="dcterms:W3CDTF">2017-07-18T23:45:09Z</dcterms:created>
  <dcterms:modified xsi:type="dcterms:W3CDTF">2022-03-04T23:53:56Z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0x010100EAACDCA2A874CD44B591C5DE038B5D6C</vt:lpwstr>
  </property>
  <property fmtid="{D5CDD505-2E9C-101B-9397-08002B2CF9AE}" pid="3" name="_dlc_DocIdItemGuid">
    <vt:lpwstr>dd108ff2-9c45-40ae-ae78-dfa6f5fb826e</vt:lpwstr>
  </property>
  <property fmtid="{D5CDD505-2E9C-101B-9397-08002B2CF9AE}" pid="4" name="Order">
    <vt:r8>136200</vt:r8>
  </property>
  <property fmtid="{D5CDD505-2E9C-101B-9397-08002B2CF9AE}" pid="5" name="_ExtendedDescription">
    <vt:lpwstr/>
  </property>
  <property fmtid="{D5CDD505-2E9C-101B-9397-08002B2CF9AE}" pid="6" name="TriggerFlowInfo">
    <vt:lpwstr/>
  </property>
  <property fmtid="{D5CDD505-2E9C-101B-9397-08002B2CF9AE}" pid="7" name="ComplianceAssetId">
    <vt:lpwstr/>
  </property>
</Properties>
</file>